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105.xml" ContentType="application/vnd.openxmlformats-officedocument.spreadsheetml.worksheet+xml"/>
  <Override PartName="/xl/worksheets/sheet30.xml" ContentType="application/vnd.openxmlformats-officedocument.spreadsheetml.worksheet+xml"/>
  <Override PartName="/xl/worksheets/sheet12.xml" ContentType="application/vnd.openxmlformats-officedocument.spreadsheetml.worksheet+xml"/>
  <Override PartName="/xl/worksheets/sheet9.xml" ContentType="application/vnd.openxmlformats-officedocument.spreadsheetml.worksheet+xml"/>
  <Override PartName="/xl/worksheets/sheet76.xml" ContentType="application/vnd.openxmlformats-officedocument.spreadsheetml.worksheet+xml"/>
  <Override PartName="/xl/worksheets/sheet31.xml" ContentType="application/vnd.openxmlformats-officedocument.spreadsheetml.worksheet+xml"/>
  <Override PartName="/xl/worksheets/sheet20.xml" ContentType="application/vnd.openxmlformats-officedocument.spreadsheetml.worksheet+xml"/>
  <Override PartName="/xl/worksheets/sheet109.xml" ContentType="application/vnd.openxmlformats-officedocument.spreadsheetml.worksheet+xml"/>
  <Override PartName="/xl/worksheets/sheet32.xml" ContentType="application/vnd.openxmlformats-officedocument.spreadsheetml.worksheet+xml"/>
  <Override PartName="/xl/worksheets/sheet82.xml" ContentType="application/vnd.openxmlformats-officedocument.spreadsheetml.worksheet+xml"/>
  <Override PartName="/xl/worksheets/sheet107.xml" ContentType="application/vnd.openxmlformats-officedocument.spreadsheetml.worksheet+xml"/>
  <Override PartName="/xl/worksheets/sheet35.xml" ContentType="application/vnd.openxmlformats-officedocument.spreadsheetml.worksheet+xml"/>
  <Override PartName="/xl/worksheets/sheet15.xml" ContentType="application/vnd.openxmlformats-officedocument.spreadsheetml.worksheet+xml"/>
  <Override PartName="/xl/worksheets/sheet48.xml" ContentType="application/vnd.openxmlformats-officedocument.spreadsheetml.worksheet+xml"/>
  <Override PartName="/xl/worksheets/sheet108.xml" ContentType="application/vnd.openxmlformats-officedocument.spreadsheetml.worksheet+xml"/>
  <Override PartName="/xl/worksheets/sheet14.xml" ContentType="application/vnd.openxmlformats-officedocument.spreadsheetml.worksheet+xml"/>
  <Override PartName="/xl/worksheets/sheet6.xml" ContentType="application/vnd.openxmlformats-officedocument.spreadsheetml.worksheet+xml"/>
  <Override PartName="/xl/worksheets/sheet74.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34.xml" ContentType="application/vnd.openxmlformats-officedocument.spreadsheetml.worksheet+xml"/>
  <Override PartName="/xl/worksheets/sheet72.xml" ContentType="application/vnd.openxmlformats-officedocument.spreadsheetml.worksheet+xml"/>
  <Override PartName="/xl/worksheets/sheet69.xml" ContentType="application/vnd.openxmlformats-officedocument.spreadsheetml.worksheet+xml"/>
  <Override PartName="/xl/worksheets/sheet45.xml" ContentType="application/vnd.openxmlformats-officedocument.spreadsheetml.worksheet+xml"/>
  <Override PartName="/xl/worksheets/sheet11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3.xml" ContentType="application/vnd.openxmlformats-officedocument.spreadsheetml.worksheet+xml"/>
  <Override PartName="/xl/worksheets/sheet127.xml" ContentType="application/vnd.openxmlformats-officedocument.spreadsheetml.worksheet+xml"/>
  <Override PartName="/xl/worksheets/sheet53.xml" ContentType="application/vnd.openxmlformats-officedocument.spreadsheetml.worksheet+xml"/>
  <Override PartName="/xl/worksheets/sheet126.xml" ContentType="application/vnd.openxmlformats-officedocument.spreadsheetml.worksheet+xml"/>
  <Override PartName="/xl/worksheets/sheet130.xml" ContentType="application/vnd.openxmlformats-officedocument.spreadsheetml.worksheet+xml"/>
  <Override PartName="/xl/worksheets/sheet122.xml" ContentType="application/vnd.openxmlformats-officedocument.spreadsheetml.worksheet+xml"/>
  <Override PartName="/xl/worksheets/sheet93.xml" ContentType="application/vnd.openxmlformats-officedocument.spreadsheetml.worksheet+xml"/>
  <Override PartName="/xl/worksheets/sheet116.xml" ContentType="application/vnd.openxmlformats-officedocument.spreadsheetml.worksheet+xml"/>
  <Override PartName="/xl/worksheets/sheet55.xml" ContentType="application/vnd.openxmlformats-officedocument.spreadsheetml.worksheet+xml"/>
  <Override PartName="/xl/worksheets/sheet128.xml" ContentType="application/vnd.openxmlformats-officedocument.spreadsheetml.worksheet+xml"/>
  <Override PartName="/xl/worksheets/sheet58.xml" ContentType="application/vnd.openxmlformats-officedocument.spreadsheetml.worksheet+xml"/>
  <Override PartName="/xl/worksheets/sheet71.xml" ContentType="application/vnd.openxmlformats-officedocument.spreadsheetml.worksheet+xml"/>
  <Override PartName="/xl/worksheets/sheet56.xml" ContentType="application/vnd.openxmlformats-officedocument.spreadsheetml.worksheet+xml"/>
  <Override PartName="/xl/worksheets/sheet24.xml" ContentType="application/vnd.openxmlformats-officedocument.spreadsheetml.worksheet+xml"/>
  <Override PartName="/xl/worksheets/sheet64.xml" ContentType="application/vnd.openxmlformats-officedocument.spreadsheetml.worksheet+xml"/>
  <Override PartName="/xl/worksheets/sheet54.xml" ContentType="application/vnd.openxmlformats-officedocument.spreadsheetml.worksheet+xml"/>
  <Override PartName="/xl/worksheets/sheet44.xml" ContentType="application/vnd.openxmlformats-officedocument.spreadsheetml.worksheet+xml"/>
  <Override PartName="/xl/worksheets/sheet8.xml" ContentType="application/vnd.openxmlformats-officedocument.spreadsheetml.worksheet+xml"/>
  <Override PartName="/xl/worksheets/sheet22.xml" ContentType="application/vnd.openxmlformats-officedocument.spreadsheetml.worksheet+xml"/>
  <Override PartName="/xl/worksheets/sheet46.xml" ContentType="application/vnd.openxmlformats-officedocument.spreadsheetml.worksheet+xml"/>
  <Override PartName="/xl/worksheets/sheet118.xml" ContentType="application/vnd.openxmlformats-officedocument.spreadsheetml.worksheet+xml"/>
  <Override PartName="/xl/worksheets/sheet103.xml" ContentType="application/vnd.openxmlformats-officedocument.spreadsheetml.worksheet+xml"/>
  <Override PartName="/xl/worksheets/sheet117.xml" ContentType="application/vnd.openxmlformats-officedocument.spreadsheetml.worksheet+xml"/>
  <Override PartName="/xl/worksheets/sheet49.xml" ContentType="application/vnd.openxmlformats-officedocument.spreadsheetml.worksheet+xml"/>
  <Override PartName="/xl/worksheets/sheet40.xml" ContentType="application/vnd.openxmlformats-officedocument.spreadsheetml.worksheet+xml"/>
  <Override PartName="/xl/worksheets/sheet43.xml" ContentType="application/vnd.openxmlformats-officedocument.spreadsheetml.worksheet+xml"/>
  <Override PartName="/xl/worksheets/sheet51.xml" ContentType="application/vnd.openxmlformats-officedocument.spreadsheetml.worksheet+xml"/>
  <Override PartName="/xl/worksheets/sheet79.xml" ContentType="application/vnd.openxmlformats-officedocument.spreadsheetml.worksheet+xml"/>
  <Override PartName="/xl/worksheets/sheet37.xml" ContentType="application/vnd.openxmlformats-officedocument.spreadsheetml.worksheet+xml"/>
  <Override PartName="/xl/worksheets/sheet21.xml" ContentType="application/vnd.openxmlformats-officedocument.spreadsheetml.worksheet+xml"/>
  <Override PartName="/xl/worksheets/sheet123.xml" ContentType="application/vnd.openxmlformats-officedocument.spreadsheetml.worksheet+xml"/>
  <Override PartName="/xl/worksheets/sheet115.xml" ContentType="application/vnd.openxmlformats-officedocument.spreadsheetml.worksheet+xml"/>
  <Override PartName="/xl/worksheets/sheet88.xml" ContentType="application/vnd.openxmlformats-officedocument.spreadsheetml.worksheet+xml"/>
  <Override PartName="/xl/worksheets/sheet33.xml" ContentType="application/vnd.openxmlformats-officedocument.spreadsheetml.worksheet+xml"/>
  <Override PartName="/xl/worksheets/sheet36.xml" ContentType="application/vnd.openxmlformats-officedocument.spreadsheetml.worksheet+xml"/>
  <Override PartName="/xl/worksheets/sheet114.xml" ContentType="application/vnd.openxmlformats-officedocument.spreadsheetml.worksheet+xml"/>
  <Override PartName="/xl/worksheets/sheet11.xml" ContentType="application/vnd.openxmlformats-officedocument.spreadsheetml.worksheet+xml"/>
  <Override PartName="/xl/worksheets/sheet42.xml" ContentType="application/vnd.openxmlformats-officedocument.spreadsheetml.worksheet+xml"/>
  <Override PartName="/xl/worksheets/sheet80.xml" ContentType="application/vnd.openxmlformats-officedocument.spreadsheetml.worksheet+xml"/>
  <Override PartName="/xl/worksheets/sheet27.xml" ContentType="application/vnd.openxmlformats-officedocument.spreadsheetml.worksheet+xml"/>
  <Override PartName="/xl/worksheets/sheet81.xml" ContentType="application/vnd.openxmlformats-officedocument.spreadsheetml.worksheet+xml"/>
  <Override PartName="/xl/worksheets/sheet94.xml" ContentType="application/vnd.openxmlformats-officedocument.spreadsheetml.worksheet+xml"/>
  <Override PartName="/xl/worksheets/sheet121.xml" ContentType="application/vnd.openxmlformats-officedocument.spreadsheetml.worksheet+xml"/>
  <Override PartName="/xl/worksheets/sheet85.xml" ContentType="application/vnd.openxmlformats-officedocument.spreadsheetml.worksheet+xml"/>
  <Override PartName="/xl/worksheets/sheet83.xml" ContentType="application/vnd.openxmlformats-officedocument.spreadsheetml.worksheet+xml"/>
  <Override PartName="/xl/worksheets/sheet47.xml" ContentType="application/vnd.openxmlformats-officedocument.spreadsheetml.worksheet+xml"/>
  <Override PartName="/xl/worksheets/sheet65.xml" ContentType="application/vnd.openxmlformats-officedocument.spreadsheetml.worksheet+xml"/>
  <Override PartName="/xl/worksheets/sheet4.xml" ContentType="application/vnd.openxmlformats-officedocument.spreadsheetml.worksheet+xml"/>
  <Override PartName="/xl/worksheets/sheet57.xml" ContentType="application/vnd.openxmlformats-officedocument.spreadsheetml.worksheet+xml"/>
  <Override PartName="/xl/worksheets/sheet52.xml" ContentType="application/vnd.openxmlformats-officedocument.spreadsheetml.worksheet+xml"/>
  <Override PartName="/xl/worksheets/sheet39.xml" ContentType="application/vnd.openxmlformats-officedocument.spreadsheetml.worksheet+xml"/>
  <Override PartName="/xl/worksheets/sheet106.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41.xml" ContentType="application/vnd.openxmlformats-officedocument.spreadsheetml.worksheet+xml"/>
  <Override PartName="/xl/worksheets/sheet59.xml" ContentType="application/vnd.openxmlformats-officedocument.spreadsheetml.worksheet+xml"/>
  <Override PartName="/xl/worksheets/sheet97.xml" ContentType="application/vnd.openxmlformats-officedocument.spreadsheetml.worksheet+xml"/>
  <Override PartName="/xl/worksheets/sheet90.xml" ContentType="application/vnd.openxmlformats-officedocument.spreadsheetml.worksheet+xml"/>
  <Override PartName="/xl/worksheets/sheet102.xml" ContentType="application/vnd.openxmlformats-officedocument.spreadsheetml.worksheet+xml"/>
  <Override PartName="/xl/worksheets/sheet23.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110.xml" ContentType="application/vnd.openxmlformats-officedocument.spreadsheetml.worksheet+xml"/>
  <Override PartName="/xl/worksheets/sheet38.xml" ContentType="application/vnd.openxmlformats-officedocument.spreadsheetml.worksheet+xml"/>
  <Override PartName="/xl/worksheets/sheet60.xml" ContentType="application/vnd.openxmlformats-officedocument.spreadsheetml.worksheet+xml"/>
  <Override PartName="/xl/worksheets/sheet87.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111.xml" ContentType="application/vnd.openxmlformats-officedocument.spreadsheetml.worksheet+xml"/>
  <Override PartName="/xl/worksheets/sheet63.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13.xml" ContentType="application/vnd.openxmlformats-officedocument.spreadsheetml.worksheet+xml"/>
  <Override PartName="/xl/worksheets/sheet68.xml" ContentType="application/vnd.openxmlformats-officedocument.spreadsheetml.worksheet+xml"/>
  <Override PartName="/xl/worksheets/sheet70.xml" ContentType="application/vnd.openxmlformats-officedocument.spreadsheetml.worksheet+xml"/>
  <Override PartName="/xl/worksheets/sheet73.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129.xml" ContentType="application/vnd.openxmlformats-officedocument.spreadsheetml.worksheet+xml"/>
  <Override PartName="/xl/worksheets/sheet28.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50.xml" ContentType="application/vnd.openxmlformats-officedocument.spreadsheetml.worksheet+xml"/>
  <Override PartName="/xl/worksheets/sheet91.xml" ContentType="application/vnd.openxmlformats-officedocument.spreadsheetml.worksheet+xml"/>
  <Override PartName="/xl/worksheets/sheet86.xml" ContentType="application/vnd.openxmlformats-officedocument.spreadsheetml.worksheet+xml"/>
  <Override PartName="/xl/worksheets/sheet19.xml" ContentType="application/vnd.openxmlformats-officedocument.spreadsheetml.worksheet+xml"/>
  <Override PartName="/xl/worksheets/sheet120.xml" ContentType="application/vnd.openxmlformats-officedocument.spreadsheetml.worksheet+xml"/>
  <Override PartName="/xl/worksheets/sheet112.xml" ContentType="application/vnd.openxmlformats-officedocument.spreadsheetml.worksheet+xml"/>
  <Override PartName="/xl/worksheets/sheet99.xml" ContentType="application/vnd.openxmlformats-officedocument.spreadsheetml.worksheet+xml"/>
  <Override PartName="/xl/worksheets/sheet89.xml" ContentType="application/vnd.openxmlformats-officedocument.spreadsheetml.worksheet+xml"/>
  <Override PartName="/xl/worksheets/sheet95.xml" ContentType="application/vnd.openxmlformats-officedocument.spreadsheetml.worksheet+xml"/>
  <Override PartName="/xl/worksheets/sheet104.xml" ContentType="application/vnd.openxmlformats-officedocument.spreadsheetml.worksheet+xml"/>
  <Override PartName="/xl/worksheets/sheet96.xml" ContentType="application/vnd.openxmlformats-officedocument.spreadsheetml.worksheet+xml"/>
  <Override PartName="/xl/worksheets/sheet29.xml" ContentType="application/vnd.openxmlformats-officedocument.spreadsheetml.worksheet+xml"/>
  <Override PartName="/xl/worksheets/sheet98.xml" ContentType="application/vnd.openxmlformats-officedocument.spreadsheetml.worksheet+xml"/>
  <Override PartName="/xl/worksheets/sheet26.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sharedStrings.xml" ContentType="application/vnd.openxmlformats-officedocument.spreadsheetml.sharedStrings+xml"/>
  <Override PartName="/xl/drawings/drawing28.xml" ContentType="application/vnd.openxmlformats-officedocument.drawing+xml"/>
  <Override PartName="/xl/drawings/drawing2.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25.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8.xml" ContentType="application/vnd.openxmlformats-officedocument.drawing+xml"/>
  <Override PartName="/xl/drawings/drawing29.xml" ContentType="application/vnd.openxmlformats-officedocument.drawing+xml"/>
  <Override PartName="/xl/drawings/drawing7.xml" ContentType="application/vnd.openxmlformats-officedocument.drawing+xml"/>
  <Override PartName="/xl/drawings/drawing30.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1.xml" ContentType="application/vnd.openxmlformats-officedocument.drawing+xml"/>
  <Override PartName="/xl/drawings/drawing6.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3.xml" ContentType="application/vnd.openxmlformats-officedocument.drawing+xml"/>
  <Override PartName="/xl/drawings/drawing17.xml" ContentType="application/vnd.openxmlformats-officedocument.drawing+xml"/>
  <Override PartName="/xl/drawings/drawing14.xml" ContentType="application/vnd.openxmlformats-officedocument.drawing+xml"/>
  <Override PartName="/xl/drawings/drawing24.xml" ContentType="application/vnd.openxmlformats-officedocument.drawing+xml"/>
  <Override PartName="/xl/drawings/drawing19.xml" ContentType="application/vnd.openxmlformats-officedocument.drawing+xml"/>
  <Override PartName="/xl/drawings/drawing22.xml" ContentType="application/vnd.openxmlformats-officedocument.drawing+xml"/>
  <Override PartName="/xl/drawings/drawing26.xml" ContentType="application/vnd.openxmlformats-officedocument.drawing+xml"/>
  <Override PartName="/xl/drawings/drawing31.xml" ContentType="application/vnd.openxmlformats-officedocument.drawing+xml"/>
  <Override PartName="/xl/drawings/drawing27.xml" ContentType="application/vnd.openxmlformats-officedocument.drawing+xml"/>
  <Override PartName="/xl/charts/chart11.xml" ContentType="application/vnd.openxmlformats-officedocument.drawingml.chart+xml"/>
  <Override PartName="/xl/charts/style28.xml" ContentType="application/vnd.ms-office.chartstyle+xml"/>
  <Override PartName="/xl/charts/colors18.xml" ContentType="application/vnd.ms-office.chartcolorstyle+xml"/>
  <Override PartName="/xl/charts/chart18.xml" ContentType="application/vnd.openxmlformats-officedocument.drawingml.chart+xml"/>
  <Override PartName="/xl/charts/style27.xml" ContentType="application/vnd.ms-office.chartstyle+xml"/>
  <Override PartName="/xl/charts/colors17.xml" ContentType="application/vnd.ms-office.chartcolorstyle+xml"/>
  <Override PartName="/xl/charts/style26.xml" ContentType="application/vnd.ms-office.chartstyle+xml"/>
  <Override PartName="/xl/charts/colors16.xml" ContentType="application/vnd.ms-office.chartcolorstyle+xml"/>
  <Override PartName="/xl/charts/chart16.xml" ContentType="application/vnd.openxmlformats-officedocument.drawingml.chart+xml"/>
  <Override PartName="/xl/charts/style25.xml" ContentType="application/vnd.ms-office.chartstyle+xml"/>
  <Override PartName="/xl/charts/chart15.xml" ContentType="application/vnd.openxmlformats-officedocument.drawingml.chart+xml"/>
  <Override PartName="/xl/charts/style18.xml" ContentType="application/vnd.ms-office.chartstyle+xml"/>
  <Override PartName="/xl/charts/colors14.xml" ContentType="application/vnd.ms-office.chartcolorstyle+xml"/>
  <Override PartName="/xl/charts/chart14.xml" ContentType="application/vnd.openxmlformats-officedocument.drawingml.chart+xml"/>
  <Override PartName="/xl/charts/style23.xml" ContentType="application/vnd.ms-office.chartstyle+xml"/>
  <Override PartName="/xl/charts/style17.xml" ContentType="application/vnd.ms-office.chartstyle+xml"/>
  <Override PartName="/xl/charts/colors19.xml" ContentType="application/vnd.ms-office.chartcolorstyle+xml"/>
  <Override PartName="/xl/charts/colors13.xml" ContentType="application/vnd.ms-office.chartcolorstyle+xml"/>
  <Override PartName="/xl/charts/chart13.xml" ContentType="application/vnd.openxmlformats-officedocument.drawingml.chart+xml"/>
  <Override PartName="/xl/charts/colors12.xml" ContentType="application/vnd.ms-office.chartcolorstyle+xml"/>
  <Override PartName="/xl/charts/style12.xml" ContentType="application/vnd.ms-office.chartstyle+xml"/>
  <Override PartName="/xl/charts/style21.xml" ContentType="application/vnd.ms-office.chartstyle+xml"/>
  <Override PartName="/xl/charts/colors11.xml" ContentType="application/vnd.ms-office.chartcolorstyle+xml"/>
  <Override PartName="/xl/charts/style10.xml" ContentType="application/vnd.ms-office.chartstyle+xml"/>
  <Override PartName="/xl/charts/chart36.xml" ContentType="application/vnd.openxmlformats-officedocument.drawingml.chart+xml"/>
  <Override PartName="/xl/charts/chart20.xml" ContentType="application/vnd.openxmlformats-officedocument.drawingml.chart+xml"/>
  <Override PartName="/xl/charts/style9.xml" ContentType="application/vnd.ms-office.chartstyle+xml"/>
  <Override PartName="/xl/charts/style16.xml" ContentType="application/vnd.ms-office.chartstyle+xml"/>
  <Override PartName="/xl/charts/colors2.xml" ContentType="application/vnd.ms-office.chartcolorstyle+xml"/>
  <Override PartName="/xl/charts/chart6.xml" ContentType="application/vnd.openxmlformats-officedocument.drawingml.chart+xml"/>
  <Override PartName="/xl/charts/style19.xml" ContentType="application/vnd.ms-office.chartstyle+xml"/>
  <Override PartName="/xl/charts/colors3.xml" ContentType="application/vnd.ms-office.chartcolorstyle+xml"/>
  <Override PartName="/xl/charts/chart21.xml" ContentType="application/vnd.openxmlformats-officedocument.drawingml.chart+xml"/>
  <Override PartName="/xl/charts/style20.xml" ContentType="application/vnd.ms-office.chartstyle+xml"/>
  <Override PartName="/xl/charts/colors22.xml" ContentType="application/vnd.ms-office.chartcolorstyle+xml"/>
  <Override PartName="/xl/charts/colors35.xml" ContentType="application/vnd.ms-office.chartcolor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style30.xml" ContentType="application/vnd.ms-office.chartstyle+xml"/>
  <Override PartName="/xl/charts/colors5.xml" ContentType="application/vnd.ms-office.chartcolorstyle+xml"/>
  <Override PartName="/xl/charts/chart17.xml" ContentType="application/vnd.openxmlformats-officedocument.drawingml.chart+xml"/>
  <Override PartName="/xl/charts/style8.xml" ContentType="application/vnd.ms-office.chartstyle+xml"/>
  <Override PartName="/xl/charts/style33.xml" ContentType="application/vnd.ms-office.chartstyle+xml"/>
  <Override PartName="/xl/charts/style34.xml" ContentType="application/vnd.ms-office.chartstyle+xml"/>
  <Override PartName="/xl/charts/chart25.xml" ContentType="application/vnd.openxmlformats-officedocument.drawingml.chart+xml"/>
  <Override PartName="/xl/charts/chart10.xml" ContentType="application/vnd.openxmlformats-officedocument.drawingml.chart+xml"/>
  <Override PartName="/xl/charts/style5.xml" ContentType="application/vnd.ms-office.chartstyle+xml"/>
  <Override PartName="/xl/charts/colors25.xml" ContentType="application/vnd.ms-office.chartcolorstyle+xml"/>
  <Override PartName="/xl/charts/colors31.xml" ContentType="application/vnd.ms-office.chartcolorstyle+xml"/>
  <Override PartName="/xl/charts/colors29.xml" ContentType="application/vnd.ms-office.chartcolorstyle+xml"/>
  <Override PartName="/xl/charts/chart30.xml" ContentType="application/vnd.openxmlformats-officedocument.drawingml.chart+xml"/>
  <Override PartName="/xl/charts/chart23.xml" ContentType="application/vnd.openxmlformats-officedocument.drawingml.chart+xml"/>
  <Override PartName="/xl/charts/style31.xml" ContentType="application/vnd.ms-office.chartstyle+xml"/>
  <Override PartName="/xl/charts/chart7.xml" ContentType="application/vnd.openxmlformats-officedocument.drawingml.chart+xml"/>
  <Override PartName="/xl/charts/style3.xml" ContentType="application/vnd.ms-office.chartstyle+xml"/>
  <Override PartName="/xl/charts/colors34.xml" ContentType="application/vnd.ms-office.chartcolorstyle+xml"/>
  <Override PartName="/xl/charts/chart24.xml" ContentType="application/vnd.openxmlformats-officedocument.drawingml.chart+xml"/>
  <Override PartName="/xl/charts/colors28.xml" ContentType="application/vnd.ms-office.chartcolorstyle+xml"/>
  <Override PartName="/xl/charts/chart31.xml" ContentType="application/vnd.openxmlformats-officedocument.drawingml.chart+xml"/>
  <Override PartName="/xl/charts/chart1.xml" ContentType="application/vnd.openxmlformats-officedocument.drawingml.chart+xml"/>
  <Override PartName="/xl/charts/style32.xml" ContentType="application/vnd.ms-office.chartstyle+xml"/>
  <Override PartName="/xl/charts/colors6.xml" ContentType="application/vnd.ms-office.chartcolorstyle+xml"/>
  <Override PartName="/xl/charts/style24.xml" ContentType="application/vnd.ms-office.chartstyle+xml"/>
  <Override PartName="/xl/charts/chart32.xml" ContentType="application/vnd.openxmlformats-officedocument.drawingml.chart+xml"/>
  <Override PartName="/xl/charts/chart4.xml" ContentType="application/vnd.openxmlformats-officedocument.drawingml.chart+xml"/>
  <Override PartName="/xl/charts/chart29.xml" ContentType="application/vnd.openxmlformats-officedocument.drawingml.chart+xml"/>
  <Override PartName="/xl/charts/style13.xml" ContentType="application/vnd.ms-office.chartstyle+xml"/>
  <Override PartName="/xl/charts/style14.xml" ContentType="application/vnd.ms-office.chartstyle+xml"/>
  <Override PartName="/xl/charts/chart28.xml" ContentType="application/vnd.openxmlformats-officedocument.drawingml.chart+xml"/>
  <Override PartName="/xl/charts/style11.xml" ContentType="application/vnd.ms-office.chartstyle+xml"/>
  <Override PartName="/xl/charts/chart35.xml" ContentType="application/vnd.openxmlformats-officedocument.drawingml.chart+xml"/>
  <Override PartName="/xl/charts/style36.xml" ContentType="application/vnd.ms-office.chartstyle+xml"/>
  <Override PartName="/xl/charts/chart27.xml" ContentType="application/vnd.openxmlformats-officedocument.drawingml.chart+xml"/>
  <Override PartName="/xl/charts/colors8.xml" ContentType="application/vnd.ms-office.chartcolorstyle+xml"/>
  <Override PartName="/xl/charts/colors26.xml" ContentType="application/vnd.ms-office.chartcolorstyle+xml"/>
  <Override PartName="/xl/charts/colors23.xml" ContentType="application/vnd.ms-office.chartcolorstyle+xml"/>
  <Override PartName="/xl/charts/colors9.xml" ContentType="application/vnd.ms-office.chartcolorstyle+xml"/>
  <Override PartName="/xl/charts/style35.xml" ContentType="application/vnd.ms-office.chartstyle+xml"/>
  <Override PartName="/xl/charts/chart22.xml" ContentType="application/vnd.openxmlformats-officedocument.drawingml.chart+xml"/>
  <Override PartName="/xl/charts/colors20.xml" ContentType="application/vnd.ms-office.chartcolorstyle+xml"/>
  <Override PartName="/xl/charts/colors32.xml" ContentType="application/vnd.ms-office.chartcolorstyle+xml"/>
  <Override PartName="/xl/charts/style4.xml" ContentType="application/vnd.ms-office.chartstyle+xml"/>
  <Override PartName="/xl/charts/colors36.xml" ContentType="application/vnd.ms-office.chartcolorstyle+xml"/>
  <Override PartName="/xl/charts/style15.xml" ContentType="application/vnd.ms-office.chartstyle+xml"/>
  <Override PartName="/xl/charts/colors10.xml" ContentType="application/vnd.ms-office.chartcolorstyle+xml"/>
  <Override PartName="/xl/charts/colors27.xml" ContentType="application/vnd.ms-office.chartcolorstyle+xml"/>
  <Override PartName="/xl/charts/colors30.xml" ContentType="application/vnd.ms-office.chartcolorstyle+xml"/>
  <Override PartName="/xl/charts/chart5.xml" ContentType="application/vnd.openxmlformats-officedocument.drawingml.chart+xml"/>
  <Override PartName="/xl/charts/colors7.xml" ContentType="application/vnd.ms-office.chartcolorstyle+xml"/>
  <Override PartName="/xl/charts/style2.xml" ContentType="application/vnd.ms-office.chartstyle+xml"/>
  <Override PartName="/xl/charts/style6.xml" ContentType="application/vnd.ms-office.chartstyle+xml"/>
  <Override PartName="/xl/charts/chart3.xml" ContentType="application/vnd.openxmlformats-officedocument.drawingml.chart+xml"/>
  <Override PartName="/xl/charts/chart9.xml" ContentType="application/vnd.openxmlformats-officedocument.drawingml.chart+xml"/>
  <Override PartName="/xl/charts/colors15.xml" ContentType="application/vnd.ms-office.chartcolorstyle+xml"/>
  <Override PartName="/xl/charts/chart34.xml" ContentType="application/vnd.openxmlformats-officedocument.drawingml.chart+xml"/>
  <Override PartName="/xl/charts/colors33.xml" ContentType="application/vnd.ms-office.chartcolorstyle+xml"/>
  <Override PartName="/xl/charts/chart26.xml" ContentType="application/vnd.openxmlformats-officedocument.drawingml.chart+xml"/>
  <Override PartName="/xl/charts/chart33.xml" ContentType="application/vnd.openxmlformats-officedocument.drawingml.chart+xml"/>
  <Override PartName="/xl/charts/colors4.xml" ContentType="application/vnd.ms-office.chartcolorstyle+xml"/>
  <Override PartName="/xl/charts/style7.xml" ContentType="application/vnd.ms-office.chartstyle+xml"/>
  <Override PartName="/xl/charts/chart8.xml" ContentType="application/vnd.openxmlformats-officedocument.drawingml.chart+xml"/>
  <Override PartName="/xl/charts/chart12.xml" ContentType="application/vnd.openxmlformats-officedocument.drawingml.chart+xml"/>
  <Override PartName="/xl/charts/colors24.xml" ContentType="application/vnd.ms-office.chartcolorstyle+xml"/>
  <Override PartName="/xl/charts/style1.xml" ContentType="application/vnd.ms-office.chartstyle+xml"/>
  <Override PartName="/xl/charts/chart2.xml" ContentType="application/vnd.openxmlformats-officedocument.drawingml.chart+xml"/>
  <Override PartName="/xl/charts/style29.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8"/>
  </bookViews>
  <sheets>
    <sheet name="N-01 Cover" sheetId="1" state="visible" r:id="rId3"/>
    <sheet name="N-02 How To Use" sheetId="2" state="visible" r:id="rId4"/>
    <sheet name="N-03 Index DMAIC" sheetId="3" state="visible" r:id="rId5"/>
    <sheet name="N-04 Index by Question" sheetId="4" state="visible" r:id="rId6"/>
    <sheet name="N-05 Test Selector" sheetId="5" state="visible" r:id="rId7"/>
    <sheet name="N-06 Index by Problem" sheetId="6" state="visible" r:id="rId8"/>
    <sheet name="N-07 Tollgates" sheetId="7" state="visible" r:id="rId9"/>
    <sheet name="N-08 Fast Track Routes" sheetId="8" state="visible" r:id="rId10"/>
    <sheet name="E-01 Data Types" sheetId="9" state="visible" r:id="rId11"/>
    <sheet name="E-02 Population vs Sample" sheetId="10" state="visible" r:id="rId12"/>
    <sheet name="E-03 Descriptive Stats" sheetId="11" state="visible" r:id="rId13"/>
    <sheet name="E-04 Skewness Kurtosis" sheetId="12" state="visible" r:id="rId14"/>
    <sheet name="E-05 Sampling Subgroups" sheetId="13" state="visible" r:id="rId15"/>
    <sheet name="E-06 Data Collection Plan" sheetId="14" state="visible" r:id="rId16"/>
    <sheet name="E-07 Normal Distribution" sheetId="15" state="visible" r:id="rId17"/>
    <sheet name="E-08 Central Limit Theorem" sheetId="16" state="visible" r:id="rId18"/>
    <sheet name="E-09 t Chi2 F Distributions" sheetId="17" state="visible" r:id="rId19"/>
    <sheet name="E-10 Binomial Distribution" sheetId="18" state="visible" r:id="rId20"/>
    <sheet name="E-11 Poisson Distribution" sheetId="19" state="visible" r:id="rId21"/>
    <sheet name="E-12 Weibull Expon Lognorm" sheetId="20" state="visible" r:id="rId22"/>
    <sheet name="E-13 Distribution ID" sheetId="21" state="visible" r:id="rId23"/>
    <sheet name="E-14 Standard Error" sheetId="22" state="visible" r:id="rId24"/>
    <sheet name="E-15 CI Mean" sheetId="23" state="visible" r:id="rId25"/>
    <sheet name="E-16 CI Proportion StdDev" sheetId="24" state="visible" r:id="rId26"/>
    <sheet name="E-17 Hypothesis Framework" sheetId="25" state="visible" r:id="rId27"/>
    <sheet name="E-18 The p-Value" sheetId="26" state="visible" r:id="rId28"/>
    <sheet name="E-19 Type I II Error Power" sheetId="27" state="visible" r:id="rId29"/>
    <sheet name="E-20 Sample Size" sheetId="28" state="visible" r:id="rId30"/>
    <sheet name="E-21 Statistical vs Practical" sheetId="29" state="visible" r:id="rId31"/>
    <sheet name="E-22 Test Selection Roadmap" sheetId="30" state="visible" r:id="rId32"/>
    <sheet name="E-23 1-Sample t-Test" sheetId="31" state="visible" r:id="rId33"/>
    <sheet name="E-24 2-Sample t-Test" sheetId="32" state="visible" r:id="rId34"/>
    <sheet name="E-25 Paired t-Test" sheetId="33" state="visible" r:id="rId35"/>
    <sheet name="E-26 One-Way ANOVA" sheetId="34" state="visible" r:id="rId36"/>
    <sheet name="E-27 Two-Way ANOVA" sheetId="35" state="visible" r:id="rId37"/>
    <sheet name="E-28 Variance Tests" sheetId="36" state="visible" r:id="rId38"/>
    <sheet name="E-29 Proportion Tests" sheetId="37" state="visible" r:id="rId39"/>
    <sheet name="E-30 Chi-Square Tests" sheetId="38" state="visible" r:id="rId40"/>
    <sheet name="E-31 Nonparametric Tests" sheetId="39" state="visible" r:id="rId41"/>
    <sheet name="E-32 Normality Testing" sheetId="40" state="visible" r:id="rId42"/>
    <sheet name="E-33 When Assumptions Fail" sheetId="41" state="visible" r:id="rId43"/>
    <sheet name="E-34 Correlation" sheetId="42" state="visible" r:id="rId44"/>
    <sheet name="E-35 Correlation vs Causation" sheetId="43" state="visible" r:id="rId45"/>
    <sheet name="E-36 Simple Regression" sheetId="44" state="visible" r:id="rId46"/>
    <sheet name="E-37 Residual Analysis" sheetId="45" state="visible" r:id="rId47"/>
    <sheet name="E-38 Multiple Regression" sheetId="46" state="visible" r:id="rId48"/>
    <sheet name="E-39 Logistic Regression" sheetId="47" state="visible" r:id="rId49"/>
    <sheet name="E-40 Multi-Vari Analysis" sheetId="48" state="visible" r:id="rId50"/>
    <sheet name="E-41 DOE Fundamentals" sheetId="49" state="visible" r:id="rId51"/>
    <sheet name="E-42 Full Factorial" sheetId="50" state="visible" r:id="rId52"/>
    <sheet name="E-43 Fractional Factorial" sheetId="51" state="visible" r:id="rId53"/>
    <sheet name="E-44 Screening Designs" sheetId="52" state="visible" r:id="rId54"/>
    <sheet name="E-45 Center Points Curvature" sheetId="53" state="visible" r:id="rId55"/>
    <sheet name="E-46 Response Surface" sheetId="54" state="visible" r:id="rId56"/>
    <sheet name="E-47 Common vs Special Cause" sheetId="55" state="visible" r:id="rId57"/>
    <sheet name="E-48 Chart Selection Tree" sheetId="56" state="visible" r:id="rId58"/>
    <sheet name="E-49 I-MR Chart" sheetId="57" state="visible" r:id="rId59"/>
    <sheet name="E-50 Xbar-R Chart" sheetId="58" state="visible" r:id="rId60"/>
    <sheet name="E-51 Xbar-S Chart" sheetId="59" state="visible" r:id="rId61"/>
    <sheet name="E-52 p and np Charts" sheetId="60" state="visible" r:id="rId62"/>
    <sheet name="E-53 c and u Charts" sheetId="61" state="visible" r:id="rId63"/>
    <sheet name="E-54 Laney p and u Charts" sheetId="62" state="visible" r:id="rId64"/>
    <sheet name="E-55 CUSUM and EWMA" sheetId="63" state="visible" r:id="rId65"/>
    <sheet name="E-56 WE and Nelson Rules" sheetId="64" state="visible" r:id="rId66"/>
    <sheet name="E-57 Process Capability" sheetId="65" state="visible" r:id="rId67"/>
    <sheet name="E-58 Non-Normal Capability" sheetId="66" state="visible" r:id="rId68"/>
    <sheet name="E-59 Gage R and R" sheetId="67" state="visible" r:id="rId69"/>
    <sheet name="E-60 MSA Bias Linearity" sheetId="68" state="visible" r:id="rId70"/>
    <sheet name="L-01 Eight Wastes" sheetId="69" state="visible" r:id="rId71"/>
    <sheet name="L-02 VSM Current State" sheetId="70" state="visible" r:id="rId72"/>
    <sheet name="L-03 VSM Future State" sheetId="71" state="visible" r:id="rId73"/>
    <sheet name="L-04 Process Mapping" sheetId="72" state="visible" r:id="rId74"/>
    <sheet name="L-05 Spaghetti Diagram" sheetId="73" state="visible" r:id="rId75"/>
    <sheet name="L-06 Value Added Analysis" sheetId="74" state="visible" r:id="rId76"/>
    <sheet name="L-07 Takt Cycle Lead Time" sheetId="75" state="visible" r:id="rId77"/>
    <sheet name="L-08 Littles Law and WIP" sheetId="76" state="visible" r:id="rId78"/>
    <sheet name="L-09 Theory of Constraints" sheetId="77" state="visible" r:id="rId79"/>
    <sheet name="L-10 Line Balancing" sheetId="78" state="visible" r:id="rId80"/>
    <sheet name="L-11 OEE" sheetId="79" state="visible" r:id="rId81"/>
    <sheet name="L-12 5S" sheetId="80" state="visible" r:id="rId82"/>
    <sheet name="L-13 Visual Management" sheetId="81" state="visible" r:id="rId83"/>
    <sheet name="L-14 Standard Work" sheetId="82" state="visible" r:id="rId84"/>
    <sheet name="L-15 SMED" sheetId="83" state="visible" r:id="rId85"/>
    <sheet name="L-16 TPM" sheetId="84" state="visible" r:id="rId86"/>
    <sheet name="L-17 Poka-Yoke" sheetId="85" state="visible" r:id="rId87"/>
    <sheet name="L-18 Jidoka and Andon" sheetId="86" state="visible" r:id="rId88"/>
    <sheet name="L-19 Kanban Pull Systems" sheetId="87" state="visible" r:id="rId89"/>
    <sheet name="L-20 Heijunka" sheetId="88" state="visible" r:id="rId90"/>
    <sheet name="L-21 Kaizen Event" sheetId="89" state="visible" r:id="rId91"/>
    <sheet name="L-22 Gemba Walk" sheetId="90" state="visible" r:id="rId92"/>
    <sheet name="L-23 PDCA" sheetId="91" state="visible" r:id="rId93"/>
    <sheet name="L-24 Idea Generation" sheetId="92" state="visible" r:id="rId94"/>
    <sheet name="L-25 Solution Selection" sheetId="93" state="visible" r:id="rId95"/>
    <sheet name="L-26 Pilot and Confirmation" sheetId="94" state="visible" r:id="rId96"/>
    <sheet name="H-01 Project Charter" sheetId="95" state="visible" r:id="rId97"/>
    <sheet name="H-02 SIPOC" sheetId="96" state="visible" r:id="rId98"/>
    <sheet name="H-03 VOC and CTQ Tree" sheetId="97" state="visible" r:id="rId99"/>
    <sheet name="H-04 Kano Model" sheetId="98" state="visible" r:id="rId100"/>
    <sheet name="H-05 Check Sheets" sheetId="99" state="visible" r:id="rId101"/>
    <sheet name="H-06 Pareto Analysis" sheetId="100" state="visible" r:id="rId102"/>
    <sheet name="H-07 Histogram and Box Plot" sheetId="101" state="visible" r:id="rId103"/>
    <sheet name="H-08 Run Chart" sheetId="102" state="visible" r:id="rId104"/>
    <sheet name="H-09 Stratification" sheetId="103" state="visible" r:id="rId105"/>
    <sheet name="H-10 Ishikawa" sheetId="104" state="visible" r:id="rId106"/>
    <sheet name="H-11 5 Whys" sheetId="105" state="visible" r:id="rId107"/>
    <sheet name="H-12 Cause Effect Matrix" sheetId="106" state="visible" r:id="rId108"/>
    <sheet name="H-13 FMEA AIAG-VDA" sheetId="107" state="visible" r:id="rId109"/>
    <sheet name="H-14 A3 Problem Solving" sheetId="108" state="visible" r:id="rId110"/>
    <sheet name="H-15 8D Problem Solving" sheetId="109" state="visible" r:id="rId111"/>
    <sheet name="H-16 Control and Reaction" sheetId="110" state="visible" r:id="rId112"/>
    <sheet name="G-01 Project Selection" sheetId="111" state="visible" r:id="rId113"/>
    <sheet name="G-02 Business Case COPQ" sheetId="112" state="visible" r:id="rId114"/>
    <sheet name="G-03 Stakeholder Analysis" sheetId="113" state="visible" r:id="rId115"/>
    <sheet name="G-04 RACI Matrix" sheetId="114" state="visible" r:id="rId116"/>
    <sheet name="G-05 Communication Plan" sheetId="115" state="visible" r:id="rId117"/>
    <sheet name="G-06 Change Management" sheetId="116" state="visible" r:id="rId118"/>
    <sheet name="G-07 Risk Register" sheetId="117" state="visible" r:id="rId119"/>
    <sheet name="G-08 Schedule and CPM" sheetId="118" state="visible" r:id="rId120"/>
    <sheet name="G-09 Benefit Validation" sheetId="119" state="visible" r:id="rId121"/>
    <sheet name="G-10 Closure Replication" sheetId="120" state="visible" r:id="rId122"/>
    <sheet name="U-01 Statistical Tables" sheetId="121" state="visible" r:id="rId123"/>
    <sheet name="U-02 Chart Constants" sheetId="122" state="visible" r:id="rId124"/>
    <sheet name="U-03 Excel Function Guide" sheetId="123" state="visible" r:id="rId125"/>
    <sheet name="U-04 Formula Sheet" sheetId="124" state="visible" r:id="rId126"/>
    <sheet name="U-05 Glossary EN-ES" sheetId="125" state="visible" r:id="rId127"/>
    <sheet name="U-06 Sample Size Calculator" sheetId="126" state="visible" r:id="rId128"/>
    <sheet name="U-07 Example Data Bank" sheetId="127" state="visible" r:id="rId129"/>
    <sheet name="U-08 Exam Bank Foundations" sheetId="128" state="visible" r:id="rId130"/>
    <sheet name="U-09 Exam Bank Inference" sheetId="129" state="visible" r:id="rId131"/>
    <sheet name="U-10 Exam Bank Advanced" sheetId="130" state="visible" r:id="rId132"/>
  </sheets>
  <definedNames>
    <definedName function="false" hidden="true" localSheetId="2" name="_xlnm._FilterDatabase" vbProcedure="false">'N-03 Index DMAIC'!$B$5:$K$141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<sst xmlns="http://schemas.openxmlformats.org/spreadsheetml/2006/main" count="25247" uniqueCount="15683">
  <si>
    <t xml:space="preserve">Made by Jose Zapatero, jmazsantos@gmail.com</t>
  </si>
  <si>
    <t xml:space="preserve">N-01 — Cover and Version Control</t>
  </si>
  <si>
    <t xml:space="preserve">TRANSVERSAL</t>
  </si>
  <si>
    <t xml:space="preserve">← Back to Index</t>
  </si>
  <si>
    <t xml:space="preserve">Phase: TRANSVERSAL / EXAM   |   Data required: None   |   Min. sample: n/a   |   Complexity: 1/5   |   Typical output: Version record and block map</t>
  </si>
  <si>
    <t xml:space="preserve">PURPOSE</t>
  </si>
  <si>
    <t xml:space="preserve">This workbook is a complete Lean Six Sigma Black Belt toolkit built to do two jobs at the same time.</t>
  </si>
  <si>
    <t xml:space="preserve">Job A - exam preparation: it covers the Body of Knowledge to the standard required by an ASQ or IASSC Black Belt examination, with correct theory, formulas, worked derivations and self-test questions.</t>
  </si>
  <si>
    <t xml:space="preserve">Job B - live project tool: every tool sheet contains a working calculator that accepts real data from the PET and keg lines and returns an answer together with an explicit decision rule. Nothing is hardcoded; every result is a live Excel formula.</t>
  </si>
  <si>
    <t xml:space="preserve">Neither job outranks the other. A sheet that teaches but does not calculate is incomplete, and so is the reverse.</t>
  </si>
  <si>
    <t xml:space="preserve">IDENTIFICATION</t>
  </si>
  <si>
    <t xml:space="preserve">Workbook</t>
  </si>
  <si>
    <t xml:space="preserve">LSSBB_Toolkit_v6_4.xlsx</t>
  </si>
  <si>
    <t xml:space="preserve">Version</t>
  </si>
  <si>
    <t xml:space="preserve">v6.4 - Delivery 6 of 6 - COMPLETE (all 130 sheets built and QA passed)</t>
  </si>
  <si>
    <t xml:space="preserve">Owner</t>
  </si>
  <si>
    <t xml:space="preserve">Jose Zapatero - Packaging and Manufacturing Excellence Manager</t>
  </si>
  <si>
    <t xml:space="preserve">Organisation</t>
  </si>
  <si>
    <t xml:space="preserve">Cerveceria Cubana - Royal Swinkels Family Brewers</t>
  </si>
  <si>
    <t xml:space="preserve">Reference operation</t>
  </si>
  <si>
    <t xml:space="preserve">PET line 18,000 BPH, 24/7, shifts A/B/C/D; keg line Monobloc 80 (4-2)</t>
  </si>
  <si>
    <t xml:space="preserve">Total sheets</t>
  </si>
  <si>
    <t xml:space="preserve">130</t>
  </si>
  <si>
    <t xml:space="preserve">Language</t>
  </si>
  <si>
    <t xml:space="preserve">English (sheet U-05 is bilingual EN-ES by design)</t>
  </si>
  <si>
    <t xml:space="preserve">Macros</t>
  </si>
  <si>
    <t xml:space="preserve">None. No VBA, no external links, no Power Query.</t>
  </si>
  <si>
    <t xml:space="preserve">BLOCK MAP</t>
  </si>
  <si>
    <t xml:space="preserve">Block</t>
  </si>
  <si>
    <t xml:space="preserve">Content</t>
  </si>
  <si>
    <t xml:space="preserve">Sheets</t>
  </si>
  <si>
    <t xml:space="preserve">Built in delivery</t>
  </si>
  <si>
    <t xml:space="preserve">N</t>
  </si>
  <si>
    <t xml:space="preserve">Navigation</t>
  </si>
  <si>
    <t xml:space="preserve">1</t>
  </si>
  <si>
    <t xml:space="preserve">E</t>
  </si>
  <si>
    <t xml:space="preserve">Statistics</t>
  </si>
  <si>
    <t xml:space="preserve">2, 3, 4</t>
  </si>
  <si>
    <t xml:space="preserve">L</t>
  </si>
  <si>
    <t xml:space="preserve">Lean and Improvement</t>
  </si>
  <si>
    <t xml:space="preserve">5</t>
  </si>
  <si>
    <t xml:space="preserve">H</t>
  </si>
  <si>
    <t xml:space="preserve">Quality and Problem Solving</t>
  </si>
  <si>
    <t xml:space="preserve">G</t>
  </si>
  <si>
    <t xml:space="preserve">Project and Change Management</t>
  </si>
  <si>
    <t xml:space="preserve">6</t>
  </si>
  <si>
    <t xml:space="preserve">U</t>
  </si>
  <si>
    <t xml:space="preserve">Utilities and Exam Preparation</t>
  </si>
  <si>
    <t xml:space="preserve">TOTAL</t>
  </si>
  <si>
    <t xml:space="preserve">1 to 6</t>
  </si>
  <si>
    <t xml:space="preserve">VERSION HISTORY</t>
  </si>
  <si>
    <t xml:space="preserve">Date</t>
  </si>
  <si>
    <t xml:space="preserve">Delivery</t>
  </si>
  <si>
    <t xml:space="preserve">Change</t>
  </si>
  <si>
    <t xml:space="preserve">Author</t>
  </si>
  <si>
    <t xml:space="preserve">v6.0</t>
  </si>
  <si>
    <t xml:space="preserve">2026-07-26</t>
  </si>
  <si>
    <t xml:space="preserve">1 of 6</t>
  </si>
  <si>
    <t xml:space="preserve">All 130 sheets created. Navigation layer N-01 to N-08 built in full. Every tool sheet stubbed so that all index hyperlinks resolve.</t>
  </si>
  <si>
    <t xml:space="preserve">Jose Zapatero</t>
  </si>
  <si>
    <t xml:space="preserve">v6.1</t>
  </si>
  <si>
    <t xml:space="preserve">2026-07-27</t>
  </si>
  <si>
    <t xml:space="preserve">2 of 6</t>
  </si>
  <si>
    <t xml:space="preserve">Statistics Levels 0-2 built in full (E-01 to E-21): data types, distributions, sampling, central limit theorem simulation, confidence intervals, hypothesis framework, sample size, statistical vs practical significance.</t>
  </si>
  <si>
    <t xml:space="preserve">3 of 6</t>
  </si>
  <si>
    <t xml:space="preserve">Hypothesis testing and regression built in full (E-22 to E-40): all parametric and nonparametric tests, ANOVA, variance tests, normality testing, correlation and regression, multi-vari analysis.</t>
  </si>
  <si>
    <t xml:space="preserve">v6.2</t>
  </si>
  <si>
    <t xml:space="preserve">4 of 6</t>
  </si>
  <si>
    <t xml:space="preserve">DOE, SPC, capability and MSA built in full (E-41 to E-60): full and fractional factorials, screening designs, centre points and response surface methods; I-MR, Xbar-R, Xbar-S, p/np, c/u, Laney p'/u', CUSUM/EWMA control charts and Nelson rules; Cp/Cpk/Pp/Ppk/Cpm capability and Z-bench; Gage R&amp;R (ANOVA) and full MSA (bias, linearity, stability, attribute agreement).</t>
  </si>
  <si>
    <t xml:space="preserve">v6.3</t>
  </si>
  <si>
    <t xml:space="preserve">5 of 6</t>
  </si>
  <si>
    <t xml:space="preserve">Lean and Quality tools built in full (L-01 to L-26, H-01 to H-16): wastes, VSM, takt, Little's Law, TOC, line balancing, OEE with the six big losses, 5S, standard work, SMED, TPM, poka-yoke, jidoka, kanban, heijunka, kaizen, gemba, PDCA, Pugh selection, pilot confirmation, charter, SIPOC, VOC/CTQ, Kano, check sheets, Pareto, histogram and box plot, run chart, stratification, Ishikawa, 5 Whys, C&amp;E matrix, FMEA with AIAG-VDA Action Priority, A3, 8D and the control plan with a three-level reaction plan.</t>
  </si>
  <si>
    <t xml:space="preserve">v6.4</t>
  </si>
  <si>
    <t xml:space="preserve">2026-07-28</t>
  </si>
  <si>
    <t xml:space="preserve">6 of 6</t>
  </si>
  <si>
    <t xml:space="preserve">Project management and utilities built in full (G-01 to G-10, U-01 to U-10): project selection, COPQ business case, stakeholder analysis, RACI, communication plan, ADKAR change management, risk register, PERT/CPM schedule with Gantt, benefit validation and closure with replication; plus statistical tables, control chart constants, Excel function guide, master formula sheet, 236-term EN-ES glossary, universal sample size calculator, example data bank and three 40-question exam banks. Final QA passed: 130 sheets, zero formula errors.</t>
  </si>
  <si>
    <t xml:space="preserve">Add one row per delivery. Do not overwrite history rows.</t>
  </si>
  <si>
    <t xml:space="preserve">N-02 — How To Use This Workbook</t>
  </si>
  <si>
    <t xml:space="preserve">Phase: TRANSVERSAL / EXAM   |   Data required: None   |   Min. sample: n/a   |   Complexity: 1/5   |   Typical output: Colour legend and sheet anatomy</t>
  </si>
  <si>
    <t xml:space="preserve">IF YOU ONLY READ ONE THING</t>
  </si>
  <si>
    <t xml:space="preserve">Do not start from the list of tools. Start from your problem.</t>
  </si>
  <si>
    <t xml:space="preserve">Open N-06 Index by Problem, find the archetype that matches what is happening on the line, and follow the numbered route.</t>
  </si>
  <si>
    <t xml:space="preserve">Every step in that route is a hyperlink to a sheet that produces one specific, named output.</t>
  </si>
  <si>
    <t xml:space="preserve">→ Go to N-06 Index by Problem</t>
  </si>
  <si>
    <t xml:space="preserve">COLOUR LEGEND</t>
  </si>
  <si>
    <t xml:space="preserve">  YELLOW = overwrite with your data  </t>
  </si>
  <si>
    <t xml:space="preserve">  GREEN = calculated automatically  </t>
  </si>
  <si>
    <t xml:space="preserve">Colour</t>
  </si>
  <si>
    <t xml:space="preserve">Meaning</t>
  </si>
  <si>
    <t xml:space="preserve">May I type in it?</t>
  </si>
  <si>
    <t xml:space="preserve">Yellow fill, gold border</t>
  </si>
  <si>
    <t xml:space="preserve">Input cell. Pre-filled with a realistic packaging example.</t>
  </si>
  <si>
    <t xml:space="preserve">Yes - overwrite freely</t>
  </si>
  <si>
    <t xml:space="preserve">Green fill, green border</t>
  </si>
  <si>
    <t xml:space="preserve">Calculated cell. Contains a live Excel formula.</t>
  </si>
  <si>
    <t xml:space="preserve">No - it will recalculate itself</t>
  </si>
  <si>
    <t xml:space="preserve">Dark blue band</t>
  </si>
  <si>
    <t xml:space="preserve">Section header inside a sheet.</t>
  </si>
  <si>
    <t xml:space="preserve">No</t>
  </si>
  <si>
    <t xml:space="preserve">Mid blue band</t>
  </si>
  <si>
    <t xml:space="preserve">Table header row.</t>
  </si>
  <si>
    <t xml:space="preserve">Blue underlined text</t>
  </si>
  <si>
    <t xml:space="preserve">Internal hyperlink to another sheet.</t>
  </si>
  <si>
    <t xml:space="preserve">No - click it</t>
  </si>
  <si>
    <t xml:space="preserve">ANATOMY OF A TOOL SHEET</t>
  </si>
  <si>
    <t xml:space="preserve">Every sheet in blocks E, L, H and G follows the same structure, in the same order, so that the decision rule is always in the same place.</t>
  </si>
  <si>
    <t xml:space="preserve">What it contains</t>
  </si>
  <si>
    <t xml:space="preserve">Why it is there</t>
  </si>
  <si>
    <t xml:space="preserve">Title bar (rows 1-3)</t>
  </si>
  <si>
    <t xml:space="preserve">Sheet ID, full title, phase chip, back link and the metadata strip.</t>
  </si>
  <si>
    <t xml:space="preserve">Tells you in one glance what the sheet needs and what it gives back.</t>
  </si>
  <si>
    <t xml:space="preserve">1. Quick Card</t>
  </si>
  <si>
    <t xml:space="preserve">Three lines: what question it answers, when you would reach for it, what it gives you.</t>
  </si>
  <si>
    <t xml:space="preserve">The block you read when scanning for the right tool.</t>
  </si>
  <si>
    <t xml:space="preserve">2. Concept</t>
  </si>
  <si>
    <t xml:space="preserve">Four to eight lines of plain English before any symbol appears.</t>
  </si>
  <si>
    <t xml:space="preserve">Understanding the logic prevents the classic misuse of the tool.</t>
  </si>
  <si>
    <t xml:space="preserve">3. When to use / not use / assumptions</t>
  </si>
  <si>
    <t xml:space="preserve">Two short lists, then an assumption table: assumption, how to check it, what to do if it fails.</t>
  </si>
  <si>
    <t xml:space="preserve">Most wrong conclusions come from a violated assumption, not from arithmetic.</t>
  </si>
  <si>
    <t xml:space="preserve">4. Formula and derivation</t>
  </si>
  <si>
    <t xml:space="preserve">The formula in readable notation, every symbol defined, degrees of freedom stated.</t>
  </si>
  <si>
    <t xml:space="preserve">This block serves the examination.</t>
  </si>
  <si>
    <t xml:space="preserve">5. Excel implementation</t>
  </si>
  <si>
    <t xml:space="preserve">The exact functions used on the sheet and what each argument means.</t>
  </si>
  <si>
    <t xml:space="preserve">So you can rebuild the calculation in your own file.</t>
  </si>
  <si>
    <t xml:space="preserve">6. Worked example (interactive)</t>
  </si>
  <si>
    <t xml:space="preserve">A realistic PET or keg scenario, yellow inputs, green live formulas.</t>
  </si>
  <si>
    <t xml:space="preserve">This block serves the factory floor.</t>
  </si>
  <si>
    <t xml:space="preserve">7. Decision rule and interpretation</t>
  </si>
  <si>
    <t xml:space="preserve">A verdict cell driven by a formula, a numeric criteria table, and common mistakes.</t>
  </si>
  <si>
    <t xml:space="preserve">A number without a decision rule changes nothing.</t>
  </si>
  <si>
    <t xml:space="preserve">8. Self-check</t>
  </si>
  <si>
    <t xml:space="preserve">Three exam-style questions, answers hidden in white font in column N.</t>
  </si>
  <si>
    <t xml:space="preserve">Select the cell in column N to reveal the answer.</t>
  </si>
  <si>
    <t xml:space="preserve">9. Related sheets</t>
  </si>
  <si>
    <t xml:space="preserve">Previous tool, next tool, and the alternative if assumptions fail.</t>
  </si>
  <si>
    <t xml:space="preserve">Keeps you moving along a route instead of hunting.</t>
  </si>
  <si>
    <t xml:space="preserve">FOUR WAYS TO NAVIGATE</t>
  </si>
  <si>
    <t xml:space="preserve">Start from</t>
  </si>
  <si>
    <t xml:space="preserve">Use this sheet</t>
  </si>
  <si>
    <t xml:space="preserve">Best when</t>
  </si>
  <si>
    <t xml:space="preserve">A DMAIC phase</t>
  </si>
  <si>
    <t xml:space="preserve">N-03 Index DMAIC</t>
  </si>
  <si>
    <t xml:space="preserve">You are running a project and need the phase toolset.</t>
  </si>
  <si>
    <t xml:space="preserve">A question in plain language</t>
  </si>
  <si>
    <t xml:space="preserve">N-04 Index by Question</t>
  </si>
  <si>
    <t xml:space="preserve">You know what you want to know but not what it is called.</t>
  </si>
  <si>
    <t xml:space="preserve">Your data types</t>
  </si>
  <si>
    <t xml:space="preserve">N-05 Test Selector</t>
  </si>
  <si>
    <t xml:space="preserve">You need the correct statistical test and its alternative.</t>
  </si>
  <si>
    <t xml:space="preserve">A problem on the line</t>
  </si>
  <si>
    <t xml:space="preserve">N-06 Index by Problem</t>
  </si>
  <si>
    <t xml:space="preserve">Something is wrong today and you need a route, not a catalogue.</t>
  </si>
  <si>
    <t xml:space="preserve">Two further routes: N-07 Tollgates tells you whether you may close a phase, and N-08 Fast Track Routes tells you whether a full DMAIC is the right vehicle at all.</t>
  </si>
  <si>
    <t xml:space="preserve">TECHNICAL NOTES</t>
  </si>
  <si>
    <t xml:space="preserve">•  All calculations are live Excel formulas. There are no macros and no VBA, so the file opens and recalculates on any machine, including a locked-down plant PC.</t>
  </si>
  <si>
    <t xml:space="preserve">•  There are no external links and no Power Query connections. The workbook is self-contained.</t>
  </si>
  <si>
    <t xml:space="preserve">•  No sheet is protected. Everything is editable - which also means every formula is deletable. Keep a clean master copy and work on duplicates for live projects.</t>
  </si>
  <si>
    <t xml:space="preserve">•  Legacy statistical function names are used throughout (TTEST, CHITEST, NORMSDIST) because they are supported by every spreadsheet engine, including LibreOffice and older Excel builds.</t>
  </si>
  <si>
    <t xml:space="preserve">•  Cell A1 of every sheet carries the author attribution in white font.</t>
  </si>
  <si>
    <t xml:space="preserve">N-03 — Master Index by DMAIC Phase</t>
  </si>
  <si>
    <t xml:space="preserve">Phase: TRANSVERSAL / EXAM   |   Data required: None   |   Min. sample: n/a   |   Complexity: 1/5   |   Typical output: Filterable master list of 130 sheets</t>
  </si>
  <si>
    <t xml:space="preserve">ID</t>
  </si>
  <si>
    <t xml:space="preserve">Tool</t>
  </si>
  <si>
    <t xml:space="preserve">Phase</t>
  </si>
  <si>
    <t xml:space="preserve">What question it answers</t>
  </si>
  <si>
    <t xml:space="preserve">Data required</t>
  </si>
  <si>
    <t xml:space="preserve">Min. sample</t>
  </si>
  <si>
    <t xml:space="preserve">Complexity 1-5</t>
  </si>
  <si>
    <t xml:space="preserve">Output produced</t>
  </si>
  <si>
    <t xml:space="preserve">Go</t>
  </si>
  <si>
    <t xml:space="preserve">DEFINE  (9 sheets)</t>
  </si>
  <si>
    <t xml:space="preserve">H-01</t>
  </si>
  <si>
    <t xml:space="preserve">Project Charter</t>
  </si>
  <si>
    <t xml:space="preserve">D</t>
  </si>
  <si>
    <t xml:space="preserve">What exactly am I solving, why and by when?</t>
  </si>
  <si>
    <t xml:space="preserve">Problem, goal, scope, benefit</t>
  </si>
  <si>
    <t xml:space="preserve">n/a</t>
  </si>
  <si>
    <t xml:space="preserve">Signed one-page charter</t>
  </si>
  <si>
    <t xml:space="preserve">Go →</t>
  </si>
  <si>
    <t xml:space="preserve">H-02</t>
  </si>
  <si>
    <t xml:space="preserve">SIPOC</t>
  </si>
  <si>
    <t xml:space="preserve">What are the boundaries of my process?</t>
  </si>
  <si>
    <t xml:space="preserve">Process walk</t>
  </si>
  <si>
    <t xml:space="preserve">High-level SIPOC map</t>
  </si>
  <si>
    <t xml:space="preserve">H-03</t>
  </si>
  <si>
    <t xml:space="preserve">Voice of the Customer and CTQ Tree</t>
  </si>
  <si>
    <t xml:space="preserve">What does the customer need, in measurable terms?</t>
  </si>
  <si>
    <t xml:space="preserve">Customer statements</t>
  </si>
  <si>
    <t xml:space="preserve">CTQ tree with measurable specs</t>
  </si>
  <si>
    <t xml:space="preserve">H-04</t>
  </si>
  <si>
    <t xml:space="preserve">Kano Model</t>
  </si>
  <si>
    <t xml:space="preserve">Which features delight and which are expected?</t>
  </si>
  <si>
    <t xml:space="preserve">Customer survey</t>
  </si>
  <si>
    <t xml:space="preserve">Kano classification of attributes</t>
  </si>
  <si>
    <t xml:space="preserve">G-01</t>
  </si>
  <si>
    <t xml:space="preserve">Project Selection and Portfolio Prioritisation</t>
  </si>
  <si>
    <t xml:space="preserve">Which project should we do first?</t>
  </si>
  <si>
    <t xml:space="preserve">Candidate projects and criteria</t>
  </si>
  <si>
    <t xml:space="preserve">Scored and ranked project portfolio</t>
  </si>
  <si>
    <t xml:space="preserve">G-02</t>
  </si>
  <si>
    <t xml:space="preserve">Business Case and Cost of Poor Quality</t>
  </si>
  <si>
    <t xml:space="preserve">What is this problem costing us?</t>
  </si>
  <si>
    <t xml:space="preserve">Loss volumes and unit costs</t>
  </si>
  <si>
    <t xml:space="preserve">COPQ by category and business case</t>
  </si>
  <si>
    <t xml:space="preserve">G-03</t>
  </si>
  <si>
    <t xml:space="preserve">Stakeholder Analysis</t>
  </si>
  <si>
    <t xml:space="preserve">Who can block or accelerate this project?</t>
  </si>
  <si>
    <t xml:space="preserve">Stakeholder list</t>
  </si>
  <si>
    <t xml:space="preserve">Power-interest grid and engagement plan</t>
  </si>
  <si>
    <t xml:space="preserve">G-04</t>
  </si>
  <si>
    <t xml:space="preserve">RACI Matrix</t>
  </si>
  <si>
    <t xml:space="preserve">Who is responsible for each deliverable?</t>
  </si>
  <si>
    <t xml:space="preserve">Deliverables and roles</t>
  </si>
  <si>
    <t xml:space="preserve">Validated RACI with conflict check</t>
  </si>
  <si>
    <t xml:space="preserve">G-05</t>
  </si>
  <si>
    <t xml:space="preserve">Communication Plan</t>
  </si>
  <si>
    <t xml:space="preserve">Who hears what, how often, from whom?</t>
  </si>
  <si>
    <t xml:space="preserve">Audiences and messages</t>
  </si>
  <si>
    <t xml:space="preserve">Communication calendar</t>
  </si>
  <si>
    <t xml:space="preserve">MEASURE  (31 sheets)</t>
  </si>
  <si>
    <t xml:space="preserve">E-01</t>
  </si>
  <si>
    <t xml:space="preserve">Data Types and Measurement Scales</t>
  </si>
  <si>
    <t xml:space="preserve">M</t>
  </si>
  <si>
    <t xml:space="preserve">What kind of data am I holding and what may I do with it?</t>
  </si>
  <si>
    <t xml:space="preserve">Any variable list</t>
  </si>
  <si>
    <t xml:space="preserve">Data classification and permitted statistics</t>
  </si>
  <si>
    <t xml:space="preserve">E-02</t>
  </si>
  <si>
    <t xml:space="preserve">Population, Sample and Sampling Error</t>
  </si>
  <si>
    <t xml:space="preserve">How far can my sample be from the truth?</t>
  </si>
  <si>
    <t xml:space="preserve">Sample values</t>
  </si>
  <si>
    <t xml:space="preserve">Sampling error estimate</t>
  </si>
  <si>
    <t xml:space="preserve">E-03</t>
  </si>
  <si>
    <t xml:space="preserve">Descriptive Statistics: Centre and Spread</t>
  </si>
  <si>
    <t xml:space="preserve">Where is my process centred and how wide is it?</t>
  </si>
  <si>
    <t xml:space="preserve">Continuous measurements</t>
  </si>
  <si>
    <t xml:space="preserve">Mean, median, StDev, range, quartiles, histogram</t>
  </si>
  <si>
    <t xml:space="preserve">E-04</t>
  </si>
  <si>
    <t xml:space="preserve">Distribution Shape: Skewness and Kurtosis</t>
  </si>
  <si>
    <t xml:space="preserve">Is my distribution symmetric and how heavy are the tails?</t>
  </si>
  <si>
    <t xml:space="preserve">Skewness and kurtosis with interpretation</t>
  </si>
  <si>
    <t xml:space="preserve">E-05</t>
  </si>
  <si>
    <t xml:space="preserve">Sampling Strategies and Rational Subgrouping</t>
  </si>
  <si>
    <t xml:space="preserve">How and when should I take my samples?</t>
  </si>
  <si>
    <t xml:space="preserve">Process timeline and sources</t>
  </si>
  <si>
    <t xml:space="preserve">Sampling plan and subgroup definition</t>
  </si>
  <si>
    <t xml:space="preserve">E-06</t>
  </si>
  <si>
    <t xml:space="preserve">Operational Definitions and Data Collection Plan</t>
  </si>
  <si>
    <t xml:space="preserve">Will two people record the same thing the same way?</t>
  </si>
  <si>
    <t xml:space="preserve">Process and metric list</t>
  </si>
  <si>
    <t xml:space="preserve">Operational definitions and collection plan</t>
  </si>
  <si>
    <t xml:space="preserve">E-07</t>
  </si>
  <si>
    <t xml:space="preserve">The Normal Distribution and Z Scores</t>
  </si>
  <si>
    <t xml:space="preserve">What proportion of output falls beyond this limit?</t>
  </si>
  <si>
    <t xml:space="preserve">Mean, StDev, limit</t>
  </si>
  <si>
    <t xml:space="preserve">Z score, tail probability, PPM</t>
  </si>
  <si>
    <t xml:space="preserve">E-08</t>
  </si>
  <si>
    <t xml:space="preserve">Central Limit Theorem (Live Simulation)</t>
  </si>
  <si>
    <t xml:space="preserve">Why can I use normal theory on non-normal data?</t>
  </si>
  <si>
    <t xml:space="preserve">None (simulated)</t>
  </si>
  <si>
    <t xml:space="preserve">Raw vs sample-mean histograms</t>
  </si>
  <si>
    <t xml:space="preserve">E-09</t>
  </si>
  <si>
    <t xml:space="preserve">The t, Chi-Square and F Distributions</t>
  </si>
  <si>
    <t xml:space="preserve">Which reference distribution does my test use?</t>
  </si>
  <si>
    <t xml:space="preserve">Degrees of freedom, alpha</t>
  </si>
  <si>
    <t xml:space="preserve">Critical values and tail areas</t>
  </si>
  <si>
    <t xml:space="preserve">E-10</t>
  </si>
  <si>
    <t xml:space="preserve">Binomial Distribution (Defective Units)</t>
  </si>
  <si>
    <t xml:space="preserve">What is the chance of x defective bottles in n?</t>
  </si>
  <si>
    <t xml:space="preserve">n, p, x</t>
  </si>
  <si>
    <t xml:space="preserve">Binomial probabilities and cumulative curve</t>
  </si>
  <si>
    <t xml:space="preserve">E-11</t>
  </si>
  <si>
    <t xml:space="preserve">Poisson Distribution (Defects per Unit)</t>
  </si>
  <si>
    <t xml:space="preserve">What is the chance of x micro-stops in a shift?</t>
  </si>
  <si>
    <t xml:space="preserve">Mean rate, exposure</t>
  </si>
  <si>
    <t xml:space="preserve">Poisson probabilities and rate comparison</t>
  </si>
  <si>
    <t xml:space="preserve">E-12</t>
  </si>
  <si>
    <t xml:space="preserve">Weibull, Exponential and Lognormal</t>
  </si>
  <si>
    <t xml:space="preserve">How do I model time to failure or skewed data?</t>
  </si>
  <si>
    <t xml:space="preserve">Times to event</t>
  </si>
  <si>
    <t xml:space="preserve">Fitted shape and scale, reliability estimate</t>
  </si>
  <si>
    <t xml:space="preserve">E-13</t>
  </si>
  <si>
    <t xml:space="preserve">Identifying the Distribution of Your Data</t>
  </si>
  <si>
    <t xml:space="preserve">Which distribution actually fits my data?</t>
  </si>
  <si>
    <t xml:space="preserve">Ranked candidate distributions</t>
  </si>
  <si>
    <t xml:space="preserve">E-14</t>
  </si>
  <si>
    <t xml:space="preserve">Standard Error vs Standard Deviation</t>
  </si>
  <si>
    <t xml:space="preserve">How precise is my estimate of the mean?</t>
  </si>
  <si>
    <t xml:space="preserve">StDev and n</t>
  </si>
  <si>
    <t xml:space="preserve">Standard error and precision statement</t>
  </si>
  <si>
    <t xml:space="preserve">E-15</t>
  </si>
  <si>
    <t xml:space="preserve">Confidence Intervals for the Mean</t>
  </si>
  <si>
    <t xml:space="preserve">Within what range does the true mean sit?</t>
  </si>
  <si>
    <t xml:space="preserve">Sample mean, StDev, n</t>
  </si>
  <si>
    <t xml:space="preserve">Confidence interval for the mean</t>
  </si>
  <si>
    <t xml:space="preserve">E-16</t>
  </si>
  <si>
    <t xml:space="preserve">Confidence Intervals for Proportion and Std Dev</t>
  </si>
  <si>
    <t xml:space="preserve">Within what range sits my true defect rate or spread?</t>
  </si>
  <si>
    <t xml:space="preserve">x, n or StDev, n</t>
  </si>
  <si>
    <t xml:space="preserve">Confidence intervals for p and sigma</t>
  </si>
  <si>
    <t xml:space="preserve">E-20</t>
  </si>
  <si>
    <t xml:space="preserve">Sample Size Determination</t>
  </si>
  <si>
    <t xml:space="preserve">How many samples do I actually need?</t>
  </si>
  <si>
    <t xml:space="preserve">Alpha, power, delta, sigma</t>
  </si>
  <si>
    <t xml:space="preserve">Required n for four scenarios</t>
  </si>
  <si>
    <t xml:space="preserve">E-57</t>
  </si>
  <si>
    <t xml:space="preserve">Cp, Cpk, Pp, Ppk and Cpm</t>
  </si>
  <si>
    <t xml:space="preserve">Can my process meet the specification?</t>
  </si>
  <si>
    <t xml:space="preserve">Measurements plus spec limits</t>
  </si>
  <si>
    <t xml:space="preserve">Capability indices, PPM, capability histogram</t>
  </si>
  <si>
    <t xml:space="preserve">E-58</t>
  </si>
  <si>
    <t xml:space="preserve">Non-Normal and Attribute Capability, Z-bench</t>
  </si>
  <si>
    <t xml:space="preserve">How do I state capability when data is not normal?</t>
  </si>
  <si>
    <t xml:space="preserve">Non-normal or attribute data</t>
  </si>
  <si>
    <t xml:space="preserve">Z-bench, sigma level, PPM</t>
  </si>
  <si>
    <t xml:space="preserve">E-59</t>
  </si>
  <si>
    <t xml:space="preserve">Gage R&amp;R: ANOVA and Range Methods</t>
  </si>
  <si>
    <t xml:space="preserve">Can I trust my measurement system?</t>
  </si>
  <si>
    <t xml:space="preserve">10 parts x 3 operators x 2 trials</t>
  </si>
  <si>
    <t xml:space="preserve">%GRR, ndc and AIAG verdict</t>
  </si>
  <si>
    <t xml:space="preserve">E-60</t>
  </si>
  <si>
    <t xml:space="preserve">MSA: Bias, Linearity, Stability, Attribute Agreement</t>
  </si>
  <si>
    <t xml:space="preserve">Is my gauge biased, drifting or disagreeing?</t>
  </si>
  <si>
    <t xml:space="preserve">Reference standards, repeat readings</t>
  </si>
  <si>
    <t xml:space="preserve">Bias, linearity, stability, Cohen's Kappa</t>
  </si>
  <si>
    <t xml:space="preserve">L-02</t>
  </si>
  <si>
    <t xml:space="preserve">Value Stream Map - Current State</t>
  </si>
  <si>
    <t xml:space="preserve">What does the whole flow look like today?</t>
  </si>
  <si>
    <t xml:space="preserve">Cycle times, inventories, uptime</t>
  </si>
  <si>
    <t xml:space="preserve">Current state map and lead time ladder</t>
  </si>
  <si>
    <t xml:space="preserve">L-04</t>
  </si>
  <si>
    <t xml:space="preserve">Process Mapping and Swimlane Flowcharts</t>
  </si>
  <si>
    <t xml:space="preserve">What are the real steps and handoffs?</t>
  </si>
  <si>
    <t xml:space="preserve">Process walk notes</t>
  </si>
  <si>
    <t xml:space="preserve">Swimlane map with decision points</t>
  </si>
  <si>
    <t xml:space="preserve">L-05</t>
  </si>
  <si>
    <t xml:space="preserve">Spaghetti Diagram</t>
  </si>
  <si>
    <t xml:space="preserve">How far do people and materials actually travel?</t>
  </si>
  <si>
    <t xml:space="preserve">Layout and movement log</t>
  </si>
  <si>
    <t xml:space="preserve">Distance total and travel map</t>
  </si>
  <si>
    <t xml:space="preserve">L-07</t>
  </si>
  <si>
    <t xml:space="preserve">Takt Time, Cycle Time and Lead Time</t>
  </si>
  <si>
    <t xml:space="preserve">Is my line fast enough for demand?</t>
  </si>
  <si>
    <t xml:space="preserve">Demand, available time, cycle times</t>
  </si>
  <si>
    <t xml:space="preserve">Takt vs cycle comparison</t>
  </si>
  <si>
    <t xml:space="preserve">L-11</t>
  </si>
  <si>
    <t xml:space="preserve">Overall Equipment Effectiveness</t>
  </si>
  <si>
    <t xml:space="preserve">Where is my equipment time really going?</t>
  </si>
  <si>
    <t xml:space="preserve">Downtime, speed, quality log</t>
  </si>
  <si>
    <t xml:space="preserve">OEE with six big losses breakdown</t>
  </si>
  <si>
    <t xml:space="preserve">L-22</t>
  </si>
  <si>
    <t xml:space="preserve">Gemba Walk</t>
  </si>
  <si>
    <t xml:space="preserve">What is really happening where the work is done?</t>
  </si>
  <si>
    <t xml:space="preserve">Walk route and questions</t>
  </si>
  <si>
    <t xml:space="preserve">Structured observation record</t>
  </si>
  <si>
    <t xml:space="preserve">H-05</t>
  </si>
  <si>
    <t xml:space="preserve">Check Sheets and Data Collection Forms</t>
  </si>
  <si>
    <t xml:space="preserve">How do operators record data reliably?</t>
  </si>
  <si>
    <t xml:space="preserve">Defect categories</t>
  </si>
  <si>
    <t xml:space="preserve">Ready-to-print check sheet</t>
  </si>
  <si>
    <t xml:space="preserve">H-06</t>
  </si>
  <si>
    <t xml:space="preserve">Pareto Analysis</t>
  </si>
  <si>
    <t xml:space="preserve">Which few causes drive most of the loss?</t>
  </si>
  <si>
    <t xml:space="preserve">Counts or cost by category</t>
  </si>
  <si>
    <t xml:space="preserve">Pareto chart with cumulative line</t>
  </si>
  <si>
    <t xml:space="preserve">H-07</t>
  </si>
  <si>
    <t xml:space="preserve">Histogram and Box Plot</t>
  </si>
  <si>
    <t xml:space="preserve">What is the shape and spread of my data?</t>
  </si>
  <si>
    <t xml:space="preserve">Histogram and box plot by group</t>
  </si>
  <si>
    <t xml:space="preserve">H-08</t>
  </si>
  <si>
    <t xml:space="preserve">Run Chart and Trend Analysis</t>
  </si>
  <si>
    <t xml:space="preserve">Is there a trend or shift over time?</t>
  </si>
  <si>
    <t xml:space="preserve">Time-ordered data</t>
  </si>
  <si>
    <t xml:space="preserve">Run chart with runs rules</t>
  </si>
  <si>
    <t xml:space="preserve">ANALYZE  (32 sheets)</t>
  </si>
  <si>
    <t xml:space="preserve">E-17</t>
  </si>
  <si>
    <t xml:space="preserve">The Hypothesis Testing Framework</t>
  </si>
  <si>
    <t xml:space="preserve">A</t>
  </si>
  <si>
    <t xml:space="preserve">How do I turn a question into a testable hypothesis?</t>
  </si>
  <si>
    <t xml:space="preserve">Claim to be tested</t>
  </si>
  <si>
    <t xml:space="preserve">H0, H1, alpha and decision rule</t>
  </si>
  <si>
    <t xml:space="preserve">E-18</t>
  </si>
  <si>
    <t xml:space="preserve">Understanding the p-Value (and What It Is Not)</t>
  </si>
  <si>
    <t xml:space="preserve">What does this p-value really tell me?</t>
  </si>
  <si>
    <t xml:space="preserve">Test statistic and df</t>
  </si>
  <si>
    <t xml:space="preserve">Correct interpretation and common errors</t>
  </si>
  <si>
    <t xml:space="preserve">E-19</t>
  </si>
  <si>
    <t xml:space="preserve">Type I Error, Type II Error and Power</t>
  </si>
  <si>
    <t xml:space="preserve">What is the risk of missing a real difference?</t>
  </si>
  <si>
    <t xml:space="preserve">Alpha, effect size, n, sigma</t>
  </si>
  <si>
    <t xml:space="preserve">Power curve and beta risk</t>
  </si>
  <si>
    <t xml:space="preserve">E-21</t>
  </si>
  <si>
    <t xml:space="preserve">Statistical vs Practical Significance</t>
  </si>
  <si>
    <t xml:space="preserve">Is this difference worth acting on?</t>
  </si>
  <si>
    <t xml:space="preserve">Test result and cost data</t>
  </si>
  <si>
    <t xml:space="preserve">Effect size and business relevance verdict</t>
  </si>
  <si>
    <t xml:space="preserve">E-22</t>
  </si>
  <si>
    <t xml:space="preserve">Hypothesis Test Selection Roadmap</t>
  </si>
  <si>
    <t xml:space="preserve">Which test do I run, step by step?</t>
  </si>
  <si>
    <t xml:space="preserve">Data types and design</t>
  </si>
  <si>
    <t xml:space="preserve">Routed test recommendation</t>
  </si>
  <si>
    <t xml:space="preserve">E-23</t>
  </si>
  <si>
    <t xml:space="preserve">One-Sample t-Test</t>
  </si>
  <si>
    <t xml:space="preserve">Is my process mean different from target?</t>
  </si>
  <si>
    <t xml:space="preserve">Continuous sample and target</t>
  </si>
  <si>
    <t xml:space="preserve">t, p-value, CI and verdict</t>
  </si>
  <si>
    <t xml:space="preserve">E-24</t>
  </si>
  <si>
    <t xml:space="preserve">Two-Sample t-Test (Welch and Pooled)</t>
  </si>
  <si>
    <t xml:space="preserve">Do these two shifts or machines differ in mean?</t>
  </si>
  <si>
    <t xml:space="preserve">Two independent samples</t>
  </si>
  <si>
    <t xml:space="preserve">Welch and pooled t, p-value, CI</t>
  </si>
  <si>
    <t xml:space="preserve">E-25</t>
  </si>
  <si>
    <t xml:space="preserve">Paired t-Test</t>
  </si>
  <si>
    <t xml:space="preserve">Did the change move the same units?</t>
  </si>
  <si>
    <t xml:space="preserve">Before/after pairs</t>
  </si>
  <si>
    <t xml:space="preserve">Mean difference, t, p-value, CI</t>
  </si>
  <si>
    <t xml:space="preserve">E-26</t>
  </si>
  <si>
    <t xml:space="preserve">One-Way ANOVA with Tukey HSD</t>
  </si>
  <si>
    <t xml:space="preserve">Do three or more groups differ in mean?</t>
  </si>
  <si>
    <t xml:space="preserve">Continuous Y, one categorical X</t>
  </si>
  <si>
    <t xml:space="preserve">ANOVA table, eta-squared, Tukey pairs</t>
  </si>
  <si>
    <t xml:space="preserve">E-27</t>
  </si>
  <si>
    <t xml:space="preserve">Two-Way ANOVA and Interactions</t>
  </si>
  <si>
    <t xml:space="preserve">Do two factors interact?</t>
  </si>
  <si>
    <t xml:space="preserve">Continuous Y, two categorical X</t>
  </si>
  <si>
    <t xml:space="preserve">Two-way ANOVA table and interaction plot</t>
  </si>
  <si>
    <t xml:space="preserve">E-28</t>
  </si>
  <si>
    <t xml:space="preserve">Tests for Variance: F, Levene, Bartlett</t>
  </si>
  <si>
    <t xml:space="preserve">Is one group more variable than another?</t>
  </si>
  <si>
    <t xml:space="preserve">Two or more samples</t>
  </si>
  <si>
    <t xml:space="preserve">F, Levene, Bartlett statistics and verdict</t>
  </si>
  <si>
    <t xml:space="preserve">E-29</t>
  </si>
  <si>
    <t xml:space="preserve">One and Two Proportion Tests</t>
  </si>
  <si>
    <t xml:space="preserve">Has my defect rate really changed?</t>
  </si>
  <si>
    <t xml:space="preserve">x and n per group</t>
  </si>
  <si>
    <t xml:space="preserve">Z statistic, p-value, CI on difference</t>
  </si>
  <si>
    <t xml:space="preserve">E-30</t>
  </si>
  <si>
    <t xml:space="preserve">Chi-Square Tests and Fisher Exact</t>
  </si>
  <si>
    <t xml:space="preserve">Are these two categorical variables related?</t>
  </si>
  <si>
    <t xml:space="preserve">Contingency table</t>
  </si>
  <si>
    <t xml:space="preserve">Chi-square, p-value, expected counts</t>
  </si>
  <si>
    <t xml:space="preserve">E-31</t>
  </si>
  <si>
    <t xml:space="preserve">Nonparametric Tests</t>
  </si>
  <si>
    <t xml:space="preserve">What do I run when normality fails?</t>
  </si>
  <si>
    <t xml:space="preserve">Ordinal or non-normal data</t>
  </si>
  <si>
    <t xml:space="preserve">Mann-Whitney, Kruskal-Wallis, sign test</t>
  </si>
  <si>
    <t xml:space="preserve">E-32</t>
  </si>
  <si>
    <t xml:space="preserve">Normality Testing and Probability Plots</t>
  </si>
  <si>
    <t xml:space="preserve">Can I assume normality?</t>
  </si>
  <si>
    <t xml:space="preserve">Anderson-Darling style verdict and probability plot</t>
  </si>
  <si>
    <t xml:space="preserve">E-33</t>
  </si>
  <si>
    <t xml:space="preserve">When Assumptions Fail: Transformations and Alternatives</t>
  </si>
  <si>
    <t xml:space="preserve">My assumptions failed - now what?</t>
  </si>
  <si>
    <t xml:space="preserve">The failing dataset</t>
  </si>
  <si>
    <t xml:space="preserve">Box-Cox lambda and alternative test route</t>
  </si>
  <si>
    <t xml:space="preserve">E-34</t>
  </si>
  <si>
    <t xml:space="preserve">Scatter Plots and Correlation</t>
  </si>
  <si>
    <t xml:space="preserve">Do these two variables move together?</t>
  </si>
  <si>
    <t xml:space="preserve">Paired continuous data</t>
  </si>
  <si>
    <t xml:space="preserve">Pearson r, Spearman rho, p-value, scatter</t>
  </si>
  <si>
    <t xml:space="preserve">E-35</t>
  </si>
  <si>
    <t xml:space="preserve">Correlation, Causation and Confounding</t>
  </si>
  <si>
    <t xml:space="preserve">Does X cause Y or is something else driving both?</t>
  </si>
  <si>
    <t xml:space="preserve">Correlation result and context</t>
  </si>
  <si>
    <t xml:space="preserve">Causality checklist and confounder list</t>
  </si>
  <si>
    <t xml:space="preserve">E-36</t>
  </si>
  <si>
    <t xml:space="preserve">Simple Linear Regression</t>
  </si>
  <si>
    <t xml:space="preserve">How much does Y change when X changes?</t>
  </si>
  <si>
    <t xml:space="preserve">Slope, intercept, R-squared, prediction</t>
  </si>
  <si>
    <t xml:space="preserve">E-37</t>
  </si>
  <si>
    <t xml:space="preserve">Residual Analysis and Model Diagnostics</t>
  </si>
  <si>
    <t xml:space="preserve">Is my model trustworthy?</t>
  </si>
  <si>
    <t xml:space="preserve">Fitted model residuals</t>
  </si>
  <si>
    <t xml:space="preserve">Four residual plots and diagnosis</t>
  </si>
  <si>
    <t xml:space="preserve">E-38</t>
  </si>
  <si>
    <t xml:space="preserve">Multiple Regression and Multicollinearity</t>
  </si>
  <si>
    <t xml:space="preserve">Which of several inputs really drive Y?</t>
  </si>
  <si>
    <t xml:space="preserve">Y plus several continuous X</t>
  </si>
  <si>
    <t xml:space="preserve">Coefficients, adjusted R-squared, VIF</t>
  </si>
  <si>
    <t xml:space="preserve">E-39</t>
  </si>
  <si>
    <t xml:space="preserve">Binary Logistic Regression</t>
  </si>
  <si>
    <t xml:space="preserve">What drives pass/fail outcomes?</t>
  </si>
  <si>
    <t xml:space="preserve">Binary Y plus continuous X</t>
  </si>
  <si>
    <t xml:space="preserve">Odds ratios and fitted probabilities</t>
  </si>
  <si>
    <t xml:space="preserve">E-40</t>
  </si>
  <si>
    <t xml:space="preserve">Multi-Vari Analysis</t>
  </si>
  <si>
    <t xml:space="preserve">Where does my variation live: within, between or over time?</t>
  </si>
  <si>
    <t xml:space="preserve">Nested sampling data</t>
  </si>
  <si>
    <t xml:space="preserve">Multi-vari chart and dominant family</t>
  </si>
  <si>
    <t xml:space="preserve">L-01</t>
  </si>
  <si>
    <t xml:space="preserve">The Eight Wastes (DOWNTIME)</t>
  </si>
  <si>
    <t xml:space="preserve">Where is the waste in this process?</t>
  </si>
  <si>
    <t xml:space="preserve">Process observation</t>
  </si>
  <si>
    <t xml:space="preserve">Waste inventory by category</t>
  </si>
  <si>
    <t xml:space="preserve">L-06</t>
  </si>
  <si>
    <t xml:space="preserve">Value-Added / Non-Value-Added Analysis</t>
  </si>
  <si>
    <t xml:space="preserve">How much of my lead time adds value?</t>
  </si>
  <si>
    <t xml:space="preserve">Step times and classification</t>
  </si>
  <si>
    <t xml:space="preserve">VA ratio and NVA target list</t>
  </si>
  <si>
    <t xml:space="preserve">L-08</t>
  </si>
  <si>
    <t xml:space="preserve">Little's Law and Work in Process</t>
  </si>
  <si>
    <t xml:space="preserve">How much WIP explains my lead time?</t>
  </si>
  <si>
    <t xml:space="preserve">WIP and throughput</t>
  </si>
  <si>
    <t xml:space="preserve">Lead time from WIP and exit rate</t>
  </si>
  <si>
    <t xml:space="preserve">L-09</t>
  </si>
  <si>
    <t xml:space="preserve">Theory of Constraints and Bottleneck Analysis</t>
  </si>
  <si>
    <t xml:space="preserve">Which machine truly limits my output?</t>
  </si>
  <si>
    <t xml:space="preserve">Capacity by station</t>
  </si>
  <si>
    <t xml:space="preserve">Identified constraint and exploitation plan</t>
  </si>
  <si>
    <t xml:space="preserve">H-09</t>
  </si>
  <si>
    <t xml:space="preserve">Stratification</t>
  </si>
  <si>
    <t xml:space="preserve">Does the problem hide inside a subgroup?</t>
  </si>
  <si>
    <t xml:space="preserve">Data with stratifying factors</t>
  </si>
  <si>
    <t xml:space="preserve">Stratified comparison table</t>
  </si>
  <si>
    <t xml:space="preserve">H-10</t>
  </si>
  <si>
    <t xml:space="preserve">Ishikawa / Fishbone Diagram</t>
  </si>
  <si>
    <t xml:space="preserve">What are all the candidate causes?</t>
  </si>
  <si>
    <t xml:space="preserve">Team knowledge</t>
  </si>
  <si>
    <t xml:space="preserve">6M cause tree</t>
  </si>
  <si>
    <t xml:space="preserve">H-11</t>
  </si>
  <si>
    <t xml:space="preserve">5 Whys</t>
  </si>
  <si>
    <t xml:space="preserve">What is the true root cause?</t>
  </si>
  <si>
    <t xml:space="preserve">Verified failure chain</t>
  </si>
  <si>
    <t xml:space="preserve">Causal chain to root cause</t>
  </si>
  <si>
    <t xml:space="preserve">H-12</t>
  </si>
  <si>
    <t xml:space="preserve">Cause and Effect (X-Y) Matrix</t>
  </si>
  <si>
    <t xml:space="preserve">Which process inputs matter most to my outputs?</t>
  </si>
  <si>
    <t xml:space="preserve">Inputs, outputs, weights</t>
  </si>
  <si>
    <t xml:space="preserve">Ranked inputs by weighted score</t>
  </si>
  <si>
    <t xml:space="preserve">H-13</t>
  </si>
  <si>
    <t xml:space="preserve">FMEA (AIAG-VDA 2019, Action Priority)</t>
  </si>
  <si>
    <t xml:space="preserve">Which failure modes must I act on first?</t>
  </si>
  <si>
    <t xml:space="preserve">Failure modes with S, O, D</t>
  </si>
  <si>
    <t xml:space="preserve">Action Priority High/Medium/Low</t>
  </si>
  <si>
    <t xml:space="preserve">IMPROVE  (20 sheets)</t>
  </si>
  <si>
    <t xml:space="preserve">E-41</t>
  </si>
  <si>
    <t xml:space="preserve">DOE Fundamentals and Terminology</t>
  </si>
  <si>
    <t xml:space="preserve">I</t>
  </si>
  <si>
    <t xml:space="preserve">What is a designed experiment and why beat one-factor-at-a-time?</t>
  </si>
  <si>
    <t xml:space="preserve">Factor list</t>
  </si>
  <si>
    <t xml:space="preserve">Design vocabulary and planning sheet</t>
  </si>
  <si>
    <t xml:space="preserve">E-42</t>
  </si>
  <si>
    <t xml:space="preserve">Full Factorial Designs (2^k)</t>
  </si>
  <si>
    <t xml:space="preserve">Which factors and interactions move my response?</t>
  </si>
  <si>
    <t xml:space="preserve">Runs of a 2^k design</t>
  </si>
  <si>
    <t xml:space="preserve">Effects, main effects and interaction plots</t>
  </si>
  <si>
    <t xml:space="preserve">E-43</t>
  </si>
  <si>
    <t xml:space="preserve">Fractional Factorial, Resolution and Aliasing</t>
  </si>
  <si>
    <t xml:space="preserve">How do I test many factors in few runs?</t>
  </si>
  <si>
    <t xml:space="preserve">Runs of a fractional design</t>
  </si>
  <si>
    <t xml:space="preserve">Generator, alias structure, resolution</t>
  </si>
  <si>
    <t xml:space="preserve">E-44</t>
  </si>
  <si>
    <t xml:space="preserve">Screening Designs (Plackett-Burman)</t>
  </si>
  <si>
    <t xml:space="preserve">Which of many candidate factors matter at all?</t>
  </si>
  <si>
    <t xml:space="preserve">Screening runs</t>
  </si>
  <si>
    <t xml:space="preserve">Ranked factor effects</t>
  </si>
  <si>
    <t xml:space="preserve">E-45</t>
  </si>
  <si>
    <t xml:space="preserve">Centre Points and Curvature Detection</t>
  </si>
  <si>
    <t xml:space="preserve">Is my response surface curved?</t>
  </si>
  <si>
    <t xml:space="preserve">Factorial plus centre points</t>
  </si>
  <si>
    <t xml:space="preserve">Curvature test and verdict</t>
  </si>
  <si>
    <t xml:space="preserve">E-46</t>
  </si>
  <si>
    <t xml:space="preserve">Response Surface Methods and Optimisation</t>
  </si>
  <si>
    <t xml:space="preserve">What settings optimise my response?</t>
  </si>
  <si>
    <t xml:space="preserve">RSM design runs</t>
  </si>
  <si>
    <t xml:space="preserve">Fitted surface and optimum settings</t>
  </si>
  <si>
    <t xml:space="preserve">L-03</t>
  </si>
  <si>
    <t xml:space="preserve">Value Stream Map - Future State</t>
  </si>
  <si>
    <t xml:space="preserve">What should the flow look like?</t>
  </si>
  <si>
    <t xml:space="preserve">Current state map plus takt</t>
  </si>
  <si>
    <t xml:space="preserve">Future state map and kaizen bursts</t>
  </si>
  <si>
    <t xml:space="preserve">L-10</t>
  </si>
  <si>
    <t xml:space="preserve">Line Balancing and Yamazumi</t>
  </si>
  <si>
    <t xml:space="preserve">How do I level the work across stations?</t>
  </si>
  <si>
    <t xml:space="preserve">Task times and precedence</t>
  </si>
  <si>
    <t xml:space="preserve">Balanced allocation and efficiency</t>
  </si>
  <si>
    <t xml:space="preserve">L-12</t>
  </si>
  <si>
    <t xml:space="preserve">5S and Workplace Organisation</t>
  </si>
  <si>
    <t xml:space="preserve">Is the workplace organised and sustainable?</t>
  </si>
  <si>
    <t xml:space="preserve">Area audit</t>
  </si>
  <si>
    <t xml:space="preserve">5S audit score and action list</t>
  </si>
  <si>
    <t xml:space="preserve">L-15</t>
  </si>
  <si>
    <t xml:space="preserve">SMED and Quick Changeover</t>
  </si>
  <si>
    <t xml:space="preserve">How do I cut changeover time?</t>
  </si>
  <si>
    <t xml:space="preserve">Timed changeover elements</t>
  </si>
  <si>
    <t xml:space="preserve">Internal/external split and time reduction</t>
  </si>
  <si>
    <t xml:space="preserve">L-16</t>
  </si>
  <si>
    <t xml:space="preserve">TPM and Autonomous Maintenance</t>
  </si>
  <si>
    <t xml:space="preserve">How do I stop the same breakdowns recurring?</t>
  </si>
  <si>
    <t xml:space="preserve">Failure history and CLARI tasks</t>
  </si>
  <si>
    <t xml:space="preserve">AM step plan and pillar scorecard</t>
  </si>
  <si>
    <t xml:space="preserve">L-17</t>
  </si>
  <si>
    <t xml:space="preserve">Poka-Yoke (Mistake Proofing)</t>
  </si>
  <si>
    <t xml:space="preserve">How do I make the error impossible?</t>
  </si>
  <si>
    <t xml:space="preserve">Error modes list</t>
  </si>
  <si>
    <t xml:space="preserve">Mistake-proofing device concepts</t>
  </si>
  <si>
    <t xml:space="preserve">L-19</t>
  </si>
  <si>
    <t xml:space="preserve">Pull Systems and Kanban</t>
  </si>
  <si>
    <t xml:space="preserve">How much inventory should sit between steps?</t>
  </si>
  <si>
    <t xml:space="preserve">Demand, lead time, variability</t>
  </si>
  <si>
    <t xml:space="preserve">Kanban card quantity</t>
  </si>
  <si>
    <t xml:space="preserve">L-20</t>
  </si>
  <si>
    <t xml:space="preserve">Heijunka (Level Loading)</t>
  </si>
  <si>
    <t xml:space="preserve">How do I smooth an uneven schedule?</t>
  </si>
  <si>
    <t xml:space="preserve">Product mix and volumes</t>
  </si>
  <si>
    <t xml:space="preserve">Levelled production pattern (EPEI)</t>
  </si>
  <si>
    <t xml:space="preserve">L-21</t>
  </si>
  <si>
    <t xml:space="preserve">Kaizen Event Planning and Execution</t>
  </si>
  <si>
    <t xml:space="preserve">How do I run a one-week improvement event?</t>
  </si>
  <si>
    <t xml:space="preserve">Scope and team</t>
  </si>
  <si>
    <t xml:space="preserve">Event charter and daily agenda</t>
  </si>
  <si>
    <t xml:space="preserve">L-23</t>
  </si>
  <si>
    <t xml:space="preserve">PDCA / PDSA Cycle</t>
  </si>
  <si>
    <t xml:space="preserve">How do I test a change safely?</t>
  </si>
  <si>
    <t xml:space="preserve">Change idea and metric</t>
  </si>
  <si>
    <t xml:space="preserve">PDCA cycle record</t>
  </si>
  <si>
    <t xml:space="preserve">L-24</t>
  </si>
  <si>
    <t xml:space="preserve">Idea Generation: Brainwriting, SCAMPER</t>
  </si>
  <si>
    <t xml:space="preserve">How do I generate solutions beyond the obvious?</t>
  </si>
  <si>
    <t xml:space="preserve">Problem statement</t>
  </si>
  <si>
    <t xml:space="preserve">Structured idea list</t>
  </si>
  <si>
    <t xml:space="preserve">L-25</t>
  </si>
  <si>
    <t xml:space="preserve">Pugh Matrix, Impact-Effort, Weighted Criteria</t>
  </si>
  <si>
    <t xml:space="preserve">Which solution should I pick?</t>
  </si>
  <si>
    <t xml:space="preserve">Solution options and criteria</t>
  </si>
  <si>
    <t xml:space="preserve">Ranked solutions with scores</t>
  </si>
  <si>
    <t xml:space="preserve">L-26</t>
  </si>
  <si>
    <t xml:space="preserve">Pilot Design and Confirmation Run</t>
  </si>
  <si>
    <t xml:space="preserve">Did the improvement actually work?</t>
  </si>
  <si>
    <t xml:space="preserve">Before/after data</t>
  </si>
  <si>
    <t xml:space="preserve">Confirmation test and hold decision</t>
  </si>
  <si>
    <t xml:space="preserve">G-06</t>
  </si>
  <si>
    <t xml:space="preserve">Change Management and Resistance (ADKAR)</t>
  </si>
  <si>
    <t xml:space="preserve">Why is the team resisting and what closes the gap?</t>
  </si>
  <si>
    <t xml:space="preserve">ADKAR assessment</t>
  </si>
  <si>
    <t xml:space="preserve">ADKAR gap score and intervention plan</t>
  </si>
  <si>
    <t xml:space="preserve">CONTROL  (16 sheets)</t>
  </si>
  <si>
    <t xml:space="preserve">E-47</t>
  </si>
  <si>
    <t xml:space="preserve">Common Cause vs Special Cause Variation</t>
  </si>
  <si>
    <t xml:space="preserve">C</t>
  </si>
  <si>
    <t xml:space="preserve">Should I react to this point or leave the process alone?</t>
  </si>
  <si>
    <t xml:space="preserve">Cause classification and reaction guidance</t>
  </si>
  <si>
    <t xml:space="preserve">E-48</t>
  </si>
  <si>
    <t xml:space="preserve">Control Chart Selection Tree</t>
  </si>
  <si>
    <t xml:space="preserve">Which control chart fits my data?</t>
  </si>
  <si>
    <t xml:space="preserve">Data type and subgroup size</t>
  </si>
  <si>
    <t xml:space="preserve">Named chart with link</t>
  </si>
  <si>
    <t xml:space="preserve">E-49</t>
  </si>
  <si>
    <t xml:space="preserve">Individuals and Moving Range Chart</t>
  </si>
  <si>
    <t xml:space="preserve">Is my one-at-a-time measurement stable?</t>
  </si>
  <si>
    <t xml:space="preserve">25 individual values</t>
  </si>
  <si>
    <t xml:space="preserve">I and MR charts with limits and flags</t>
  </si>
  <si>
    <t xml:space="preserve">E-50</t>
  </si>
  <si>
    <t xml:space="preserve">Xbar-R Chart</t>
  </si>
  <si>
    <t xml:space="preserve">Is my subgrouped process stable (n&lt;=8)?</t>
  </si>
  <si>
    <t xml:space="preserve">25 subgroups of 2-8</t>
  </si>
  <si>
    <t xml:space="preserve">Xbar and R charts with limits</t>
  </si>
  <si>
    <t xml:space="preserve">E-51</t>
  </si>
  <si>
    <t xml:space="preserve">Xbar-S Chart</t>
  </si>
  <si>
    <t xml:space="preserve">Is my process stable with large subgroups?</t>
  </si>
  <si>
    <t xml:space="preserve">25 subgroups of 9+</t>
  </si>
  <si>
    <t xml:space="preserve">Xbar and S charts with limits</t>
  </si>
  <si>
    <t xml:space="preserve">E-52</t>
  </si>
  <si>
    <t xml:space="preserve">p and np Charts</t>
  </si>
  <si>
    <t xml:space="preserve">Is my defective rate stable?</t>
  </si>
  <si>
    <t xml:space="preserve">Defectives and lot sizes</t>
  </si>
  <si>
    <t xml:space="preserve">p or np chart with variable limits</t>
  </si>
  <si>
    <t xml:space="preserve">E-53</t>
  </si>
  <si>
    <t xml:space="preserve">c and u Charts</t>
  </si>
  <si>
    <t xml:space="preserve">Is my defects-per-unit rate stable?</t>
  </si>
  <si>
    <t xml:space="preserve">Defect counts and exposure</t>
  </si>
  <si>
    <t xml:space="preserve">c or u chart with limits</t>
  </si>
  <si>
    <t xml:space="preserve">E-54</t>
  </si>
  <si>
    <t xml:space="preserve">Laney p' and u' Charts (Overdispersion)</t>
  </si>
  <si>
    <t xml:space="preserve">My attribute chart flags everything - is it overdispersion?</t>
  </si>
  <si>
    <t xml:space="preserve">Large-subgroup attribute data</t>
  </si>
  <si>
    <t xml:space="preserve">Sigma-Z corrected p' or u' chart</t>
  </si>
  <si>
    <t xml:space="preserve">E-55</t>
  </si>
  <si>
    <t xml:space="preserve">CUSUM and EWMA Charts</t>
  </si>
  <si>
    <t xml:space="preserve">How do I detect a small sustained shift quickly?</t>
  </si>
  <si>
    <t xml:space="preserve">CUSUM and EWMA charts with limits</t>
  </si>
  <si>
    <t xml:space="preserve">E-56</t>
  </si>
  <si>
    <t xml:space="preserve">Western Electric and Nelson Rules</t>
  </si>
  <si>
    <t xml:space="preserve">Which patterns count as out of control?</t>
  </si>
  <si>
    <t xml:space="preserve">Control chart data</t>
  </si>
  <si>
    <t xml:space="preserve">Rule-by-rule flag columns</t>
  </si>
  <si>
    <t xml:space="preserve">L-13</t>
  </si>
  <si>
    <t xml:space="preserve">Visual Management</t>
  </si>
  <si>
    <t xml:space="preserve">Can an outsider see the status in 30 seconds?</t>
  </si>
  <si>
    <t xml:space="preserve">Area walk</t>
  </si>
  <si>
    <t xml:space="preserve">Visual control design plan</t>
  </si>
  <si>
    <t xml:space="preserve">L-14</t>
  </si>
  <si>
    <t xml:space="preserve">Standard Work and Combination Sheet</t>
  </si>
  <si>
    <t xml:space="preserve">Is there one best known way and is it followed?</t>
  </si>
  <si>
    <t xml:space="preserve">Element times and sequence</t>
  </si>
  <si>
    <t xml:space="preserve">Standard work combination sheet</t>
  </si>
  <si>
    <t xml:space="preserve">L-18</t>
  </si>
  <si>
    <t xml:space="preserve">Jidoka and Andon</t>
  </si>
  <si>
    <t xml:space="preserve">How does the line call for help and stop on defect?</t>
  </si>
  <si>
    <t xml:space="preserve">Stop rules and escalation</t>
  </si>
  <si>
    <t xml:space="preserve">Andon escalation matrix</t>
  </si>
  <si>
    <t xml:space="preserve">H-16</t>
  </si>
  <si>
    <t xml:space="preserve">Control Plan and Reaction Plan (OCAP)</t>
  </si>
  <si>
    <t xml:space="preserve">Who does what when the process drifts?</t>
  </si>
  <si>
    <t xml:space="preserve">Control characteristics and limits</t>
  </si>
  <si>
    <t xml:space="preserve">Control plan and 3-level reaction plan</t>
  </si>
  <si>
    <t xml:space="preserve">G-09</t>
  </si>
  <si>
    <t xml:space="preserve">Financial Benefit Validation (Hard vs Soft)</t>
  </si>
  <si>
    <t xml:space="preserve">How much did we really save?</t>
  </si>
  <si>
    <t xml:space="preserve">Before/after costs, volumes</t>
  </si>
  <si>
    <t xml:space="preserve">Finance-signed benefit statement</t>
  </si>
  <si>
    <t xml:space="preserve">G-10</t>
  </si>
  <si>
    <t xml:space="preserve">Closure, Handover, Lessons Learned, Replication</t>
  </si>
  <si>
    <t xml:space="preserve">How do I hand over and replicate the gain?</t>
  </si>
  <si>
    <t xml:space="preserve">Project record</t>
  </si>
  <si>
    <t xml:space="preserve">Handover pack and replication list</t>
  </si>
  <si>
    <t xml:space="preserve">TRANSVERSAL / EXAM  (22 sheets)</t>
  </si>
  <si>
    <t xml:space="preserve">N-01</t>
  </si>
  <si>
    <t xml:space="preserve">Cover and Version Control</t>
  </si>
  <si>
    <t xml:space="preserve">X</t>
  </si>
  <si>
    <t xml:space="preserve">What is this workbook and which version am I holding?</t>
  </si>
  <si>
    <t xml:space="preserve">None</t>
  </si>
  <si>
    <t xml:space="preserve">Version record and block map</t>
  </si>
  <si>
    <t xml:space="preserve">N-02</t>
  </si>
  <si>
    <t xml:space="preserve">How To Use This Workbook</t>
  </si>
  <si>
    <t xml:space="preserve">How is a sheet laid out and how do I navigate?</t>
  </si>
  <si>
    <t xml:space="preserve">Colour legend and sheet anatomy</t>
  </si>
  <si>
    <t xml:space="preserve">N-03</t>
  </si>
  <si>
    <t xml:space="preserve">Master Index by DMAIC Phase</t>
  </si>
  <si>
    <t xml:space="preserve">Which tools belong to each DMAIC phase?</t>
  </si>
  <si>
    <t xml:space="preserve">Filterable master list of 130 sheets</t>
  </si>
  <si>
    <t xml:space="preserve">N-04</t>
  </si>
  <si>
    <t xml:space="preserve">Index by Type of Question</t>
  </si>
  <si>
    <t xml:space="preserve">Which tool answers the question I actually have?</t>
  </si>
  <si>
    <t xml:space="preserve">Tools grouped under nine questions</t>
  </si>
  <si>
    <t xml:space="preserve">N-05</t>
  </si>
  <si>
    <t xml:space="preserve">Statistical Test Selector (Y vs X Matrix)</t>
  </si>
  <si>
    <t xml:space="preserve">Which statistical test fits my Y and my X?</t>
  </si>
  <si>
    <t xml:space="preserve">Type of Y and type of X</t>
  </si>
  <si>
    <t xml:space="preserve">Named test plus nonparametric alternative</t>
  </si>
  <si>
    <t xml:space="preserve">N-06</t>
  </si>
  <si>
    <t xml:space="preserve">Index by Problem Archetype</t>
  </si>
  <si>
    <t xml:space="preserve">I have this problem on the floor - what do I do first?</t>
  </si>
  <si>
    <t xml:space="preserve">Numbered tool route with expected outputs</t>
  </si>
  <si>
    <t xml:space="preserve">N-07</t>
  </si>
  <si>
    <t xml:space="preserve">Phase Tollgate Checklists</t>
  </si>
  <si>
    <t xml:space="preserve">Can I close this phase and face the Champion?</t>
  </si>
  <si>
    <t xml:space="preserve">Project deliverables</t>
  </si>
  <si>
    <t xml:space="preserve">Percentage complete per phase and readiness</t>
  </si>
  <si>
    <t xml:space="preserve">N-08</t>
  </si>
  <si>
    <t xml:space="preserve">When Not To Run a Full DMAIC</t>
  </si>
  <si>
    <t xml:space="preserve">Does this problem really need a full DMAIC?</t>
  </si>
  <si>
    <t xml:space="preserve">Five screening answers</t>
  </si>
  <si>
    <t xml:space="preserve">Recommended methodology route</t>
  </si>
  <si>
    <t xml:space="preserve">H-14</t>
  </si>
  <si>
    <t xml:space="preserve">A3 Problem Solving</t>
  </si>
  <si>
    <t xml:space="preserve">How do I tell the whole story on one page?</t>
  </si>
  <si>
    <t xml:space="preserve">Problem, analysis, plan</t>
  </si>
  <si>
    <t xml:space="preserve">Completed A3 report</t>
  </si>
  <si>
    <t xml:space="preserve">H-15</t>
  </si>
  <si>
    <t xml:space="preserve">8D Problem Solving</t>
  </si>
  <si>
    <t xml:space="preserve">How do I respond to a customer complaint formally?</t>
  </si>
  <si>
    <t xml:space="preserve">Complaint and containment data</t>
  </si>
  <si>
    <t xml:space="preserve">8D report with D1-D8</t>
  </si>
  <si>
    <t xml:space="preserve">G-07</t>
  </si>
  <si>
    <t xml:space="preserve">Project Risk Register</t>
  </si>
  <si>
    <t xml:space="preserve">What could derail this project?</t>
  </si>
  <si>
    <t xml:space="preserve">Risk list with P and I</t>
  </si>
  <si>
    <t xml:space="preserve">Scored risk register with owners</t>
  </si>
  <si>
    <t xml:space="preserve">G-08</t>
  </si>
  <si>
    <t xml:space="preserve">Project Schedule, Gantt and PERT/CPM</t>
  </si>
  <si>
    <t xml:space="preserve">When will this finish and what is critical?</t>
  </si>
  <si>
    <t xml:space="preserve">Tasks, durations, dependencies</t>
  </si>
  <si>
    <t xml:space="preserve">Critical path, float and Gantt</t>
  </si>
  <si>
    <t xml:space="preserve">U-01</t>
  </si>
  <si>
    <t xml:space="preserve">Z, t, Chi-Square and F Tables</t>
  </si>
  <si>
    <t xml:space="preserve">What is the critical value for my test?</t>
  </si>
  <si>
    <t xml:space="preserve">df and alpha</t>
  </si>
  <si>
    <t xml:space="preserve">Numeric critical value tables</t>
  </si>
  <si>
    <t xml:space="preserve">U-02</t>
  </si>
  <si>
    <t xml:space="preserve">Control Chart Constants (d2, d3, A2, D3, D4, c4, B3, B4, E2)</t>
  </si>
  <si>
    <t xml:space="preserve">Which constant applies to my subgroup size?</t>
  </si>
  <si>
    <t xml:space="preserve">Subgroup size</t>
  </si>
  <si>
    <t xml:space="preserve">Constants for n = 2 to 25</t>
  </si>
  <si>
    <t xml:space="preserve">U-03</t>
  </si>
  <si>
    <t xml:space="preserve">Excel Statistical Function Reference</t>
  </si>
  <si>
    <t xml:space="preserve">Which Excel function performs this calculation?</t>
  </si>
  <si>
    <t xml:space="preserve">Function syntax reference</t>
  </si>
  <si>
    <t xml:space="preserve">U-04</t>
  </si>
  <si>
    <t xml:space="preserve">Master Formula Sheet</t>
  </si>
  <si>
    <t xml:space="preserve">What is the formula, quickly?</t>
  </si>
  <si>
    <t xml:space="preserve">One-page formula compendium</t>
  </si>
  <si>
    <t xml:space="preserve">U-05</t>
  </si>
  <si>
    <t xml:space="preserve">Glossary English-Spanish</t>
  </si>
  <si>
    <t xml:space="preserve">What does this term mean, in both languages?</t>
  </si>
  <si>
    <t xml:space="preserve">200+ bilingual terms with sheet links</t>
  </si>
  <si>
    <t xml:space="preserve">U-06</t>
  </si>
  <si>
    <t xml:space="preserve">Universal Sample Size Calculator</t>
  </si>
  <si>
    <t xml:space="preserve">How many samples for any of my scenarios?</t>
  </si>
  <si>
    <t xml:space="preserve">Alpha, power, delta, sigma or p</t>
  </si>
  <si>
    <t xml:space="preserve">Required n across scenarios</t>
  </si>
  <si>
    <t xml:space="preserve">U-07</t>
  </si>
  <si>
    <t xml:space="preserve">Example Data Bank (PET, Kegs, Lab, Safety)</t>
  </si>
  <si>
    <t xml:space="preserve">Where do I get realistic practice data?</t>
  </si>
  <si>
    <t xml:space="preserve">Reusable datasets for every tool</t>
  </si>
  <si>
    <t xml:space="preserve">U-08</t>
  </si>
  <si>
    <t xml:space="preserve">Exam Questions: Foundations and Distributions</t>
  </si>
  <si>
    <t xml:space="preserve">Am I ready on foundations and distributions?</t>
  </si>
  <si>
    <t xml:space="preserve">40 exam questions with answers</t>
  </si>
  <si>
    <t xml:space="preserve">U-09</t>
  </si>
  <si>
    <t xml:space="preserve">Exam Questions: Inference and Hypothesis Testing</t>
  </si>
  <si>
    <t xml:space="preserve">Am I ready on inference and testing?</t>
  </si>
  <si>
    <t xml:space="preserve">U-10</t>
  </si>
  <si>
    <t xml:space="preserve">Exam Questions: Regression, DOE, SPC, Lean</t>
  </si>
  <si>
    <t xml:space="preserve">Am I ready on the advanced body of knowledge?</t>
  </si>
  <si>
    <t xml:space="preserve">Complexity is stored as a number so the header filter can isolate, for example, every Analyze tool of complexity 2 or less.</t>
  </si>
  <si>
    <t xml:space="preserve">N-04 — Index by Type of Question</t>
  </si>
  <si>
    <t xml:space="preserve">Phase: TRANSVERSAL / EXAM   |   Data required: None   |   Min. sample: n/a   |   Complexity: 1/5   |   Typical output: Tools grouped under nine questions</t>
  </si>
  <si>
    <t xml:space="preserve">You rarely know the name of the tool you need. You do know the question. Find your question below and work down the list.</t>
  </si>
  <si>
    <t xml:space="preserve">1. What is my process actually doing?</t>
  </si>
  <si>
    <t xml:space="preserve">Why this tool answers the question</t>
  </si>
  <si>
    <t xml:space="preserve">Fixes the boundaries before anyone argues about scope</t>
  </si>
  <si>
    <t xml:space="preserve">Shows the real steps, handoffs and rework loops</t>
  </si>
  <si>
    <t xml:space="preserve">Confirms on the floor what the map claims</t>
  </si>
  <si>
    <t xml:space="preserve">Quantifies centre and spread of the key output</t>
  </si>
  <si>
    <t xml:space="preserve">Shows the shape of the distribution</t>
  </si>
  <si>
    <t xml:space="preserve">Shows behaviour over time before any limits are drawn</t>
  </si>
  <si>
    <t xml:space="preserve">Converts calendar time into OEE and the six big losses</t>
  </si>
  <si>
    <t xml:space="preserve">2. Can I trust my data?</t>
  </si>
  <si>
    <t xml:space="preserve">Operational definitions: two people, same reading</t>
  </si>
  <si>
    <t xml:space="preserve">Confirms which statistics the data type permits</t>
  </si>
  <si>
    <t xml:space="preserve">Rational subgrouping: sample so that the chart can work</t>
  </si>
  <si>
    <t xml:space="preserve">Gage R&amp;R: how much of the observed variation is the gauge</t>
  </si>
  <si>
    <t xml:space="preserve">Bias, linearity, stability and attribute agreement</t>
  </si>
  <si>
    <t xml:space="preserve">Confirms the sample is large enough to conclude anything</t>
  </si>
  <si>
    <t xml:space="preserve">3. Is my process stable?</t>
  </si>
  <si>
    <t xml:space="preserve">Common cause vs special cause before you react</t>
  </si>
  <si>
    <t xml:space="preserve">Selects the correct chart for your data type</t>
  </si>
  <si>
    <t xml:space="preserve">I-MR for individual measurements</t>
  </si>
  <si>
    <t xml:space="preserve">Xbar-R for small subgroups</t>
  </si>
  <si>
    <t xml:space="preserve">Xbar-S for subgroups of nine or more</t>
  </si>
  <si>
    <t xml:space="preserve">p and np for defective units</t>
  </si>
  <si>
    <t xml:space="preserve">c and u for defects per unit</t>
  </si>
  <si>
    <t xml:space="preserve">Laney p' and u' when subgroups are very large</t>
  </si>
  <si>
    <t xml:space="preserve">CUSUM and EWMA for small sustained shifts</t>
  </si>
  <si>
    <t xml:space="preserve">Western Electric and Nelson pattern rules</t>
  </si>
  <si>
    <t xml:space="preserve">4. Is my process capable?</t>
  </si>
  <si>
    <t xml:space="preserve">Cp, Cpk, Pp, Ppk, Cpm and PPM against specification</t>
  </si>
  <si>
    <t xml:space="preserve">Capability when the data is not normal or is attribute</t>
  </si>
  <si>
    <t xml:space="preserve">Z scores and tail probabilities behind the indices</t>
  </si>
  <si>
    <t xml:space="preserve">Whether the gap matters commercially, not just statistically</t>
  </si>
  <si>
    <t xml:space="preserve">5. Are these groups different?</t>
  </si>
  <si>
    <t xml:space="preserve">Start here: the Y vs X selector grid</t>
  </si>
  <si>
    <t xml:space="preserve">One sample against a target</t>
  </si>
  <si>
    <t xml:space="preserve">Two independent groups</t>
  </si>
  <si>
    <t xml:space="preserve">Paired before/after on the same units</t>
  </si>
  <si>
    <t xml:space="preserve">Three or more groups, plus Tukey pairwise</t>
  </si>
  <si>
    <t xml:space="preserve">Difference in variability rather than in mean</t>
  </si>
  <si>
    <t xml:space="preserve">Difference in proportion defective</t>
  </si>
  <si>
    <t xml:space="preserve">Association between two categorical variables</t>
  </si>
  <si>
    <t xml:space="preserve">Nonparametric alternatives when normality fails</t>
  </si>
  <si>
    <t xml:space="preserve">6. Are these variables related?</t>
  </si>
  <si>
    <t xml:space="preserve">Scatter plot and correlation coefficient</t>
  </si>
  <si>
    <t xml:space="preserve">Whether the relationship can be called causal</t>
  </si>
  <si>
    <t xml:space="preserve">Simple linear regression and prediction</t>
  </si>
  <si>
    <t xml:space="preserve">Residual diagnostics before you trust the model</t>
  </si>
  <si>
    <t xml:space="preserve">Several predictors at once, with VIF</t>
  </si>
  <si>
    <t xml:space="preserve">Binary outcomes such as pass/fail</t>
  </si>
  <si>
    <t xml:space="preserve">7. Which inputs matter most?</t>
  </si>
  <si>
    <t xml:space="preserve">Cause and effect matrix: cheap first pass</t>
  </si>
  <si>
    <t xml:space="preserve">Multi-vari: which family of variation dominates</t>
  </si>
  <si>
    <t xml:space="preserve">DOE fundamentals and planning</t>
  </si>
  <si>
    <t xml:space="preserve">Screening many candidate factors</t>
  </si>
  <si>
    <t xml:space="preserve">Full factorial with interactions</t>
  </si>
  <si>
    <t xml:space="preserve">Fractional factorial, aliasing and resolution</t>
  </si>
  <si>
    <t xml:space="preserve">Response surface optimisation</t>
  </si>
  <si>
    <t xml:space="preserve">8. What is the root cause?</t>
  </si>
  <si>
    <t xml:space="preserve">Fishbone: generate the candidate causes</t>
  </si>
  <si>
    <t xml:space="preserve">5 Whys: drive the chain to something actionable</t>
  </si>
  <si>
    <t xml:space="preserve">Stratification: split the data until the cause shows</t>
  </si>
  <si>
    <t xml:space="preserve">Pareto: attack the vital few</t>
  </si>
  <si>
    <t xml:space="preserve">FMEA: rank failure modes by Action Priority</t>
  </si>
  <si>
    <t xml:space="preserve">8D: formal route for a customer or safety event</t>
  </si>
  <si>
    <t xml:space="preserve">A3: one page from problem to countermeasure</t>
  </si>
  <si>
    <t xml:space="preserve">9. How do I hold the gain?</t>
  </si>
  <si>
    <t xml:space="preserve">Control plan and three-level reaction plan</t>
  </si>
  <si>
    <t xml:space="preserve">Standard work so the new way is the only way</t>
  </si>
  <si>
    <t xml:space="preserve">Visual management: status visible in 30 seconds</t>
  </si>
  <si>
    <t xml:space="preserve">Poka-yoke: make the error physically impossible</t>
  </si>
  <si>
    <t xml:space="preserve">Jidoka and Andon: stop and escalate on defect</t>
  </si>
  <si>
    <t xml:space="preserve">Rules that tell the operator when to react</t>
  </si>
  <si>
    <t xml:space="preserve">Financial validation of the benefit</t>
  </si>
  <si>
    <t xml:space="preserve">Handover, lessons learned and replication</t>
  </si>
  <si>
    <t xml:space="preserve">N-05 — Statistical Test Selector (Y vs X Matrix)</t>
  </si>
  <si>
    <t xml:space="preserve">Phase: TRANSVERSAL / EXAM   |   Data required: Type of Y and type of X   |   Min. sample: n/a   |   Complexity: 2/5   |   Typical output: Named test plus nonparametric alternative</t>
  </si>
  <si>
    <t xml:space="preserve">THE Y VERSUS X GRID</t>
  </si>
  <si>
    <t xml:space="preserve">Rows: the type of your Y (the output you measure). Columns: the type of your X (what you think changes it).</t>
  </si>
  <si>
    <t xml:space="preserve">Upper line in each cell = the standard test. Lower line = the alternative when its assumptions fail. Both are hyperlinks.</t>
  </si>
  <si>
    <t xml:space="preserve">Y \ X</t>
  </si>
  <si>
    <t xml:space="preserve">X = none
(compare with a target)</t>
  </si>
  <si>
    <t xml:space="preserve">X = two groups</t>
  </si>
  <si>
    <t xml:space="preserve">X = three or more groups</t>
  </si>
  <si>
    <t xml:space="preserve">X = continuous</t>
  </si>
  <si>
    <t xml:space="preserve">Y continuous
(fill volume, torque, PU)</t>
  </si>
  <si>
    <t xml:space="preserve">1-Sample t-Test</t>
  </si>
  <si>
    <t xml:space="preserve">2-Sample t-Test (Welch)
Paired t if same units</t>
  </si>
  <si>
    <t xml:space="preserve">One-Way ANOVA + Tukey</t>
  </si>
  <si>
    <t xml:space="preserve">Correlation then Regression</t>
  </si>
  <si>
    <t xml:space="preserve">NP: Wilcoxon signed rank</t>
  </si>
  <si>
    <t xml:space="preserve">NP: Mann-Whitney</t>
  </si>
  <si>
    <t xml:space="preserve">NP: Kruskal-Wallis</t>
  </si>
  <si>
    <t xml:space="preserve">NP: Spearman rho</t>
  </si>
  <si>
    <t xml:space="preserve">Y binary
(pass/fail, leaking keg)</t>
  </si>
  <si>
    <t xml:space="preserve">1-Proportion Test</t>
  </si>
  <si>
    <t xml:space="preserve">2-Proportion Test</t>
  </si>
  <si>
    <t xml:space="preserve">Chi-Square test of independence</t>
  </si>
  <si>
    <t xml:space="preserve">Exact binomial</t>
  </si>
  <si>
    <t xml:space="preserve">Fisher exact if counts are small</t>
  </si>
  <si>
    <t xml:space="preserve">Fisher exact</t>
  </si>
  <si>
    <t xml:space="preserve">Stratify and use Chi-Square</t>
  </si>
  <si>
    <t xml:space="preserve">Y count
(micro-stops, label defects)</t>
  </si>
  <si>
    <t xml:space="preserve">1-Sample Poisson rate test</t>
  </si>
  <si>
    <t xml:space="preserve">2-Sample Poisson rate test</t>
  </si>
  <si>
    <t xml:space="preserve">Chi-Square on a count table</t>
  </si>
  <si>
    <t xml:space="preserve">Regression on the rate (log link approx.)</t>
  </si>
  <si>
    <t xml:space="preserve">u-chart against a standard rate</t>
  </si>
  <si>
    <t xml:space="preserve">Chi-Square on counts</t>
  </si>
  <si>
    <t xml:space="preserve">Compare u-charts by group</t>
  </si>
  <si>
    <t xml:space="preserve">Bin X and use Chi-Square</t>
  </si>
  <si>
    <t xml:space="preserve">Y ordinal
(taste panel score, severity 1-5)</t>
  </si>
  <si>
    <t xml:space="preserve">Sign test / Wilcoxon signed rank</t>
  </si>
  <si>
    <t xml:space="preserve">Mann-Whitney</t>
  </si>
  <si>
    <t xml:space="preserve">Kruskal-Wallis</t>
  </si>
  <si>
    <t xml:space="preserve">Spearman rank correlation</t>
  </si>
  <si>
    <t xml:space="preserve">Treat as continuous with caution</t>
  </si>
  <si>
    <t xml:space="preserve">Chi-Square on collapsed categories</t>
  </si>
  <si>
    <t xml:space="preserve">Ordinal logistic (out of scope)</t>
  </si>
  <si>
    <t xml:space="preserve">DECISION LADDER</t>
  </si>
  <si>
    <t xml:space="preserve">START: name the Y (the output you care about) and the X (what you suspect changes it).</t>
  </si>
  <si>
    <t xml:space="preserve">Is the Y continuous, binary, a count, or ordinal?  -&gt;  choose the row in the grid above.</t>
  </si>
  <si>
    <t xml:space="preserve">Is the X absent, two groups, three or more groups, or continuous?  -&gt;  choose the column.</t>
  </si>
  <si>
    <t xml:space="preserve">IF Y IS CONTINUOUS, three questions remain before you run the test:</t>
  </si>
  <si>
    <t xml:space="preserve">Q1. Is the data approximately normal?  Test it on E-32.</t>
  </si>
  <si>
    <t xml:space="preserve">Yes  -&gt;  continue to Q2.</t>
  </si>
  <si>
    <t xml:space="preserve">No   -&gt;  transform on E-33, or jump straight to the nonparametric alternative on E-31.</t>
  </si>
  <si>
    <t xml:space="preserve">Q2. Are the group variances comparable?  Test it on E-28.</t>
  </si>
  <si>
    <t xml:space="preserve">Yes  -&gt;  pooled t-test or standard ANOVA is available.</t>
  </si>
  <si>
    <t xml:space="preserve">No   -&gt;  use Welch on E-24, or Welch ANOVA / Kruskal-Wallis.</t>
  </si>
  <si>
    <t xml:space="preserve">Q3. Are the observations paired (same bottle, same keg, same mould cavity before and after)?</t>
  </si>
  <si>
    <t xml:space="preserve">Yes  -&gt;  Paired t-Test on E-25.  Pairing is a design decision, not an afterthought.</t>
  </si>
  <si>
    <t xml:space="preserve">No   -&gt;  2-Sample t-Test on E-24.</t>
  </si>
  <si>
    <t xml:space="preserve">HOW MANY GROUPS?</t>
  </si>
  <si>
    <t xml:space="preserve">Two groups          -&gt;  E-24 or E-25.</t>
  </si>
  <si>
    <t xml:space="preserve">Three or more       -&gt;  E-26.  Never run repeated 2-sample t-tests: the family-wise alpha inflates.</t>
  </si>
  <si>
    <t xml:space="preserve">Two factors at once -&gt;  E-27, which also tests the interaction.</t>
  </si>
  <si>
    <t xml:space="preserve">BEFORE YOU CONCLUDE:</t>
  </si>
  <si>
    <t xml:space="preserve">Confirm the sample size was adequate  -&gt;  E-20 and E-19 (power).</t>
  </si>
  <si>
    <t xml:space="preserve">Confirm the difference matters operationally  -&gt;  E-21.</t>
  </si>
  <si>
    <t xml:space="preserve">ASSUMPTION FOOTER STRIP</t>
  </si>
  <si>
    <t xml:space="preserve">Check</t>
  </si>
  <si>
    <t xml:space="preserve">Sheet</t>
  </si>
  <si>
    <t xml:space="preserve">What it tells you</t>
  </si>
  <si>
    <t xml:space="preserve">Normality</t>
  </si>
  <si>
    <t xml:space="preserve">E-32  Normality Testing and Probability Plots</t>
  </si>
  <si>
    <t xml:space="preserve">Whether the parametric test is legitimate at all</t>
  </si>
  <si>
    <t xml:space="preserve">Equality of variance</t>
  </si>
  <si>
    <t xml:space="preserve">E-28  Tests for Variance: F, Levene, Bartlett</t>
  </si>
  <si>
    <t xml:space="preserve">Whether to pool or to use Welch</t>
  </si>
  <si>
    <t xml:space="preserve">Assumption failure route</t>
  </si>
  <si>
    <t xml:space="preserve">E-33  When Assumptions Fail: Transformations and Alternatives</t>
  </si>
  <si>
    <t xml:space="preserve">Transformation or nonparametric alternative</t>
  </si>
  <si>
    <t xml:space="preserve">Sample size and power</t>
  </si>
  <si>
    <t xml:space="preserve">E-20  Sample Size Determination</t>
  </si>
  <si>
    <t xml:space="preserve">Whether a non-significant result means anything</t>
  </si>
  <si>
    <t xml:space="preserve">N-06 — Index by Problem Archetype</t>
  </si>
  <si>
    <t xml:space="preserve">Phase: TRANSVERSAL / EXAM   |   Data required: Problem statement   |   Min. sample: n/a   |   Complexity: 2/5   |   Typical output: Numbered tool route with expected outputs</t>
  </si>
  <si>
    <t xml:space="preserve">Twelve problem archetypes taken from this operation. Find yours, then follow the numbered route.</t>
  </si>
  <si>
    <t xml:space="preserve">Each step names the sheet to use and the output you should hold before moving on to the next step.</t>
  </si>
  <si>
    <t xml:space="preserve">No.</t>
  </si>
  <si>
    <t xml:space="preserve">Archetype</t>
  </si>
  <si>
    <t xml:space="preserve">Typical symptom on the floor</t>
  </si>
  <si>
    <t xml:space="preserve">Typical duration</t>
  </si>
  <si>
    <t xml:space="preserve">Excessive variability in a measured characteristic</t>
  </si>
  <si>
    <t xml:space="preserve">Fill volumes swing from 495 to 508 ml on the same SKU within one shift.</t>
  </si>
  <si>
    <t xml:space="preserve">6-10 weeks</t>
  </si>
  <si>
    <t xml:space="preserve">Process off-target / centring problem</t>
  </si>
  <si>
    <t xml:space="preserve">Average fill sits at 503 ml against a 500 ml target: three millilitres given away per bottle.</t>
  </si>
  <si>
    <t xml:space="preserve">3-6 weeks</t>
  </si>
  <si>
    <t xml:space="preserve">High defect or rejection rate (attribute)</t>
  </si>
  <si>
    <t xml:space="preserve">Innocheck FBI rejects 1.8% of bottles; target is below 0.5%.</t>
  </si>
  <si>
    <t xml:space="preserve">Unplanned downtime and micro-stops</t>
  </si>
  <si>
    <t xml:space="preserve">Innopal and Robopac produce 40 to 60 micro-stops per shift, none longer than two minutes.</t>
  </si>
  <si>
    <t xml:space="preserve">8-12 weeks</t>
  </si>
  <si>
    <t xml:space="preserve">Slow changeover between formats</t>
  </si>
  <si>
    <t xml:space="preserve">A 1.5 L to 0.5 L change takes 95 minutes and varies by 30 minutes between shifts.</t>
  </si>
  <si>
    <t xml:space="preserve">4-6 weeks (Kaizen)</t>
  </si>
  <si>
    <t xml:space="preserve">Material loss / yield / shrinkage</t>
  </si>
  <si>
    <t xml:space="preserve">PET preform consumption runs 2.4% above theoretical; label loss above 3%.</t>
  </si>
  <si>
    <t xml:space="preserve">Long cycle time or low throughput</t>
  </si>
  <si>
    <t xml:space="preserve">Nominal 18,000 BPH but the real average over a week is 13,400 BPH.</t>
  </si>
  <si>
    <t xml:space="preserve">Customer complaint or market incident</t>
  </si>
  <si>
    <t xml:space="preserve">Distributor reports flat product and low CO2 in a specific batch.</t>
  </si>
  <si>
    <t xml:space="preserve">1 day containment, 60 days closure</t>
  </si>
  <si>
    <t xml:space="preserve">Difference between shifts, machines or operators</t>
  </si>
  <si>
    <t xml:space="preserve">Shift C consistently fills 1.5 ml higher than Shift A on the same SKU.</t>
  </si>
  <si>
    <t xml:space="preserve">4-8 weeks</t>
  </si>
  <si>
    <t xml:space="preserve">Measurement disagreement between operators or instruments</t>
  </si>
  <si>
    <t xml:space="preserve">Laboratory and line CO2 readings differ by 0.3 g/L on the same sample.</t>
  </si>
  <si>
    <t xml:space="preserve">3-5 weeks</t>
  </si>
  <si>
    <t xml:space="preserve">Safety incident or near miss</t>
  </si>
  <si>
    <t xml:space="preserve">Operator near miss during a manual jam clearance on the Innoket with the guard defeated.</t>
  </si>
  <si>
    <t xml:space="preserve">24 h containment, 30-60 days closure</t>
  </si>
  <si>
    <t xml:space="preserve">Cost overrun on a consumable</t>
  </si>
  <si>
    <t xml:space="preserve">Glue, film and CO2 consumption per 1,000 bottles is 12% above standard.</t>
  </si>
  <si>
    <t xml:space="preserve">6-8 weeks</t>
  </si>
  <si>
    <t xml:space="preserve">ARCHETYPE 1 — Excessive variability in a measured characteristic</t>
  </si>
  <si>
    <t xml:space="preserve">What it is:  The average is fine but the spread is too wide to hold the specification.</t>
  </si>
  <si>
    <t xml:space="preserve">How it shows up:  Fill volumes swing from 495 to 508 ml on the same SKU within one shift.</t>
  </si>
  <si>
    <t xml:space="preserve">Typical duration:  6-10 weeks     |     Steps: 10</t>
  </si>
  <si>
    <t xml:space="preserve">Step</t>
  </si>
  <si>
    <t xml:space="preserve">Tool (click to open)</t>
  </si>
  <si>
    <t xml:space="preserve">Output you should hold before moving on</t>
  </si>
  <si>
    <t xml:space="preserve">H-02  SIPOC</t>
  </si>
  <si>
    <t xml:space="preserve">Process boundaries and the exact characteristic agreed</t>
  </si>
  <si>
    <t xml:space="preserve">E-06  Operational Definitions and Data Collection Plan</t>
  </si>
  <si>
    <t xml:space="preserve">Operational definition and a sampling plan that can detect the shift</t>
  </si>
  <si>
    <t xml:space="preserve">E-59  Gage R&amp;R: ANOVA and Range Methods</t>
  </si>
  <si>
    <t xml:space="preserve">%GRR: proof the spread is the process, not the gauge</t>
  </si>
  <si>
    <t xml:space="preserve">E-03  Descriptive Statistics: Centre and Spread</t>
  </si>
  <si>
    <t xml:space="preserve">Baseline mean, StDev and shape</t>
  </si>
  <si>
    <t xml:space="preserve">E-50  Xbar-R Chart</t>
  </si>
  <si>
    <t xml:space="preserve">Chart showing whether the spread is stable or erratic</t>
  </si>
  <si>
    <t xml:space="preserve">E-57  Cp, Cpk, Pp, Ppk and Cpm</t>
  </si>
  <si>
    <t xml:space="preserve">Cp vs Cpk: separates spread problems from centring problems</t>
  </si>
  <si>
    <t xml:space="preserve">E-40  Multi-Vari Analysis</t>
  </si>
  <si>
    <t xml:space="preserve">Dominant family of variation: valve, cavity, shift or time</t>
  </si>
  <si>
    <t xml:space="preserve">E-26  One-Way ANOVA with Tukey HSD</t>
  </si>
  <si>
    <t xml:space="preserve">Statistical confirmation of the difference between valves or cavities</t>
  </si>
  <si>
    <t xml:space="preserve">E-42  Full Factorial Designs (2^k)</t>
  </si>
  <si>
    <t xml:space="preserve">Settings that reduce the spread, tested rather than argued</t>
  </si>
  <si>
    <t xml:space="preserve">H-16  Control Plan and Reaction Plan (OCAP)</t>
  </si>
  <si>
    <t xml:space="preserve">Control plan and reaction plan that hold the new sigma</t>
  </si>
  <si>
    <t xml:space="preserve">↑ Back to the archetype list</t>
  </si>
  <si>
    <t xml:space="preserve">ARCHETYPE 2 — Process off-target / centring problem</t>
  </si>
  <si>
    <t xml:space="preserve">What it is:  The spread is acceptable but the average sits away from the nominal value.</t>
  </si>
  <si>
    <t xml:space="preserve">How it shows up:  Average fill sits at 503 ml against a 500 ml target: three millilitres given away per bottle.</t>
  </si>
  <si>
    <t xml:space="preserve">Typical duration:  3-6 weeks     |     Steps: 10</t>
  </si>
  <si>
    <t xml:space="preserve">Agreed measurement method and sampling frequency</t>
  </si>
  <si>
    <t xml:space="preserve">Confirmation that the gauge is not biased</t>
  </si>
  <si>
    <t xml:space="preserve">Current mean and standard deviation</t>
  </si>
  <si>
    <t xml:space="preserve">E-15  Confidence Intervals for the Mean</t>
  </si>
  <si>
    <t xml:space="preserve">Confidence interval: is the offset real or noise?</t>
  </si>
  <si>
    <t xml:space="preserve">E-23  One-Sample t-Test</t>
  </si>
  <si>
    <t xml:space="preserve">1-sample t-test against target with a p-value</t>
  </si>
  <si>
    <t xml:space="preserve">Cpk vs Cp: quantifies the cost of the offset</t>
  </si>
  <si>
    <t xml:space="preserve">G-02  Business Case and Cost of Poor Quality</t>
  </si>
  <si>
    <t xml:space="preserve">Annual value of the give-away, in currency</t>
  </si>
  <si>
    <t xml:space="preserve">L-14  Standard Work and Combination Sheet</t>
  </si>
  <si>
    <t xml:space="preserve">Standard work for setting and verifying the setpoint</t>
  </si>
  <si>
    <t xml:space="preserve">E-49  Individuals and Moving Range Chart</t>
  </si>
  <si>
    <t xml:space="preserve">Chart proving the new centre holds</t>
  </si>
  <si>
    <t xml:space="preserve">Reaction plan for the next drift</t>
  </si>
  <si>
    <t xml:space="preserve">ARCHETYPE 3 — High defect or rejection rate (attribute)</t>
  </si>
  <si>
    <t xml:space="preserve">What it is:  Units are rejected at inspection or by the customer at an unacceptable rate.</t>
  </si>
  <si>
    <t xml:space="preserve">How it shows up:  Innocheck FBI rejects 1.8% of bottles; target is below 0.5%.</t>
  </si>
  <si>
    <t xml:space="preserve">H-05  Check Sheets and Data Collection Forms</t>
  </si>
  <si>
    <t xml:space="preserve">Check sheet capturing defect type, time, machine and operator</t>
  </si>
  <si>
    <t xml:space="preserve">H-06  Pareto Analysis</t>
  </si>
  <si>
    <t xml:space="preserve">Pareto: the two or three defect types worth attacking</t>
  </si>
  <si>
    <t xml:space="preserve">H-09  Stratification</t>
  </si>
  <si>
    <t xml:space="preserve">Stratification by shift, cavity, supplier and speed</t>
  </si>
  <si>
    <t xml:space="preserve">E-52  p and np Charts</t>
  </si>
  <si>
    <t xml:space="preserve">p chart: is the rate stable or driven by events?</t>
  </si>
  <si>
    <t xml:space="preserve">E-29  One and Two Proportion Tests</t>
  </si>
  <si>
    <t xml:space="preserve">Proportion test confirming a real difference between strata</t>
  </si>
  <si>
    <t xml:space="preserve">H-10  Ishikawa / Fishbone Diagram</t>
  </si>
  <si>
    <t xml:space="preserve">Structured cause list for the leading defect</t>
  </si>
  <si>
    <t xml:space="preserve">H-11  5 Whys</t>
  </si>
  <si>
    <t xml:space="preserve">Root cause verified, not assumed</t>
  </si>
  <si>
    <t xml:space="preserve">H-13  FMEA (AIAG-VDA 2019, Action Priority)</t>
  </si>
  <si>
    <t xml:space="preserve">Failure modes ranked by Action Priority</t>
  </si>
  <si>
    <t xml:space="preserve">L-17  Poka-Yoke (Mistake Proofing)</t>
  </si>
  <si>
    <t xml:space="preserve">Mistake-proofing so the defect cannot be made</t>
  </si>
  <si>
    <t xml:space="preserve">Control plan with the new rejection limit</t>
  </si>
  <si>
    <t xml:space="preserve">ARCHETYPE 4 — Unplanned downtime and micro-stops</t>
  </si>
  <si>
    <t xml:space="preserve">What it is:  The line is available on paper but stops constantly for short periods.</t>
  </si>
  <si>
    <t xml:space="preserve">How it shows up:  Innopal and Robopac produce 40 to 60 micro-stops per shift, none longer than two minutes.</t>
  </si>
  <si>
    <t xml:space="preserve">Typical duration:  8-12 weeks     |     Steps: 10</t>
  </si>
  <si>
    <t xml:space="preserve">L-11  Overall Equipment Effectiveness</t>
  </si>
  <si>
    <t xml:space="preserve">OEE split showing how much is availability loss</t>
  </si>
  <si>
    <t xml:space="preserve">Stop log with cause, duration, machine and shift</t>
  </si>
  <si>
    <t xml:space="preserve">Pareto of stops by cause and by lost minutes (they rank differently)</t>
  </si>
  <si>
    <t xml:space="preserve">E-11  Poisson Distribution (Defects per Unit)</t>
  </si>
  <si>
    <t xml:space="preserve">Poisson baseline rate of stops per shift</t>
  </si>
  <si>
    <t xml:space="preserve">E-53  c and u Charts</t>
  </si>
  <si>
    <t xml:space="preserve">u chart: is the stop rate stable?</t>
  </si>
  <si>
    <t xml:space="preserve">Stratification by shift, product and speed</t>
  </si>
  <si>
    <t xml:space="preserve">E-30  Chi-Square Tests and Fisher Exact</t>
  </si>
  <si>
    <t xml:space="preserve">Chi-square confirming a shift or machine effect</t>
  </si>
  <si>
    <t xml:space="preserve">Root cause of the leading stop mode</t>
  </si>
  <si>
    <t xml:space="preserve">L-16  TPM and Autonomous Maintenance</t>
  </si>
  <si>
    <t xml:space="preserve">Autonomous maintenance standards on the failing component</t>
  </si>
  <si>
    <t xml:space="preserve">L-18  Jidoka and Andon</t>
  </si>
  <si>
    <t xml:space="preserve">Andon and escalation so stops surface instead of hiding</t>
  </si>
  <si>
    <t xml:space="preserve">ARCHETYPE 5 — Slow changeover between formats</t>
  </si>
  <si>
    <t xml:space="preserve">What it is:  Format or SKU changes consume production time and discourage smaller batches.</t>
  </si>
  <si>
    <t xml:space="preserve">How it shows up:  A 1.5 L to 0.5 L change takes 95 minutes and varies by 30 minutes between shifts.</t>
  </si>
  <si>
    <t xml:space="preserve">Typical duration:  4-6 weeks (Kaizen)     |     Steps: 10</t>
  </si>
  <si>
    <t xml:space="preserve">L-15  SMED and Quick Changeover</t>
  </si>
  <si>
    <t xml:space="preserve">Timed element list split into internal and external</t>
  </si>
  <si>
    <t xml:space="preserve">L-05  Spaghetti Diagram</t>
  </si>
  <si>
    <t xml:space="preserve">Spaghetti diagram showing walking and tool hunting</t>
  </si>
  <si>
    <t xml:space="preserve">L-22  Gemba Walk</t>
  </si>
  <si>
    <t xml:space="preserve">Direct observation of two full changeovers</t>
  </si>
  <si>
    <t xml:space="preserve">Baseline mean and StDev of changeover time</t>
  </si>
  <si>
    <t xml:space="preserve">L-25  Pugh Matrix, Impact-Effort, Weighted Criteria</t>
  </si>
  <si>
    <t xml:space="preserve">Prioritised countermeasures by impact and effort</t>
  </si>
  <si>
    <t xml:space="preserve">Standard work sheet with the new sequence and roles</t>
  </si>
  <si>
    <t xml:space="preserve">E-24  Two-Sample t-Test (Welch and Pooled)</t>
  </si>
  <si>
    <t xml:space="preserve">Before vs after t-test proving the reduction</t>
  </si>
  <si>
    <t xml:space="preserve">I-MR chart holding changeover time under the new limit</t>
  </si>
  <si>
    <t xml:space="preserve">L-21  Kaizen Event Planning and Execution</t>
  </si>
  <si>
    <t xml:space="preserve">Kaizen record and follow-up actions</t>
  </si>
  <si>
    <t xml:space="preserve">Control plan entry for changeover time</t>
  </si>
  <si>
    <t xml:space="preserve">ARCHETYPE 6 — Material loss / yield / shrinkage</t>
  </si>
  <si>
    <t xml:space="preserve">What it is:  Material consumed exceeds material shipped by more than the accepted allowance.</t>
  </si>
  <si>
    <t xml:space="preserve">How it shows up:  PET preform consumption runs 2.4% above theoretical; label loss above 3%.</t>
  </si>
  <si>
    <t xml:space="preserve">Boundaries: where material enters and where it should leave</t>
  </si>
  <si>
    <t xml:space="preserve">COPQ: the annual currency value of the loss</t>
  </si>
  <si>
    <t xml:space="preserve">L-06  Value-Added / Non-Value-Added Analysis</t>
  </si>
  <si>
    <t xml:space="preserve">Where in the flow the material is actually lost</t>
  </si>
  <si>
    <t xml:space="preserve">Pareto of loss points</t>
  </si>
  <si>
    <t xml:space="preserve">Multi-vari: loss by cavity, shift, supplier and speed</t>
  </si>
  <si>
    <t xml:space="preserve">E-36  Simple Linear Regression</t>
  </si>
  <si>
    <t xml:space="preserve">Regression of loss against line speed or oven temperature</t>
  </si>
  <si>
    <t xml:space="preserve">DOE on the settings that drive the loss</t>
  </si>
  <si>
    <t xml:space="preserve">Poka-yoke on the dominant loss mechanism</t>
  </si>
  <si>
    <t xml:space="preserve">Chart of loss per 1,000 units</t>
  </si>
  <si>
    <t xml:space="preserve">G-09  Financial Benefit Validation (Hard vs Soft)</t>
  </si>
  <si>
    <t xml:space="preserve">Validated saving signed off with Finance</t>
  </si>
  <si>
    <t xml:space="preserve">ARCHETYPE 7 — Long cycle time or low throughput</t>
  </si>
  <si>
    <t xml:space="preserve">What it is:  The line cannot deliver the volume required in the time available.</t>
  </si>
  <si>
    <t xml:space="preserve">How it shows up:  Nominal 18,000 BPH but the real average over a week is 13,400 BPH.</t>
  </si>
  <si>
    <t xml:space="preserve">L-02  Value Stream Map - Current State</t>
  </si>
  <si>
    <t xml:space="preserve">Current state value stream with real cycle times</t>
  </si>
  <si>
    <t xml:space="preserve">L-07  Takt Time, Cycle Time and Lead Time</t>
  </si>
  <si>
    <t xml:space="preserve">Takt vs cycle time per station</t>
  </si>
  <si>
    <t xml:space="preserve">L-09  Theory of Constraints and Bottleneck Analysis</t>
  </si>
  <si>
    <t xml:space="preserve">The true constraint identified with data</t>
  </si>
  <si>
    <t xml:space="preserve">L-08  Little's Law and Work in Process</t>
  </si>
  <si>
    <t xml:space="preserve">Little's Law linking WIP to lead time</t>
  </si>
  <si>
    <t xml:space="preserve">OEE of the constraint, split into six losses</t>
  </si>
  <si>
    <t xml:space="preserve">L-10  Line Balancing and Yamazumi</t>
  </si>
  <si>
    <t xml:space="preserve">Rebalanced work content</t>
  </si>
  <si>
    <t xml:space="preserve">L-03  Value Stream Map - Future State</t>
  </si>
  <si>
    <t xml:space="preserve">Future state map with quantified gains</t>
  </si>
  <si>
    <t xml:space="preserve">L-19  Pull Systems and Kanban</t>
  </si>
  <si>
    <t xml:space="preserve">Buffer and pull rules protecting the constraint</t>
  </si>
  <si>
    <t xml:space="preserve">L-26  Pilot Design and Confirmation Run</t>
  </si>
  <si>
    <t xml:space="preserve">Pilot result confirming the new throughput</t>
  </si>
  <si>
    <t xml:space="preserve">H-08  Run Chart and Trend Analysis</t>
  </si>
  <si>
    <t xml:space="preserve">Run chart showing the gain is sustained</t>
  </si>
  <si>
    <t xml:space="preserve">ARCHETYPE 8 — Customer complaint or market incident</t>
  </si>
  <si>
    <t xml:space="preserve">What it is:  Product in the market has failed to meet expectation; containment is required now.</t>
  </si>
  <si>
    <t xml:space="preserve">How it shows up:  Distributor reports flat product and low CO2 in a specific batch.</t>
  </si>
  <si>
    <t xml:space="preserve">Typical duration:  1 day containment, 60 days closure     |     Steps: 10</t>
  </si>
  <si>
    <t xml:space="preserve">H-15  8D Problem Solving</t>
  </si>
  <si>
    <t xml:space="preserve">8D structure with D1-D3 containment inside 24 hours</t>
  </si>
  <si>
    <t xml:space="preserve">H-03  Voice of the Customer and CTQ Tree</t>
  </si>
  <si>
    <t xml:space="preserve">The CTQ that was actually breached, in measurable terms</t>
  </si>
  <si>
    <t xml:space="preserve">Retained-sample data collection</t>
  </si>
  <si>
    <t xml:space="preserve">Pareto of complaints by defect and batch</t>
  </si>
  <si>
    <t xml:space="preserve">Candidate causes across the 6M</t>
  </si>
  <si>
    <t xml:space="preserve">Root cause and escape point, both verified</t>
  </si>
  <si>
    <t xml:space="preserve">Statistical link between the defect and the suspected factor</t>
  </si>
  <si>
    <t xml:space="preserve">FMEA updated so the mode is now detected</t>
  </si>
  <si>
    <t xml:space="preserve">Control plan strengthened at the escape point</t>
  </si>
  <si>
    <t xml:space="preserve">G-10  Closure, Handover, Lessons Learned, Replication</t>
  </si>
  <si>
    <t xml:space="preserve">Read-across to other lines and SKUs</t>
  </si>
  <si>
    <t xml:space="preserve">ARCHETYPE 9 — Difference between shifts, machines or operators</t>
  </si>
  <si>
    <t xml:space="preserve">What it is:  The same product made in the same place gives different results depending on who or what made it.</t>
  </si>
  <si>
    <t xml:space="preserve">How it shows up:  Shift C consistently fills 1.5 ml higher than Shift A on the same SKU.</t>
  </si>
  <si>
    <t xml:space="preserve">Typical duration:  4-8 weeks     |     Steps: 10</t>
  </si>
  <si>
    <t xml:space="preserve">One definition of the measurement for all four shifts</t>
  </si>
  <si>
    <t xml:space="preserve">Gage R&amp;R: is the difference the gauge or the process?</t>
  </si>
  <si>
    <t xml:space="preserve">H-07  Histogram and Box Plot</t>
  </si>
  <si>
    <t xml:space="preserve">Box plots by shift: the picture before the p-value</t>
  </si>
  <si>
    <t xml:space="preserve">Normality check driving the test choice</t>
  </si>
  <si>
    <t xml:space="preserve">Test for unequal variability between shifts</t>
  </si>
  <si>
    <t xml:space="preserve">ANOVA plus Tukey naming which shifts differ</t>
  </si>
  <si>
    <t xml:space="preserve">E-31  Nonparametric Tests</t>
  </si>
  <si>
    <t xml:space="preserve">Nonparametric confirmation if normality failed</t>
  </si>
  <si>
    <t xml:space="preserve">Multi-vari locating the variation family</t>
  </si>
  <si>
    <t xml:space="preserve">E-21  Statistical vs Practical Significance</t>
  </si>
  <si>
    <t xml:space="preserve">Whether the difference is worth acting on</t>
  </si>
  <si>
    <t xml:space="preserve">Standard work removing the method difference</t>
  </si>
  <si>
    <t xml:space="preserve">ARCHETYPE 10 — Measurement disagreement between operators or instruments</t>
  </si>
  <si>
    <t xml:space="preserve">What it is:  Two people or two instruments measure the same item and report different results.</t>
  </si>
  <si>
    <t xml:space="preserve">How it shows up:  Laboratory and line CO2 readings differ by 0.3 g/L on the same sample.</t>
  </si>
  <si>
    <t xml:space="preserve">Typical duration:  3-5 weeks     |     Steps: 8</t>
  </si>
  <si>
    <t xml:space="preserve">Written operational definition of the measurement</t>
  </si>
  <si>
    <t xml:space="preserve">E-01  Data Types and Measurement Scales</t>
  </si>
  <si>
    <t xml:space="preserve">Confirmation of the data type and scale</t>
  </si>
  <si>
    <t xml:space="preserve">Sample size for a defensible MSA</t>
  </si>
  <si>
    <t xml:space="preserve">%GRR, ndc and the AIAG verdict</t>
  </si>
  <si>
    <t xml:space="preserve">E-60  MSA: Bias, Linearity, Stability, Attribute Agreement</t>
  </si>
  <si>
    <t xml:space="preserve">Bias, linearity, stability and Cohen's Kappa</t>
  </si>
  <si>
    <t xml:space="preserve">Standard work for the measurement method</t>
  </si>
  <si>
    <t xml:space="preserve">Stability chart on a reference standard</t>
  </si>
  <si>
    <t xml:space="preserve">Reaction plan when the gauge check fails</t>
  </si>
  <si>
    <t xml:space="preserve">ARCHETYPE 11 — Safety incident or near miss</t>
  </si>
  <si>
    <t xml:space="preserve">What it is:  A person was harmed, or nearly harmed, and the same condition still exists.</t>
  </si>
  <si>
    <t xml:space="preserve">How it shows up:  Operator near miss during a manual jam clearance on the Innoket with the guard defeated.</t>
  </si>
  <si>
    <t xml:space="preserve">Typical duration:  24 h containment, 30-60 days closure     |     Steps: 10</t>
  </si>
  <si>
    <t xml:space="preserve">8D with immediate containment and interim protection</t>
  </si>
  <si>
    <t xml:space="preserve">Near-miss reporting sheet for the same task</t>
  </si>
  <si>
    <t xml:space="preserve">Pareto of hazards and tasks</t>
  </si>
  <si>
    <t xml:space="preserve">Cause tree covering method, machine, man and management</t>
  </si>
  <si>
    <t xml:space="preserve">Root cause including why the guard was defeated</t>
  </si>
  <si>
    <t xml:space="preserve">FMEA of the task with Severity dominating Action Priority</t>
  </si>
  <si>
    <t xml:space="preserve">L-12  5S and Workplace Organisation</t>
  </si>
  <si>
    <t xml:space="preserve">5S removing the condition that invited the shortcut</t>
  </si>
  <si>
    <t xml:space="preserve">L-13  Visual Management</t>
  </si>
  <si>
    <t xml:space="preserve">Visual controls at the point of risk</t>
  </si>
  <si>
    <t xml:space="preserve">Interlock or poka-yoke so the shortcut is impossible</t>
  </si>
  <si>
    <t xml:space="preserve">Read-across to every equivalent task on both lines</t>
  </si>
  <si>
    <t xml:space="preserve">ARCHETYPE 12 — Cost overrun on a consumable</t>
  </si>
  <si>
    <t xml:space="preserve">What it is:  Consumption of a purchased input exceeds standard without an explained cause.</t>
  </si>
  <si>
    <t xml:space="preserve">How it shows up:  Glue, film and CO2 consumption per 1,000 bottles is 12% above standard.</t>
  </si>
  <si>
    <t xml:space="preserve">Typical duration:  6-8 weeks     |     Steps: 9</t>
  </si>
  <si>
    <t xml:space="preserve">Standard vs actual cost, quantified per 1,000 units</t>
  </si>
  <si>
    <t xml:space="preserve">Pareto of spend by consumable</t>
  </si>
  <si>
    <t xml:space="preserve">Baseline consumption rate and its spread</t>
  </si>
  <si>
    <t xml:space="preserve">I-MR chart of consumption per 1,000 units</t>
  </si>
  <si>
    <t xml:space="preserve">Regression of consumption against line speed or temperature</t>
  </si>
  <si>
    <t xml:space="preserve">Multi-vari by shift, machine and product</t>
  </si>
  <si>
    <t xml:space="preserve">DOE on the settings that drive consumption</t>
  </si>
  <si>
    <t xml:space="preserve">Selected countermeasure with impact-effort justification</t>
  </si>
  <si>
    <t xml:space="preserve">Validated annual saving</t>
  </si>
  <si>
    <t xml:space="preserve">N-07 — Phase Tollgate Checklists</t>
  </si>
  <si>
    <t xml:space="preserve">Phase: TRANSVERSAL / EXAM   |   Data required: Project deliverables   |   Min. sample: n/a   |   Complexity: 2/5   |   Typical output: Percentage complete per phase and readiness</t>
  </si>
  <si>
    <t xml:space="preserve">A tollgate is not a formality. It is the moment the Champion asks whether the phase produced what it was supposed to produce.</t>
  </si>
  <si>
    <t xml:space="preserve">Answer Yes or No in the yellow column. The percentage complete and the verdict update themselves.</t>
  </si>
  <si>
    <t xml:space="preserve">DEFINE TOLLGATE</t>
  </si>
  <si>
    <t xml:space="preserve">Deliverable</t>
  </si>
  <si>
    <t xml:space="preserve">Produced on</t>
  </si>
  <si>
    <t xml:space="preserve">Acceptance question the Champion will ask</t>
  </si>
  <si>
    <t xml:space="preserve">Done?</t>
  </si>
  <si>
    <t xml:space="preserve">Approved project charter</t>
  </si>
  <si>
    <t xml:space="preserve">H-01  Project Charter</t>
  </si>
  <si>
    <t xml:space="preserve">Is the problem statement free of causes and solutions?</t>
  </si>
  <si>
    <t xml:space="preserve">Business case with COPQ</t>
  </si>
  <si>
    <t xml:space="preserve">Has Finance agreed the size of the prize?</t>
  </si>
  <si>
    <t xml:space="preserve">Process boundaries agreed</t>
  </si>
  <si>
    <t xml:space="preserve">Do we know where the project starts and stops?</t>
  </si>
  <si>
    <t xml:space="preserve">Customer needs translated to CTQ</t>
  </si>
  <si>
    <t xml:space="preserve">Is every CTQ measurable with a specification?</t>
  </si>
  <si>
    <t xml:space="preserve">Stakeholders mapped and engaged</t>
  </si>
  <si>
    <t xml:space="preserve">G-03  Stakeholder Analysis</t>
  </si>
  <si>
    <t xml:space="preserve">Does anyone with veto power still oppose this?</t>
  </si>
  <si>
    <t xml:space="preserve">RACI agreed</t>
  </si>
  <si>
    <t xml:space="preserve">G-04  RACI Matrix</t>
  </si>
  <si>
    <t xml:space="preserve">Does every deliverable have exactly one Accountable?</t>
  </si>
  <si>
    <t xml:space="preserve">Risks identified</t>
  </si>
  <si>
    <t xml:space="preserve">G-07  Project Risk Register</t>
  </si>
  <si>
    <t xml:space="preserve">Do we know what would kill this project?</t>
  </si>
  <si>
    <t xml:space="preserve">Phase complete</t>
  </si>
  <si>
    <t xml:space="preserve">MEASURE TOLLGATE</t>
  </si>
  <si>
    <t xml:space="preserve">Detailed process map</t>
  </si>
  <si>
    <t xml:space="preserve">L-04  Process Mapping and Swimlane Flowcharts</t>
  </si>
  <si>
    <t xml:space="preserve">Does the map show the process as it is, not as designed?</t>
  </si>
  <si>
    <t xml:space="preserve">Operational definitions and data collection plan</t>
  </si>
  <si>
    <t xml:space="preserve">Would two operators record the same value?</t>
  </si>
  <si>
    <t xml:space="preserve">Measurement system validated</t>
  </si>
  <si>
    <t xml:space="preserve">Is %GRR below 10% of study variation (30% is the limit)?</t>
  </si>
  <si>
    <t xml:space="preserve">Sample size justified</t>
  </si>
  <si>
    <t xml:space="preserve">Is the sample large enough to detect the effect we care about?</t>
  </si>
  <si>
    <t xml:space="preserve">Baseline data collected</t>
  </si>
  <si>
    <t xml:space="preserve">Do we have at least 25 stable subgroups?</t>
  </si>
  <si>
    <t xml:space="preserve">Process stability assessed</t>
  </si>
  <si>
    <t xml:space="preserve">Is the baseline free of unexplained special causes?</t>
  </si>
  <si>
    <t xml:space="preserve">Baseline capability stated</t>
  </si>
  <si>
    <t xml:space="preserve">Do we have a Cpk or a sigma level everyone accepts?</t>
  </si>
  <si>
    <t xml:space="preserve">ANALYZE TOLLGATE</t>
  </si>
  <si>
    <t xml:space="preserve">Potential causes generated</t>
  </si>
  <si>
    <t xml:space="preserve">Did the list come from the people who run the process?</t>
  </si>
  <si>
    <t xml:space="preserve">Causes screened and ranked</t>
  </si>
  <si>
    <t xml:space="preserve">H-12  Cause and Effect (X-Y) Matrix</t>
  </si>
  <si>
    <t xml:space="preserve">Are the vital few X's named and prioritised?</t>
  </si>
  <si>
    <t xml:space="preserve">Data stratified</t>
  </si>
  <si>
    <t xml:space="preserve">Have we looked inside every obvious subgroup?</t>
  </si>
  <si>
    <t xml:space="preserve">Hypotheses tested statistically</t>
  </si>
  <si>
    <t xml:space="preserve">E-22  Hypothesis Test Selection Roadmap</t>
  </si>
  <si>
    <t xml:space="preserve">Is each root cause supported by a p-value or a chart?</t>
  </si>
  <si>
    <t xml:space="preserve">Assumptions verified</t>
  </si>
  <si>
    <t xml:space="preserve">Was normality and equal variance checked before the test?</t>
  </si>
  <si>
    <t xml:space="preserve">Root cause validated, not assumed</t>
  </si>
  <si>
    <t xml:space="preserve">Can we turn the problem on and off at will?</t>
  </si>
  <si>
    <t xml:space="preserve">Practical significance confirmed</t>
  </si>
  <si>
    <t xml:space="preserve">Is the effect large enough to justify a solution?</t>
  </si>
  <si>
    <t xml:space="preserve">IMPROVE TOLLGATE</t>
  </si>
  <si>
    <t xml:space="preserve">Solutions generated</t>
  </si>
  <si>
    <t xml:space="preserve">L-24  Idea Generation: Brainwriting, SCAMPER</t>
  </si>
  <si>
    <t xml:space="preserve">Did we go beyond the first obvious idea?</t>
  </si>
  <si>
    <t xml:space="preserve">Solutions selected with criteria</t>
  </si>
  <si>
    <t xml:space="preserve">Was the choice scored rather than argued?</t>
  </si>
  <si>
    <t xml:space="preserve">Optimum settings determined</t>
  </si>
  <si>
    <t xml:space="preserve">Were the settings tested experimentally?</t>
  </si>
  <si>
    <t xml:space="preserve">Risk of the new process assessed</t>
  </si>
  <si>
    <t xml:space="preserve">Has the FMEA been re-scored after the change?</t>
  </si>
  <si>
    <t xml:space="preserve">Pilot run completed</t>
  </si>
  <si>
    <t xml:space="preserve">Did the pilot reproduce the predicted improvement?</t>
  </si>
  <si>
    <t xml:space="preserve">Improvement confirmed statistically</t>
  </si>
  <si>
    <t xml:space="preserve">Is the before/after difference significant and material?</t>
  </si>
  <si>
    <t xml:space="preserve">Change management plan executed</t>
  </si>
  <si>
    <t xml:space="preserve">G-06  Change Management and Resistance (ADKAR)</t>
  </si>
  <si>
    <t xml:space="preserve">Do the operators want the new way, or merely tolerate it?</t>
  </si>
  <si>
    <t xml:space="preserve">CONTROL TOLLGATE</t>
  </si>
  <si>
    <t xml:space="preserve">Control plan issued</t>
  </si>
  <si>
    <t xml:space="preserve">Does every critical X have a control and a reaction?</t>
  </si>
  <si>
    <t xml:space="preserve">Reaction plan understood by operators</t>
  </si>
  <si>
    <t xml:space="preserve">Can a night-shift operator name the first action?</t>
  </si>
  <si>
    <t xml:space="preserve">Standard work updated and trained</t>
  </si>
  <si>
    <t xml:space="preserve">Is the new method the documented method?</t>
  </si>
  <si>
    <t xml:space="preserve">Control charts live on the floor</t>
  </si>
  <si>
    <t xml:space="preserve">E-48  Control Chart Selection Tree</t>
  </si>
  <si>
    <t xml:space="preserve">Is the correct chart being maintained by the operator?</t>
  </si>
  <si>
    <t xml:space="preserve">Visual management in place</t>
  </si>
  <si>
    <t xml:space="preserve">Can a visitor see the status in 30 seconds?</t>
  </si>
  <si>
    <t xml:space="preserve">Benefit validated by Finance</t>
  </si>
  <si>
    <t xml:space="preserve">Has the saving been signed, not estimated?</t>
  </si>
  <si>
    <t xml:space="preserve">Does the process owner accept ownership in writing?</t>
  </si>
  <si>
    <t xml:space="preserve">OVERALL PROJECT READINESS</t>
  </si>
  <si>
    <t xml:space="preserve">Deliverables complete (of 35)</t>
  </si>
  <si>
    <t xml:space="preserve">Overall readiness</t>
  </si>
  <si>
    <t xml:space="preserve">A tollgate answered honestly with a No is more valuable than a project that reaches Improve without a validated measurement system.</t>
  </si>
  <si>
    <t xml:space="preserve">N-08 — When Not To Run a Full DMAIC</t>
  </si>
  <si>
    <t xml:space="preserve">Phase: TRANSVERSAL / EXAM   |   Data required: Five screening answers   |   Min. sample: n/a   |   Complexity: 2/5   |   Typical output: Recommended methodology route</t>
  </si>
  <si>
    <t xml:space="preserve">Knowing when NOT to run a full DMAIC is a Black Belt judgement.</t>
  </si>
  <si>
    <t xml:space="preserve">A four-month project aimed at a problem whose cause is already known destroys credibility faster than any failed hypothesis test.</t>
  </si>
  <si>
    <t xml:space="preserve">THE FIVE ROUTES COMPARED</t>
  </si>
  <si>
    <t xml:space="preserve">Route</t>
  </si>
  <si>
    <t xml:space="preserve">When to use it</t>
  </si>
  <si>
    <t xml:space="preserve">Data requirement</t>
  </si>
  <si>
    <t xml:space="preserve">Who leads it</t>
  </si>
  <si>
    <t xml:space="preserve">Link</t>
  </si>
  <si>
    <t xml:space="preserve">Full DMAIC</t>
  </si>
  <si>
    <t xml:space="preserve">Root cause is unknown and the answer needs data and statistics</t>
  </si>
  <si>
    <t xml:space="preserve">3-6 months</t>
  </si>
  <si>
    <t xml:space="preserve">High: baseline, MSA, hypothesis tests, capability</t>
  </si>
  <si>
    <t xml:space="preserve">Black Belt or trained Green Belt</t>
  </si>
  <si>
    <t xml:space="preserve">Open →</t>
  </si>
  <si>
    <t xml:space="preserve">Kaizen Event</t>
  </si>
  <si>
    <t xml:space="preserve">Cause is understood, the solution is known or close, and the work is hands-on</t>
  </si>
  <si>
    <t xml:space="preserve">1 week plus 30 days follow-up</t>
  </si>
  <si>
    <t xml:space="preserve">Medium: time studies and before/after data</t>
  </si>
  <si>
    <t xml:space="preserve">Facilitator with a cross-functional team</t>
  </si>
  <si>
    <t xml:space="preserve">A3</t>
  </si>
  <si>
    <t xml:space="preserve">A single well-bounded problem needing structured thinking and alignment</t>
  </si>
  <si>
    <t xml:space="preserve">2-6 weeks</t>
  </si>
  <si>
    <t xml:space="preserve">Low to medium: enough data to prove the current condition</t>
  </si>
  <si>
    <t xml:space="preserve">The process owner, coached</t>
  </si>
  <si>
    <t xml:space="preserve">8D</t>
  </si>
  <si>
    <t xml:space="preserve">Customer complaint, safety event or regulatory issue requiring containment</t>
  </si>
  <si>
    <t xml:space="preserve">24 h containment, 30-60 days to close</t>
  </si>
  <si>
    <t xml:space="preserve">Medium: containment evidence and root cause proof</t>
  </si>
  <si>
    <t xml:space="preserve">Quality lead with the process owner</t>
  </si>
  <si>
    <t xml:space="preserve">Just Do It</t>
  </si>
  <si>
    <t xml:space="preserve">Cause and solution are both obvious, cost is low and risk is low</t>
  </si>
  <si>
    <t xml:space="preserve">Same day to two weeks</t>
  </si>
  <si>
    <t xml:space="preserve">Minimal: confirm the before and after</t>
  </si>
  <si>
    <t xml:space="preserve">Supervisor or operator</t>
  </si>
  <si>
    <t xml:space="preserve">FIVE-QUESTION SCREENING</t>
  </si>
  <si>
    <t xml:space="preserve">Screening question</t>
  </si>
  <si>
    <t xml:space="preserve">Answer</t>
  </si>
  <si>
    <t xml:space="preserve">Is a customer complaint, safety event or regulatory issue driving this?</t>
  </si>
  <si>
    <t xml:space="preserve">Is the root cause already known and agreed with evidence?</t>
  </si>
  <si>
    <t xml:space="preserve">Is the solution obvious, cheap (no capital) and low risk?</t>
  </si>
  <si>
    <t xml:space="preserve">Would answering this require statistical analysis of collected data?</t>
  </si>
  <si>
    <t xml:space="preserve">Yes</t>
  </si>
  <si>
    <t xml:space="preserve">Could a cross-functional team finish the work in one focused week?</t>
  </si>
  <si>
    <t xml:space="preserve">RECOMMENDED ROUTE</t>
  </si>
  <si>
    <t xml:space="preserve">WHY THIS MATTERS</t>
  </si>
  <si>
    <t xml:space="preserve">•  DMAIC earns its cost when the cause is genuinely unknown and the answer lives in data. That is the only condition under which four months of Measure and Analyze is cheaper than guessing.</t>
  </si>
  <si>
    <t xml:space="preserve">•  If the cause is known and the fix is known, the value is in execution speed, not in analysis. Run a Kaizen event or simply do it, and spend the saved months on the next problem.</t>
  </si>
  <si>
    <t xml:space="preserve">•  A customer or safety event overrides everything: contain first, analyse second. 8D exists because the customer needs protection before you need certainty.</t>
  </si>
  <si>
    <t xml:space="preserve">•  The commonest failure is the reverse one: launching a Just Do It on a problem whose cause was never verified, then repeating the same fix three times in a year. If the fix has already failed once, escalate to a route with a validated root cause.</t>
  </si>
  <si>
    <t xml:space="preserve">E-01 — Data Types and Measurement Scales</t>
  </si>
  <si>
    <t xml:space="preserve">MEASURE</t>
  </si>
  <si>
    <t xml:space="preserve">Phase: MEASURE   |   Data required: Any variable list   |   Min. sample: n/a   |   Complexity: 1/5   |   Typical output: Data classification and permitted statistics</t>
  </si>
  <si>
    <t xml:space="preserve">BLOCK 1  —  QUICK CARD</t>
  </si>
  <si>
    <t xml:space="preserve">What question does this answer?</t>
  </si>
  <si>
    <t xml:space="preserve">What kind of data am I holding, and which statistics am I allowed to use on it?</t>
  </si>
  <si>
    <t xml:space="preserve">When you would reach for it</t>
  </si>
  <si>
    <t xml:space="preserve">Before any chart, test or capability study. It is the first decision of every project.</t>
  </si>
  <si>
    <t xml:space="preserve">What it gives you</t>
  </si>
  <si>
    <t xml:space="preserve">A classification and the list of tools that classification permits.</t>
  </si>
  <si>
    <t xml:space="preserve">BLOCK 2  —  CONCEPT</t>
  </si>
  <si>
    <t xml:space="preserve">Every statistical method carries a hidden entry requirement: the measurement scale of your data.</t>
  </si>
  <si>
    <t xml:space="preserve">There are four scales. Nominal data only labels (machine 1, machine 2) - the numbers carry no order.</t>
  </si>
  <si>
    <t xml:space="preserve">Ordinal data has order but no fixed distance (taste panel 1 to 5; the gap 1-2 is not the gap 4-5).</t>
  </si>
  <si>
    <t xml:space="preserve">Interval data has fixed distances but an arbitrary zero (degrees Celsius: 40 C is not twice 20 C).</t>
  </si>
  <si>
    <t xml:space="preserve">Ratio data has fixed distances and a true zero (fill volume, torque, PU, dissolved oxygen).</t>
  </si>
  <si>
    <t xml:space="preserve">In practice the working split is simpler: attribute (nominal, ordinal) versus continuous (interval, ratio).</t>
  </si>
  <si>
    <t xml:space="preserve">Continuous data carries far more information per observation, which is why a capability study on 30 fill volumes tells you more than a p chart built from 30,000 pass/fail decisions.</t>
  </si>
  <si>
    <t xml:space="preserve">BLOCK 3  —  WHEN TO USE / WHEN NOT TO USE / ASSUMPTIONS</t>
  </si>
  <si>
    <t xml:space="preserve">WHEN TO USE IT</t>
  </si>
  <si>
    <t xml:space="preserve">WHEN NOT TO USE IT</t>
  </si>
  <si>
    <t xml:space="preserve">✓  At the start of every project, on every metric in the data collection plan.</t>
  </si>
  <si>
    <t xml:space="preserve">✗  It is not a test - it produces no p-value.</t>
  </si>
  <si>
    <t xml:space="preserve">✓  Whenever someone proposes averaging a score that is really a rank.</t>
  </si>
  <si>
    <t xml:space="preserve">✗  It does not tell you whether the data is accurate, only what kind it is.</t>
  </si>
  <si>
    <t xml:space="preserve">✓  When choosing between a variables chart and an attribute chart.</t>
  </si>
  <si>
    <t xml:space="preserve">✗  Do not use it to justify converting continuous data into pass/fail: that destroys information.</t>
  </si>
  <si>
    <t xml:space="preserve">✓  When deciding how much data you will need to collect.</t>
  </si>
  <si>
    <t xml:space="preserve">Assumption</t>
  </si>
  <si>
    <t xml:space="preserve">How to check it</t>
  </si>
  <si>
    <t xml:space="preserve">What to do if it fails</t>
  </si>
  <si>
    <t xml:space="preserve">Go to</t>
  </si>
  <si>
    <t xml:space="preserve">The measurement genuinely has the scale you claim</t>
  </si>
  <si>
    <t xml:space="preserve">Ask whether the zero is real and whether the gaps are equal</t>
  </si>
  <si>
    <t xml:space="preserve">Downgrade to the safer scale; treating ordinal as continuous inflates significance</t>
  </si>
  <si>
    <t xml:space="preserve">The variable is recorded at the resolution the scale implies</t>
  </si>
  <si>
    <t xml:space="preserve">Check the number of distinct values in the data</t>
  </si>
  <si>
    <t xml:space="preserve">If fewer than ten distinct values, treat as discrete regardless of the instrument</t>
  </si>
  <si>
    <t xml:space="preserve">Categories are mutually exclusive and exhaustive</t>
  </si>
  <si>
    <t xml:space="preserve">Check that no unit can be counted in two categories</t>
  </si>
  <si>
    <t xml:space="preserve">Redefine the categories in the operational definition</t>
  </si>
  <si>
    <t xml:space="preserve">BLOCK 4  —  FORMULA AND DERIVATION</t>
  </si>
  <si>
    <t xml:space="preserve">No formula. The rule is a permission table.</t>
  </si>
  <si>
    <t xml:space="preserve">   Nominal   -&gt;  mode, counts, proportions.  Mean is meaningless.</t>
  </si>
  <si>
    <t xml:space="preserve">   Ordinal   -&gt;  median, mode, percentiles.  Mean is questionable.</t>
  </si>
  <si>
    <t xml:space="preserve">   Interval  -&gt;  mean, median, mode, standard deviation.  Ratios are meaningless.</t>
  </si>
  <si>
    <t xml:space="preserve">   Ratio     -&gt;  everything, including coefficient of variation and geometric mean.</t>
  </si>
  <si>
    <t xml:space="preserve">Information content per observation, from lowest to highest:</t>
  </si>
  <si>
    <t xml:space="preserve">   binary  &lt;  nominal  &lt;  ordinal  &lt;  count  &lt;  continuous</t>
  </si>
  <si>
    <t xml:space="preserve">BLOCK 5  —  EXCEL IMPLEMENTATION</t>
  </si>
  <si>
    <t xml:space="preserve">Function used</t>
  </si>
  <si>
    <t xml:space="preserve">Syntax</t>
  </si>
  <si>
    <t xml:space="preserve">What the arguments mean</t>
  </si>
  <si>
    <t xml:space="preserve">INDEX</t>
  </si>
  <si>
    <t xml:space="preserve">INDEX(array, row_number)</t>
  </si>
  <si>
    <t xml:space="preserve">Returns the item in position row_number of the permission table</t>
  </si>
  <si>
    <t xml:space="preserve">MATCH</t>
  </si>
  <si>
    <t xml:space="preserve">MATCH(lookup_value, lookup_array, 0)</t>
  </si>
  <si>
    <t xml:space="preserve">Finds the row of the selected scale; 0 forces an exact match</t>
  </si>
  <si>
    <t xml:space="preserve">OR</t>
  </si>
  <si>
    <t xml:space="preserve">OR(test1, test2)</t>
  </si>
  <si>
    <t xml:space="preserve">TRUE if either test is TRUE - used to group the two attribute scales</t>
  </si>
  <si>
    <t xml:space="preserve">COUNTA</t>
  </si>
  <si>
    <t xml:space="preserve">COUNTA(range)</t>
  </si>
  <si>
    <t xml:space="preserve">Counts non-empty cells when auditing the plan</t>
  </si>
  <si>
    <t xml:space="preserve">Legacy function names are used throughout (STDEV, TDIST, NORMSDIST). They are accepted by every Excel version and by LibreOffice, and they avoid the unresolved-function name-resolution errors produced by the newer dotted names on some engines.</t>
  </si>
  <si>
    <t xml:space="preserve">BLOCK 6  —  WORKED EXAMPLE (INTERACTIVE)</t>
  </si>
  <si>
    <t xml:space="preserve">Ten variables recorded on the PET line. Select the scale for the variable in the yellow cell and the sheet returns what you are allowed to do with it.</t>
  </si>
  <si>
    <t xml:space="preserve">Scale</t>
  </si>
  <si>
    <t xml:space="preserve">Example on this line</t>
  </si>
  <si>
    <t xml:space="preserve">Centre</t>
  </si>
  <si>
    <t xml:space="preserve">Spread</t>
  </si>
  <si>
    <t xml:space="preserve">Typical chart</t>
  </si>
  <si>
    <t xml:space="preserve">Typical test</t>
  </si>
  <si>
    <t xml:space="preserve">Nominal</t>
  </si>
  <si>
    <t xml:space="preserve">Machine number, defect type, supplier</t>
  </si>
  <si>
    <t xml:space="preserve">Mode</t>
  </si>
  <si>
    <t xml:space="preserve">Counts and proportions</t>
  </si>
  <si>
    <t xml:space="preserve">p chart or np chart (E-52)</t>
  </si>
  <si>
    <t xml:space="preserve">Chi-square (E-30)</t>
  </si>
  <si>
    <t xml:space="preserve">Ordinal</t>
  </si>
  <si>
    <t xml:space="preserve">Taste panel 1-5, FMEA severity</t>
  </si>
  <si>
    <t xml:space="preserve">Median and mode</t>
  </si>
  <si>
    <t xml:space="preserve">Range and percentiles</t>
  </si>
  <si>
    <t xml:space="preserve">Run chart of medians (H-08)</t>
  </si>
  <si>
    <t xml:space="preserve">Mann-Whitney (E-31)</t>
  </si>
  <si>
    <t xml:space="preserve">Interval</t>
  </si>
  <si>
    <t xml:space="preserve">Oven temperature in degrees Celsius</t>
  </si>
  <si>
    <t xml:space="preserve">Mean, median, mode</t>
  </si>
  <si>
    <t xml:space="preserve">Standard deviation</t>
  </si>
  <si>
    <t xml:space="preserve">I-MR or Xbar-R (E-49/E-50)</t>
  </si>
  <si>
    <t xml:space="preserve">t-test and ANOVA (E-24/E-26)</t>
  </si>
  <si>
    <t xml:space="preserve">Ratio</t>
  </si>
  <si>
    <t xml:space="preserve">Fill volume, torque, PU, CO2, wall thickness</t>
  </si>
  <si>
    <t xml:space="preserve">Mean and geometric mean</t>
  </si>
  <si>
    <t xml:space="preserve">StDev and coefficient of variation</t>
  </si>
  <si>
    <t xml:space="preserve">Xbar-R plus capability (E-57)</t>
  </si>
  <si>
    <t xml:space="preserve">t, ANOVA, regression (E-36)</t>
  </si>
  <si>
    <t xml:space="preserve">Variable you are classifying</t>
  </si>
  <si>
    <t xml:space="preserve">Fill volume (ml)</t>
  </si>
  <si>
    <t xml:space="preserve">Measurement scale (choose)</t>
  </si>
  <si>
    <t xml:space="preserve">Permitted measure of centre</t>
  </si>
  <si>
    <t xml:space="preserve">Permitted measure of spread</t>
  </si>
  <si>
    <t xml:space="preserve">Chart you should be using</t>
  </si>
  <si>
    <t xml:space="preserve">Test you would normally run</t>
  </si>
  <si>
    <t xml:space="preserve">BLOCK 7  —  DECISION RULE AND INTERPRETATION</t>
  </si>
  <si>
    <t xml:space="preserve">VERDICT</t>
  </si>
  <si>
    <t xml:space="preserve">Criterion</t>
  </si>
  <si>
    <t xml:space="preserve">Numeric rule</t>
  </si>
  <si>
    <t xml:space="preserve">What it means in practice</t>
  </si>
  <si>
    <t xml:space="preserve">Distinct values in the data</t>
  </si>
  <si>
    <t xml:space="preserve">Fewer than 10</t>
  </si>
  <si>
    <t xml:space="preserve">Treat as discrete even if the gauge reads decimals</t>
  </si>
  <si>
    <t xml:space="preserve">Zero is a true zero</t>
  </si>
  <si>
    <t xml:space="preserve">Ratio scale: coefficient of variation is meaningful</t>
  </si>
  <si>
    <t xml:space="preserve">Equal gaps between values</t>
  </si>
  <si>
    <t xml:space="preserve">Interval or ratio: the mean is meaningful</t>
  </si>
  <si>
    <t xml:space="preserve">Categories only, no order</t>
  </si>
  <si>
    <t xml:space="preserve">Nominal: only the mode and proportions are meaningful</t>
  </si>
  <si>
    <t xml:space="preserve">COMMON MISTAKES</t>
  </si>
  <si>
    <t xml:space="preserve">•  Averaging an ordinal score. A mean FMEA severity of 6.4 has no physical meaning.</t>
  </si>
  <si>
    <t xml:space="preserve">•  Converting a perfectly good continuous measurement into pass/fail to make the report simpler. You throw away roughly 90% of the information and then need a far larger sample.</t>
  </si>
  <si>
    <t xml:space="preserve">•  Treating a count as continuous. Counts are bounded below by zero and are usually skewed; see E-11.</t>
  </si>
  <si>
    <t xml:space="preserve">•  Assuming that because the gauge shows three decimals the data is continuous. Resolution is not scale.</t>
  </si>
  <si>
    <t xml:space="preserve">•  Classifying once at the start of the project and never revisiting it when the metric is redefined.</t>
  </si>
  <si>
    <t xml:space="preserve">BLOCK 8  —  SELF-CHECK</t>
  </si>
  <si>
    <t xml:space="preserve">Answer in your head, then select the cell in column N on the same row to reveal the answer (the text is white, not hidden).</t>
  </si>
  <si>
    <t xml:space="preserve">ANSWERS  →  select the cell to read the white text</t>
  </si>
  <si>
    <t xml:space="preserve">Q1.  An operator records bottle appearance as 1 = perfect, 2 = minor, 3 = reject. Is the average of those numbers meaningful?</t>
  </si>
  <si>
    <t xml:space="preserve">A1.  No. The scale is ordinal: the distance between 1 and 2 is not the same as between 2 and 3. Report the median and the distribution of counts, and compare groups with a nonparametric test (E-31).</t>
  </si>
  <si>
    <t xml:space="preserve">Q2.  Why does attribute data require a much larger sample than continuous data for the same conclusion?</t>
  </si>
  <si>
    <t xml:space="preserve">A2.  Each attribute observation carries only one bit of information (pass or fail), whereas a continuous measurement locates the unit on a scale. Detecting a small change in a proportion therefore needs hundreds or thousands of units, while 30 continuous measurements often suffice.</t>
  </si>
  <si>
    <t xml:space="preserve">Q3.  Dissolved oxygen is measured in ppb. Which scale is it, and does that permit a coefficient of variation?</t>
  </si>
  <si>
    <t xml:space="preserve">A3.  Ratio, because zero ppb means genuinely no oxygen. A true zero permits ratios, so the coefficient of variation (StDev divided by the mean) is meaningful.</t>
  </si>
  <si>
    <t xml:space="preserve">BLOCK 9  —  RELATED SHEETS</t>
  </si>
  <si>
    <t xml:space="preserve">Previous tool</t>
  </si>
  <si>
    <t xml:space="preserve">Next tool</t>
  </si>
  <si>
    <t xml:space="preserve">If the definition is the problem</t>
  </si>
  <si>
    <t xml:space="preserve">N-05  Statistical Test Selector (Y vs X Matrix)</t>
  </si>
  <si>
    <t xml:space="preserve">E-02  Population, Sample and Sampling Error</t>
  </si>
  <si>
    <t xml:space="preserve">E-02 — Population, Sample and Sampling Error</t>
  </si>
  <si>
    <t xml:space="preserve">Phase: MEASURE   |   Data required: Sample values   |   Min. sample: 5   |   Complexity: 1/5   |   Typical output: Sampling error estimate</t>
  </si>
  <si>
    <t xml:space="preserve">How far can my sample be from the truth simply because it is a sample?</t>
  </si>
  <si>
    <t xml:space="preserve">Whenever someone reacts to a difference between a sample average and a target.</t>
  </si>
  <si>
    <t xml:space="preserve">The expected size of pure sampling noise, so you can tell it from a real shift.</t>
  </si>
  <si>
    <t xml:space="preserve">You never measure the population. You measure a handful of bottles and hope they represent the shift.</t>
  </si>
  <si>
    <t xml:space="preserve">Two different samples from the same stable process will give two different averages. That difference is sampling error, and it is not a mistake: it is an unavoidable consequence of sampling.</t>
  </si>
  <si>
    <t xml:space="preserve">The size of that error is predictable. It shrinks with the square root of the sample size, which is why going from 4 to 16 bottles halves it, but going from 16 to 32 improves it by only 29 per cent.</t>
  </si>
  <si>
    <t xml:space="preserve">The practical consequence is blunt: if the observed gap between your sample mean and the target is smaller than the expected sampling error, you have no evidence of anything and adjusting the machine will make the process worse, not better. This is over-adjustment, and it is the commonest error on any line.</t>
  </si>
  <si>
    <t xml:space="preserve">✓  Before reacting to a single sample average that looks off target.</t>
  </si>
  <si>
    <t xml:space="preserve">✗  Not a substitute for a hypothesis test when you need a formal p-value: use E-23.</t>
  </si>
  <si>
    <t xml:space="preserve">✓  When explaining to a supervisor why two shifts 'always' differ slightly.</t>
  </si>
  <si>
    <t xml:space="preserve">✗  Not valid if the sample was not taken at random from the population of interest.</t>
  </si>
  <si>
    <t xml:space="preserve">✓  When sizing a sample so that the noise is smaller than the effect you care about.</t>
  </si>
  <si>
    <t xml:space="preserve">✗  Does not detect bias: a badly calibrated gauge is wrong on every sample equally.</t>
  </si>
  <si>
    <t xml:space="preserve">The sample is representative of the population you want to describe</t>
  </si>
  <si>
    <t xml:space="preserve">Ask how the units were selected; convenience samples are not random</t>
  </si>
  <si>
    <t xml:space="preserve">Redesign the sampling plan before trusting any number</t>
  </si>
  <si>
    <t xml:space="preserve">E-05  Sampling Strategies and Rational Subgrouping</t>
  </si>
  <si>
    <t xml:space="preserve">Observations are independent</t>
  </si>
  <si>
    <t xml:space="preserve">Check that consecutive bottles are not from the same mould cavity</t>
  </si>
  <si>
    <t xml:space="preserve">Use rational subgrouping so that within-subgroup variation is short-term only</t>
  </si>
  <si>
    <t xml:space="preserve">The population standard deviation is stable</t>
  </si>
  <si>
    <t xml:space="preserve">Plot the data over time on a control chart</t>
  </si>
  <si>
    <t xml:space="preserve">If sigma is drifting, no single estimate of sampling error applies</t>
  </si>
  <si>
    <t xml:space="preserve">Standard error of the mean (population sigma known):</t>
  </si>
  <si>
    <t xml:space="preserve">   SE = sigma / SQRT(n)</t>
  </si>
  <si>
    <t xml:space="preserve">Estimated standard error (sigma unknown, estimated by s):</t>
  </si>
  <si>
    <t xml:space="preserve">   SE = s / SQRT(n)</t>
  </si>
  <si>
    <t xml:space="preserve">Expected maximum sampling error at 95% confidence:</t>
  </si>
  <si>
    <t xml:space="preserve">   E(max) = 1.96 * SE</t>
  </si>
  <si>
    <t xml:space="preserve">Observed sampling error expressed in standard error units:</t>
  </si>
  <si>
    <t xml:space="preserve">   Z = (xbar - mu) / SE</t>
  </si>
  <si>
    <t xml:space="preserve">   where mu = population mean (or the target), xbar = sample mean, n = sample size.</t>
  </si>
  <si>
    <t xml:space="preserve">AVERAGE</t>
  </si>
  <si>
    <t xml:space="preserve">AVERAGE(range)</t>
  </si>
  <si>
    <t xml:space="preserve">Sample mean of the measurements</t>
  </si>
  <si>
    <t xml:space="preserve">STDEV</t>
  </si>
  <si>
    <t xml:space="preserve">STDEV(range)</t>
  </si>
  <si>
    <t xml:space="preserve">Sample standard deviation, denominator n-1</t>
  </si>
  <si>
    <t xml:space="preserve">COUNT</t>
  </si>
  <si>
    <t xml:space="preserve">COUNT(range)</t>
  </si>
  <si>
    <t xml:space="preserve">Number of numeric observations</t>
  </si>
  <si>
    <t xml:space="preserve">SQRT</t>
  </si>
  <si>
    <t xml:space="preserve">SQRT(number)</t>
  </si>
  <si>
    <t xml:space="preserve">Square root, used in sigma divided by root n</t>
  </si>
  <si>
    <t xml:space="preserve">NORMSINV</t>
  </si>
  <si>
    <t xml:space="preserve">NORMSINV(probability)</t>
  </si>
  <si>
    <t xml:space="preserve">Standard normal quantile; NORMSINV(0.975) returns 1.96</t>
  </si>
  <si>
    <t xml:space="preserve">ABS</t>
  </si>
  <si>
    <t xml:space="preserve">ABS(number)</t>
  </si>
  <si>
    <t xml:space="preserve">Absolute value, so the comparison ignores the direction of the error</t>
  </si>
  <si>
    <t xml:space="preserve">Ten bottles taken from the Innofil filler during one hour. The SKU target is 500.0 ml and the historical process standard deviation, from the last capability study, is 1.10 ml.</t>
  </si>
  <si>
    <t xml:space="preserve">Ten fill volumes (ml)</t>
  </si>
  <si>
    <t xml:space="preserve">Population mean / target, mu (ml)</t>
  </si>
  <si>
    <t xml:space="preserve">Known population sigma (ml)</t>
  </si>
  <si>
    <t xml:space="preserve">Confidence level</t>
  </si>
  <si>
    <t xml:space="preserve">Sample size  n</t>
  </si>
  <si>
    <t xml:space="preserve">Sample mean  xbar (ml)</t>
  </si>
  <si>
    <t xml:space="preserve">Sample StDev  s (ml)</t>
  </si>
  <si>
    <t xml:space="preserve">Standard error, sigma known (ml)</t>
  </si>
  <si>
    <t xml:space="preserve">Standard error, sigma estimated (ml)</t>
  </si>
  <si>
    <t xml:space="preserve">Z multiplier for the confidence level</t>
  </si>
  <si>
    <t xml:space="preserve">Expected maximum sampling error (ml)</t>
  </si>
  <si>
    <t xml:space="preserve">Observed error  xbar - mu (ml)</t>
  </si>
  <si>
    <t xml:space="preserve">Observed error in standard errors</t>
  </si>
  <si>
    <t xml:space="preserve">Observed error vs expected</t>
  </si>
  <si>
    <t xml:space="preserve">|xbar - mu| &lt;= 1.96 x SE</t>
  </si>
  <si>
    <t xml:space="preserve">Noise. Leave the process alone.</t>
  </si>
  <si>
    <t xml:space="preserve">Observed error in SE units</t>
  </si>
  <si>
    <t xml:space="preserve">|Z| &lt; 2</t>
  </si>
  <si>
    <t xml:space="preserve">Unremarkable for a stable process.</t>
  </si>
  <si>
    <t xml:space="preserve">|Z| &gt; 3</t>
  </si>
  <si>
    <t xml:space="preserve">Very unlikely by chance. Investigate.</t>
  </si>
  <si>
    <t xml:space="preserve">Effect of quadrupling n</t>
  </si>
  <si>
    <t xml:space="preserve">SE halves</t>
  </si>
  <si>
    <t xml:space="preserve">Precision is expensive: cost grows as the square of precision.</t>
  </si>
  <si>
    <t xml:space="preserve">•  Adjusting the machine on a single sample. Deming's funnel experiment shows this doubles the variance.</t>
  </si>
  <si>
    <t xml:space="preserve">•  Comparing a sample mean with a target using the process StDev instead of the standard error. The standard error is the StDev divided by the square root of n, and it is always smaller.</t>
  </si>
  <si>
    <t xml:space="preserve">•  Assuming a large sample removes bias. It removes noise, not bias; a miscalibrated gauge stays wrong.</t>
  </si>
  <si>
    <t xml:space="preserve">•  Treating consecutive bottles from the same valve as independent observations of the whole filler.</t>
  </si>
  <si>
    <t xml:space="preserve">Q1.  The process StDev is 1.1 ml and you sample 4 bottles. What is the standard error, and what happens if you sample 16?</t>
  </si>
  <si>
    <t xml:space="preserve">A1.  SE = 1.1 / sqrt(4) = 0.55 ml. With 16 bottles SE = 1.1 / sqrt(16) = 0.275 ml. Four times the sample halves the standard error.</t>
  </si>
  <si>
    <t xml:space="preserve">Q2.  A supervisor sees a sample mean of 500.6 against a target of 500.0 and adjusts the filler down. The standard error is 0.35 ml. Was that a good decision?</t>
  </si>
  <si>
    <t xml:space="preserve">A2.  No. The expected sampling error at 95% is 1.96 x 0.35 = 0.69 ml, which is larger than the 0.6 ml observed offset. The reading is ordinary noise; adjusting adds variation to a stable process.</t>
  </si>
  <si>
    <t xml:space="preserve">Q3.  Why does sampling error not tell you whether the gauge is accurate?</t>
  </si>
  <si>
    <t xml:space="preserve">A3.  Sampling error describes the spread of sample means around the true population mean. If the gauge is biased, the true population mean it estimates is itself displaced. Bias is assessed in MSA on E-60.</t>
  </si>
  <si>
    <t xml:space="preserve">Alternative if assumptions fail</t>
  </si>
  <si>
    <t xml:space="preserve">E-14  Standard Error vs Standard Deviation</t>
  </si>
  <si>
    <t xml:space="preserve">E-03 — Descriptive Statistics: Centre and Spread</t>
  </si>
  <si>
    <t xml:space="preserve">Phase: MEASURE   |   Data required: Continuous measurements   |   Min. sample: 10   |   Complexity: 1/5   |   Typical output: Mean, median, StDev, range, quartiles, histogram</t>
  </si>
  <si>
    <t xml:space="preserve">Where is my process centred, how wide is it, and what shape is it?</t>
  </si>
  <si>
    <t xml:space="preserve">The first numerical step of every Measure phase, before any chart or test.</t>
  </si>
  <si>
    <t xml:space="preserve">Mean, median, standard deviation, range, quartiles, CV and a histogram.</t>
  </si>
  <si>
    <t xml:space="preserve">Three questions describe any batch of measurements: where is it, how spread out is it, and what shape is it.</t>
  </si>
  <si>
    <t xml:space="preserve">Centre is usually the mean, but the median is the honest answer when the data is skewed or contains outliers:</t>
  </si>
  <si>
    <t xml:space="preserve">one bottle recorded at 540 ml because of a valve fault moves the mean and leaves the median untouched.</t>
  </si>
  <si>
    <t xml:space="preserve">Spread matters more than centre in packaging. A filler that is off target can be adjusted in a minute;</t>
  </si>
  <si>
    <t xml:space="preserve">a filler that is too variable is a project. Cp and Cpk on E-57 separate exactly these two problems.</t>
  </si>
  <si>
    <t xml:space="preserve">The coefficient of variation expresses spread as a percentage of the mean, which makes it the only fair way to compare the variability of a 500 ml SKU with that of a 1,500 ml SKU.</t>
  </si>
  <si>
    <t xml:space="preserve">Always plot the data before quoting a statistic. Two data sets with identical means and standard deviations can look completely different, and only the histogram will tell you.</t>
  </si>
  <si>
    <t xml:space="preserve">✓  Establishing the baseline of any project metric.</t>
  </si>
  <si>
    <t xml:space="preserve">✗  Not a stability assessment: a stable and an unstable process can share the same mean and StDev.</t>
  </si>
  <si>
    <t xml:space="preserve">✓  Before a capability study, to confirm the data is sensible.</t>
  </si>
  <si>
    <t xml:space="preserve">✗  Do not quote Cp or Cpk from these numbers until the process is shown stable on E-49 or E-50.</t>
  </si>
  <si>
    <t xml:space="preserve">✓  When comparing the spread of two SKUs of different nominal size (use the CV).</t>
  </si>
  <si>
    <t xml:space="preserve">✗  Not meaningful on ordinal data: use the median and percentiles only.</t>
  </si>
  <si>
    <t xml:space="preserve">✓  Whenever an outlier is suspected: compare mean against median.</t>
  </si>
  <si>
    <t xml:space="preserve">The data comes from one process, not several mixed together</t>
  </si>
  <si>
    <t xml:space="preserve">Look for two peaks in the histogram, and stratify by shift and cavity</t>
  </si>
  <si>
    <t xml:space="preserve">Split the data and describe each stream separately</t>
  </si>
  <si>
    <t xml:space="preserve">The measurement system is adequate</t>
  </si>
  <si>
    <t xml:space="preserve">Run a Gage R&amp;R before trusting any spread statistic</t>
  </si>
  <si>
    <t xml:space="preserve">Fix the gauge first; the observed StDev includes the gauge StDev</t>
  </si>
  <si>
    <t xml:space="preserve">No outliers from a different cause</t>
  </si>
  <si>
    <t xml:space="preserve">Compare mean with median, and inspect the extreme values</t>
  </si>
  <si>
    <t xml:space="preserve">Investigate the cause before deleting anything, and never delete silently</t>
  </si>
  <si>
    <t xml:space="preserve">E-47  Common Cause vs Special Cause Variation</t>
  </si>
  <si>
    <t xml:space="preserve">   mean  xbar = SUM(xi) / n</t>
  </si>
  <si>
    <t xml:space="preserve">   median     = middle value once sorted (average of the two middle values if n is even)</t>
  </si>
  <si>
    <t xml:space="preserve">   variance   s^2 = SUM((xi - xbar)^2) / (n - 1)</t>
  </si>
  <si>
    <t xml:space="preserve">   std dev    s   = SQRT(s^2)</t>
  </si>
  <si>
    <t xml:space="preserve">   range      R   = max - min</t>
  </si>
  <si>
    <t xml:space="preserve">   IQR            = Q3 - Q1</t>
  </si>
  <si>
    <t xml:space="preserve">   CV             = s / xbar, expressed as a percentage</t>
  </si>
  <si>
    <t xml:space="preserve">Why n - 1 and not n:</t>
  </si>
  <si>
    <t xml:space="preserve">the deviations are taken from the sample mean rather than the unknown population mean, which uses up one degree of freedom. Dividing by n would under-estimate sigma.</t>
  </si>
  <si>
    <t xml:space="preserve">AVERAGE / MEDIAN / MODE</t>
  </si>
  <si>
    <t xml:space="preserve">Three measures of centre</t>
  </si>
  <si>
    <t xml:space="preserve">STDEV / VAR</t>
  </si>
  <si>
    <t xml:space="preserve">Sample StDev and variance, denominator n-1</t>
  </si>
  <si>
    <t xml:space="preserve">STDEVP / VARP</t>
  </si>
  <si>
    <t xml:space="preserve">STDEVP(range)</t>
  </si>
  <si>
    <t xml:space="preserve">Population versions, denominator n. Rarely correct for sampled data</t>
  </si>
  <si>
    <t xml:space="preserve">QUARTILE</t>
  </si>
  <si>
    <t xml:space="preserve">QUARTILE(range, quart)</t>
  </si>
  <si>
    <t xml:space="preserve">quart = 1 for Q1, 2 for the median, 3 for Q3</t>
  </si>
  <si>
    <t xml:space="preserve">MIN / MAX / COUNT</t>
  </si>
  <si>
    <t xml:space="preserve">MIN(range)</t>
  </si>
  <si>
    <t xml:space="preserve">Extremes and the number of observations</t>
  </si>
  <si>
    <t xml:space="preserve">COUNTIFS</t>
  </si>
  <si>
    <t xml:space="preserve">COUNTIFS(range,"&gt;="&amp;lo, range,"&lt;"&amp;hi)</t>
  </si>
  <si>
    <t xml:space="preserve">Counts the observations falling in one histogram bin</t>
  </si>
  <si>
    <t xml:space="preserve">TEXT</t>
  </si>
  <si>
    <t xml:space="preserve">TEXT(value, "0.0")</t>
  </si>
  <si>
    <t xml:space="preserve">Builds the bin label shown on the chart axis</t>
  </si>
  <si>
    <t xml:space="preserve">Thirty consecutive fill volumes from the 500 ml SKU, one bottle every two minutes over one hour.</t>
  </si>
  <si>
    <t xml:space="preserve">Overwrite the yellow grid with your own measurements; every statistic and the histogram follow.</t>
  </si>
  <si>
    <t xml:space="preserve">Fill volumes (ml) - 30 measurements</t>
  </si>
  <si>
    <t xml:space="preserve">Upper specification limit (ml)</t>
  </si>
  <si>
    <t xml:space="preserve">Lower specification limit (ml)</t>
  </si>
  <si>
    <t xml:space="preserve">Number of histogram bins (8 rows are drawn below)</t>
  </si>
  <si>
    <t xml:space="preserve">RESULTS</t>
  </si>
  <si>
    <t xml:space="preserve">n  (count)</t>
  </si>
  <si>
    <t xml:space="preserve">Mean  xbar (ml)</t>
  </si>
  <si>
    <t xml:space="preserve">Median (ml)</t>
  </si>
  <si>
    <t xml:space="preserve">Mode (ml)</t>
  </si>
  <si>
    <t xml:space="preserve">Standard deviation  s (ml)</t>
  </si>
  <si>
    <t xml:space="preserve">Variance  s^2</t>
  </si>
  <si>
    <t xml:space="preserve">Minimum (ml)</t>
  </si>
  <si>
    <t xml:space="preserve">Maximum (ml)</t>
  </si>
  <si>
    <t xml:space="preserve">Range (ml)</t>
  </si>
  <si>
    <t xml:space="preserve">First quartile  Q1 (ml)</t>
  </si>
  <si>
    <t xml:space="preserve">Third quartile  Q3 (ml)</t>
  </si>
  <si>
    <t xml:space="preserve">Interquartile range  IQR (ml)</t>
  </si>
  <si>
    <t xml:space="preserve">Coefficient of variation</t>
  </si>
  <si>
    <t xml:space="preserve">Mean minus median (skewness signal)</t>
  </si>
  <si>
    <t xml:space="preserve">Observations outside specification</t>
  </si>
  <si>
    <t xml:space="preserve">HISTOGRAM</t>
  </si>
  <si>
    <t xml:space="preserve">Bin</t>
  </si>
  <si>
    <t xml:space="preserve">Lower</t>
  </si>
  <si>
    <t xml:space="preserve">Upper</t>
  </si>
  <si>
    <t xml:space="preserve">Count</t>
  </si>
  <si>
    <t xml:space="preserve">Mean versus median</t>
  </si>
  <si>
    <t xml:space="preserve">Difference &lt; 0.5 x s</t>
  </si>
  <si>
    <t xml:space="preserve">Roughly symmetric; the mean is a fair summary</t>
  </si>
  <si>
    <t xml:space="preserve">CV &lt; 5%</t>
  </si>
  <si>
    <t xml:space="preserve">Tight process for a filling operation</t>
  </si>
  <si>
    <t xml:space="preserve">Range versus StDev</t>
  </si>
  <si>
    <t xml:space="preserve">R is about 4 to 5 x s for n = 30</t>
  </si>
  <si>
    <t xml:space="preserve">A much larger ratio points to an outlier</t>
  </si>
  <si>
    <t xml:space="preserve">Bins with zero count in the middle</t>
  </si>
  <si>
    <t xml:space="preserve">A gap in the middle suggests two mixed streams</t>
  </si>
  <si>
    <t xml:space="preserve">•  Quoting a standard deviation from data that is not stable. Compute it, but do not build capability on it.</t>
  </si>
  <si>
    <t xml:space="preserve">•  Using STDEVP instead of STDEV. On sampled data the population form under-estimates sigma.</t>
  </si>
  <si>
    <t xml:space="preserve">•  Deleting outliers because they spoil the picture. Investigate first; an outlier is usually the cheapest root cause you will ever be handed.</t>
  </si>
  <si>
    <t xml:space="preserve">•  Comparing the standard deviation of a 500 ml SKU with that of a 1,500 ml SKU. Compare the CV instead.</t>
  </si>
  <si>
    <t xml:space="preserve">•  Reporting the mean of a bimodal distribution. The mean will sit in the valley where nothing is produced.</t>
  </si>
  <si>
    <t xml:space="preserve">Q1.  Why is n - 1 used in the sample standard deviation?</t>
  </si>
  <si>
    <t xml:space="preserve">A1.  Because the deviations are measured from the sample mean rather than the true population mean. One degree of freedom is consumed by estimating that mean, so dividing by n would systematically under-estimate the population standard deviation.</t>
  </si>
  <si>
    <t xml:space="preserve">Q2.  The mean fill is 500.2 ml and the median is 499.8 ml, with s = 1.1 ml. What does that suggest?</t>
  </si>
  <si>
    <t xml:space="preserve">A2.  The mean sits above the median by 0.4 ml, roughly a third of a standard deviation, which indicates a right skew: a few high values are pulling the mean up. Check the histogram and the extreme values.</t>
  </si>
  <si>
    <t xml:space="preserve">Q3.  Two SKUs have the same standard deviation of 1.2 ml, one at 500 ml and one at 1,500 ml. Which filler is performing better?</t>
  </si>
  <si>
    <t xml:space="preserve">A3.  The 1,500 ml SKU, in relative terms: its CV is 0.08% against 0.24% for the 500 ml SKU. In absolute terms they are equal, so the answer depends on whether the specification is absolute or proportional.</t>
  </si>
  <si>
    <t xml:space="preserve">If the shape looks wrong</t>
  </si>
  <si>
    <t xml:space="preserve">E-04  Distribution Shape: Skewness and Kurtosis</t>
  </si>
  <si>
    <t xml:space="preserve">E-13  Identifying the Distribution of Your Data</t>
  </si>
  <si>
    <t xml:space="preserve">E-04 — Distribution Shape: Skewness and Kurtosis</t>
  </si>
  <si>
    <t xml:space="preserve">Phase: MEASURE   |   Data required: Continuous measurements   |   Min. sample: 25   |   Complexity: 2/5   |   Typical output: Skewness and kurtosis with interpretation</t>
  </si>
  <si>
    <t xml:space="preserve">Is my distribution symmetric, and how heavy are its tails?</t>
  </si>
  <si>
    <t xml:space="preserve">Before choosing between normal-theory capability and a non-normal method.</t>
  </si>
  <si>
    <t xml:space="preserve">Skewness and kurtosis with their standard errors and a verdict on symmetry.</t>
  </si>
  <si>
    <t xml:space="preserve">Skewness measures asymmetry. Zero means symmetric; positive means a long right tail; negative a long left tail.</t>
  </si>
  <si>
    <t xml:space="preserve">Filling processes are often slightly right skewed because a valve can stick open and overfill, but rarely under-fills by the same amount: the physical mechanisms are not symmetric.</t>
  </si>
  <si>
    <t xml:space="preserve">Kurtosis measures tail weight relative to a normal distribution. Excel reports excess kurtosis, so a normal distribution returns zero. Positive values mean heavier tails and more extreme values than normal theory expects.</t>
  </si>
  <si>
    <t xml:space="preserve">Neither statistic is a test on its own. Each is compared with its own standard error, which depends heavily on n: with 30 observations the standard error of skewness is about 0.43, so a skewness of 0.4 means nothing.</t>
  </si>
  <si>
    <t xml:space="preserve">This is why judging normality from skewness alone with a small sample is unreliable; use E-32 for a formal test.</t>
  </si>
  <si>
    <t xml:space="preserve">✓  Before a capability study, to anticipate whether normal theory will hold.</t>
  </si>
  <si>
    <t xml:space="preserve">✗  Not a formal normality test: use E-32 for that.</t>
  </si>
  <si>
    <t xml:space="preserve">✓  When a histogram looks lopsided and you need a number to support the impression.</t>
  </si>
  <si>
    <t xml:space="preserve">✗  Unreliable below about 25 observations: the standard errors are enormous.</t>
  </si>
  <si>
    <t xml:space="preserve">✓  When heavy tails are suspected because occasional extreme values appear.</t>
  </si>
  <si>
    <t xml:space="preserve">✗  Do not use on data that mixes two streams; stratify first on H-09.</t>
  </si>
  <si>
    <t xml:space="preserve">Sample size is adequate</t>
  </si>
  <si>
    <t xml:space="preserve">n of at least 25, preferably 50 or more</t>
  </si>
  <si>
    <t xml:space="preserve">Collect more data before drawing conclusions about shape</t>
  </si>
  <si>
    <t xml:space="preserve">Data comes from a single process stream</t>
  </si>
  <si>
    <t xml:space="preserve">Stratify by shift, cavity and SKU and compare</t>
  </si>
  <si>
    <t xml:space="preserve">Split the data; a mixture can look skewed when both streams are symmetric</t>
  </si>
  <si>
    <t xml:space="preserve">Extreme values are genuine process output</t>
  </si>
  <si>
    <t xml:space="preserve">Trace each extreme value back to its production record</t>
  </si>
  <si>
    <t xml:space="preserve">Investigate the special cause rather than reporting the shape statistic</t>
  </si>
  <si>
    <t xml:space="preserve">Skewness (Fisher-Pearson, the form Excel uses):</t>
  </si>
  <si>
    <t xml:space="preserve">   g1 = n / ((n-1)(n-2)) * SUM( ((xi - xbar) / s)^3 )</t>
  </si>
  <si>
    <t xml:space="preserve">Excess kurtosis:</t>
  </si>
  <si>
    <t xml:space="preserve">   g2 = n(n+1) / ((n-1)(n-2)(n-3)) * SUM( ((xi - xbar)/s)^4 )  -  3(n-1)^2 / ((n-2)(n-3))</t>
  </si>
  <si>
    <t xml:space="preserve">Standard errors:</t>
  </si>
  <si>
    <t xml:space="preserve">   SE(skew) = SQRT( 6n(n-1) / ((n-2)(n+1)(n+3)) )</t>
  </si>
  <si>
    <t xml:space="preserve">   SE(kurt) = 2 * SE(skew) * SQRT( (n^2 - 1) / ((n-3)(n+5)) )</t>
  </si>
  <si>
    <t xml:space="preserve">Test statistic for each:</t>
  </si>
  <si>
    <t xml:space="preserve">   Z = statistic / its standard error.  |Z| &gt; 2 is evidence of departure from normality.</t>
  </si>
  <si>
    <t xml:space="preserve">SKEW</t>
  </si>
  <si>
    <t xml:space="preserve">SKEW(range)</t>
  </si>
  <si>
    <t xml:space="preserve">Fisher-Pearson sample skewness; requires at least three values</t>
  </si>
  <si>
    <t xml:space="preserve">KURT</t>
  </si>
  <si>
    <t xml:space="preserve">KURT(range)</t>
  </si>
  <si>
    <t xml:space="preserve">Excess kurtosis; returns 0 for a normal distribution, not 3</t>
  </si>
  <si>
    <t xml:space="preserve">n, which drives both standard errors</t>
  </si>
  <si>
    <t xml:space="preserve">Used in both standard error expressions</t>
  </si>
  <si>
    <t xml:space="preserve">Compares the magnitude of Z against 2 regardless of sign</t>
  </si>
  <si>
    <t xml:space="preserve">The same thirty fill volumes used on E-03. Replace them with your own data and the shape statistics, their standard errors and the verdict all update.</t>
  </si>
  <si>
    <t xml:space="preserve">n</t>
  </si>
  <si>
    <t xml:space="preserve">Skewness  g1</t>
  </si>
  <si>
    <t xml:space="preserve">Excess kurtosis  g2</t>
  </si>
  <si>
    <t xml:space="preserve">Standard error of skewness</t>
  </si>
  <si>
    <t xml:space="preserve">Standard error of kurtosis</t>
  </si>
  <si>
    <t xml:space="preserve">Z for skewness</t>
  </si>
  <si>
    <t xml:space="preserve">Z for kurtosis</t>
  </si>
  <si>
    <t xml:space="preserve">Skewness</t>
  </si>
  <si>
    <t xml:space="preserve">|g1| &lt; 0.5</t>
  </si>
  <si>
    <t xml:space="preserve">Practically symmetric for most purposes</t>
  </si>
  <si>
    <t xml:space="preserve">Skewness Z</t>
  </si>
  <si>
    <t xml:space="preserve">Not statistically distinguishable from symmetric</t>
  </si>
  <si>
    <t xml:space="preserve">Excess kurtosis</t>
  </si>
  <si>
    <t xml:space="preserve">|g2| &lt; 1</t>
  </si>
  <si>
    <t xml:space="preserve">Tail weight close enough to normal</t>
  </si>
  <si>
    <t xml:space="preserve">Sample size</t>
  </si>
  <si>
    <t xml:space="preserve">n &gt;= 25, ideally 50</t>
  </si>
  <si>
    <t xml:space="preserve">Below this the standard errors make the statistics uninformative</t>
  </si>
  <si>
    <t xml:space="preserve">•  Quoting skewness from 15 observations. The standard error is about 0.6, so almost any value is plausible.</t>
  </si>
  <si>
    <t xml:space="preserve">•  Confusing Excel's excess kurtosis with the classical kurtosis. Excel already subtracts 3.</t>
  </si>
  <si>
    <t xml:space="preserve">•  Concluding non-normality from shape statistics alone and skipping the probability plot on E-32.</t>
  </si>
  <si>
    <t xml:space="preserve">•  Treating a mixture of two shifts as one skewed distribution instead of stratifying it.</t>
  </si>
  <si>
    <t xml:space="preserve">•  Transforming the data to fix skewness before checking whether an outlier caused it.</t>
  </si>
  <si>
    <t xml:space="preserve">Q1.  Excel returns a kurtosis of 0.2 for your data. Does that mean the tails are lighter than normal?</t>
  </si>
  <si>
    <t xml:space="preserve">A1.  No. Excel's KURT reports excess kurtosis, which is already zero for a normal distribution. A value of 0.2 means very slightly heavier tails than normal, and with a typical sample size it is well within sampling noise.</t>
  </si>
  <si>
    <t xml:space="preserve">Q2.  Why does a right-skewed fill distribution matter more for capability than for the mean?</t>
  </si>
  <si>
    <t xml:space="preserve">A2.  Capability indices convert a Z score into a defect rate through the normal tail. If the real distribution has a longer right tail than normal, the predicted PPM beyond the upper specification will be badly under-estimated, even though the mean is unaffected.</t>
  </si>
  <si>
    <t xml:space="preserve">Q3.  Skewness is 0.35 with n = 30. Is the process skewed?</t>
  </si>
  <si>
    <t xml:space="preserve">A3.  Not demonstrably. SE(skew) is about 0.43, so Z is about 0.8, far below 2. There is no statistical evidence of asymmetry; collect more data if the question matters.</t>
  </si>
  <si>
    <t xml:space="preserve">E-05 — Sampling Strategies and Rational Subgrouping</t>
  </si>
  <si>
    <t xml:space="preserve">Phase: MEASURE   |   Data required: Process timeline and sources   |   Min. sample: n/a   |   Complexity: 3/5   |   Typical output: Sampling plan and subgroup definition</t>
  </si>
  <si>
    <t xml:space="preserve">How and when should I take my samples so that the chart can actually detect a problem?</t>
  </si>
  <si>
    <t xml:space="preserve">When designing a control plan, an SPC scheme or the baseline data collection.</t>
  </si>
  <si>
    <t xml:space="preserve">Subgroup size, sampling interval, and how long a shift would run before a shift is detected.</t>
  </si>
  <si>
    <t xml:space="preserve">Rational subgrouping is the single most misunderstood idea in SPC, and it decides whether your chart works.</t>
  </si>
  <si>
    <t xml:space="preserve">The rule is simple to state: take the units inside a subgroup so close together that only common cause variation can act between them. Five consecutive bottles from the same filler over ten seconds is a rational subgroup. Five bottles taken one per hour across a shift is not: shift change, temperature drift and cavity differences all act inside that group.</t>
  </si>
  <si>
    <t xml:space="preserve">Why it matters: the within-subgroup spread sets the control limits. If you let long-term variation leak inside the subgroup, the limits become wide, the chart flags nothing, and everybody concludes SPC does not work.</t>
  </si>
  <si>
    <t xml:space="preserve">The opposite error is equally common. Taking all five bottles from valve 3 makes the subgroup so homogeneous that limits become absurdly tight and the chart flags constantly. Sample across all valves in rotation instead.</t>
  </si>
  <si>
    <t xml:space="preserve">The interval between subgroups is a separate decision, driven by how quickly you need to detect a shift and by how much product would be at risk in the meantime.</t>
  </si>
  <si>
    <t xml:space="preserve">✓  Designing any control chart scheme for the PET or keg line.</t>
  </si>
  <si>
    <t xml:space="preserve">✗  Not applicable to one-off studies where all data is already collected.</t>
  </si>
  <si>
    <t xml:space="preserve">✓  When an existing chart never signals, or signals constantly.</t>
  </si>
  <si>
    <t xml:space="preserve">✗  Does not replace a measurement system analysis: sampling well from a bad gauge still fails.</t>
  </si>
  <si>
    <t xml:space="preserve">✓  Setting the sampling frequency in the control plan on H-16.</t>
  </si>
  <si>
    <t xml:space="preserve">✗  The detection calculation assumes the shift is sustained, not a single spike.</t>
  </si>
  <si>
    <t xml:space="preserve">✓  Deciding how much product is at risk between two samples.</t>
  </si>
  <si>
    <t xml:space="preserve">Only common cause acts within a subgroup</t>
  </si>
  <si>
    <t xml:space="preserve">Ask what could change between the first and last unit of the subgroup</t>
  </si>
  <si>
    <t xml:space="preserve">Shorten the collection window or restructure the subgroup</t>
  </si>
  <si>
    <t xml:space="preserve">Subgroups are representative of all streams</t>
  </si>
  <si>
    <t xml:space="preserve">Check that all valves, cavities or heads are sampled in rotation</t>
  </si>
  <si>
    <t xml:space="preserve">Rotate the sampling point, or chart each stream separately</t>
  </si>
  <si>
    <t xml:space="preserve">The process is not being adjusted between samples</t>
  </si>
  <si>
    <t xml:space="preserve">Ask operators whether they tweak settings after each reading</t>
  </si>
  <si>
    <t xml:space="preserve">Stop the over-adjustment first; otherwise the chart measures the operator</t>
  </si>
  <si>
    <t xml:space="preserve">Subgroups per shift:</t>
  </si>
  <si>
    <t xml:space="preserve">   k = shift length in minutes / sampling interval in minutes</t>
  </si>
  <si>
    <t xml:space="preserve">Fraction of production actually measured:</t>
  </si>
  <si>
    <t xml:space="preserve">   f = (k * n) / (line speed per hour * shift length in hours)</t>
  </si>
  <si>
    <t xml:space="preserve">Probability that one subgroup detects a sustained shift of delta sigma, with limits at +/- L sigma:</t>
  </si>
  <si>
    <t xml:space="preserve">   p = 1 - NORMSDIST(L - delta*SQRT(n)) + NORMSDIST(-L - delta*SQRT(n))</t>
  </si>
  <si>
    <t xml:space="preserve">Average run length to signal, and the exposure it implies:</t>
  </si>
  <si>
    <t xml:space="preserve">   ARL = 1 / p</t>
  </si>
  <si>
    <t xml:space="preserve">   time to detect = ARL * sampling interval</t>
  </si>
  <si>
    <t xml:space="preserve">   units at risk  = time to detect / 60 * line speed per hour</t>
  </si>
  <si>
    <t xml:space="preserve">NORMSDIST</t>
  </si>
  <si>
    <t xml:space="preserve">NORMSDIST(z)</t>
  </si>
  <si>
    <t xml:space="preserve">Standard normal cumulative probability, used for both tails</t>
  </si>
  <si>
    <t xml:space="preserve">SQRT(n)</t>
  </si>
  <si>
    <t xml:space="preserve">Subgroup size enters the detection power through its square root</t>
  </si>
  <si>
    <t xml:space="preserve">IFERROR</t>
  </si>
  <si>
    <t xml:space="preserve">IFERROR(value, fallback)</t>
  </si>
  <si>
    <t xml:space="preserve">Guards the division when the detection probability is zero</t>
  </si>
  <si>
    <t xml:space="preserve">ROUND</t>
  </si>
  <si>
    <t xml:space="preserve">ROUND(number, digits)</t>
  </si>
  <si>
    <t xml:space="preserve">Presents subgroup counts as whole numbers</t>
  </si>
  <si>
    <t xml:space="preserve">PET line at 18,000 bottles per hour, eight-hour shift, five bottles per subgroup taken in rotation across the filling valves, one subgroup every 30 minutes. How quickly would a 1.5 sigma shift be caught?</t>
  </si>
  <si>
    <t xml:space="preserve">Line speed (bottles per hour)</t>
  </si>
  <si>
    <t xml:space="preserve">Shift length (hours)</t>
  </si>
  <si>
    <t xml:space="preserve">Subgroup size  n</t>
  </si>
  <si>
    <t xml:space="preserve">Sampling interval (minutes)</t>
  </si>
  <si>
    <t xml:space="preserve">Control limits at  L  sigma</t>
  </si>
  <si>
    <t xml:space="preserve">Shift you want to detect (in sigma)</t>
  </si>
  <si>
    <t xml:space="preserve">Subgroups per shift</t>
  </si>
  <si>
    <t xml:space="preserve">Bottles measured per shift</t>
  </si>
  <si>
    <t xml:space="preserve">Bottles produced per shift</t>
  </si>
  <si>
    <t xml:space="preserve">Fraction of production measured</t>
  </si>
  <si>
    <t xml:space="preserve">Probability one subgroup signals</t>
  </si>
  <si>
    <t xml:space="preserve">Average run length to signal (subgroups)</t>
  </si>
  <si>
    <t xml:space="preserve">Time to detect (minutes)</t>
  </si>
  <si>
    <t xml:space="preserve">Bottles produced before detection</t>
  </si>
  <si>
    <t xml:space="preserve">False alarm run length (in-control ARL)</t>
  </si>
  <si>
    <t xml:space="preserve">Subgroup size for Xbar-R</t>
  </si>
  <si>
    <t xml:space="preserve">n between 4 and 6</t>
  </si>
  <si>
    <t xml:space="preserve">Below 4 the chart is slow; above 8 use Xbar-S (E-51)</t>
  </si>
  <si>
    <t xml:space="preserve">Within-subgroup window</t>
  </si>
  <si>
    <t xml:space="preserve">Seconds to a few minutes</t>
  </si>
  <si>
    <t xml:space="preserve">Long enough only for common cause to act</t>
  </si>
  <si>
    <t xml:space="preserve">Detection of a 1.5 sigma shift</t>
  </si>
  <si>
    <t xml:space="preserve">ARL below 3 subgroups</t>
  </si>
  <si>
    <t xml:space="preserve">Reacts within about one hour on a 30 minute interval</t>
  </si>
  <si>
    <t xml:space="preserve">False alarm run length</t>
  </si>
  <si>
    <t xml:space="preserve">About 370 subgroups at 3 sigma</t>
  </si>
  <si>
    <t xml:space="preserve">Roughly one false alarm every 15 shifts at 2 per hour</t>
  </si>
  <si>
    <t xml:space="preserve">•  Building a subgroup from bottles spread across a whole shift. The limits widen and the chart stops working.</t>
  </si>
  <si>
    <t xml:space="preserve">•  Sampling always from the same valve. The limits become unrealistically tight and the chart cries wolf.</t>
  </si>
  <si>
    <t xml:space="preserve">•  Choosing the interval by convenience rather than by how much product is exposed between samples.</t>
  </si>
  <si>
    <t xml:space="preserve">•  Increasing the subgroup size to improve detection when the real problem is that samples are taken too rarely.</t>
  </si>
  <si>
    <t xml:space="preserve">•  Forgetting that the operator adjusting the machine between samples destroys the rational subgroup.</t>
  </si>
  <si>
    <t xml:space="preserve">Q1.  Why do control limits become too wide when a subgroup spans a whole shift?</t>
  </si>
  <si>
    <t xml:space="preserve">A1.  Control limits are computed from the within-subgroup variation. If shift change, temperature drift and cavity differences act inside the subgroup, that long-term variation is treated as common cause and inflates the limits, so genuine shifts no longer cross them.</t>
  </si>
  <si>
    <t xml:space="preserve">Q2.  Doubling the subgroup size from 5 to 10 improves detection by how much, in rough terms?</t>
  </si>
  <si>
    <t xml:space="preserve">A2.  Detection power depends on delta times the square root of n, so doubling n multiplies the effective shift by about 1.41. It helps, but sampling twice as often usually reduces the product at risk more, because exposure is driven by the interval, not by n.</t>
  </si>
  <si>
    <t xml:space="preserve">Q3.  The chart signals on nearly every subgroup. What are the two most likely causes?</t>
  </si>
  <si>
    <t xml:space="preserve">A3.  Either the subgroups are too homogeneous, for example always taken from one valve, so the limits are far too tight; or the process genuinely contains multiple streams that should be charted separately or analysed on E-40.</t>
  </si>
  <si>
    <t xml:space="preserve">E-06 — Operational Definitions and Data Collection Plan</t>
  </si>
  <si>
    <t xml:space="preserve">Phase: MEASURE   |   Data required: Process and metric list   |   Min. sample: n/a   |   Complexity: 2/5   |   Typical output: Operational definitions and collection plan</t>
  </si>
  <si>
    <t xml:space="preserve">Will two different people, on two different shifts, record the same thing in the same way?</t>
  </si>
  <si>
    <t xml:space="preserve">Before a single number is collected, in every project without exception.</t>
  </si>
  <si>
    <t xml:space="preserve">An operational definition per metric and a completeness score for the plan.</t>
  </si>
  <si>
    <t xml:space="preserve">An operational definition converts a word into a procedure. 'Label defect' is a word. 'A label whose leading edge deviates more than 2 mm from the reference mark, measured with the gauge at station 4, on a bottle taken from the discharge conveyor' is an operational definition.</t>
  </si>
  <si>
    <t xml:space="preserve">The test is simple and unforgiving: could two people, working independently on different shifts, follow the written text and reach the same number? If not, every statistic built on that data is decoration.</t>
  </si>
  <si>
    <t xml:space="preserve">Most measurement system failures on a packaging line are not instrument failures. They are definition failures:</t>
  </si>
  <si>
    <t xml:space="preserve">two operators counting the same pallet and disagreeing because one counted scuffs and the other did not.</t>
  </si>
  <si>
    <t xml:space="preserve">The data collection plan then answers the practical questions: what, who, when, how many, where recorded, and how it will be stratified later. The last one is the most frequently forgotten and the most expensive:</t>
  </si>
  <si>
    <t xml:space="preserve">if you did not record shift, valve and SKU at the time, you cannot stratify afterwards, and the study is lost.</t>
  </si>
  <si>
    <t xml:space="preserve">✓  At the start of Measure, before collecting anything.</t>
  </si>
  <si>
    <t xml:space="preserve">✗  Not a substitute for a Gage R&amp;R: a perfect definition with a bad gauge still fails.</t>
  </si>
  <si>
    <t xml:space="preserve">✓  Whenever two sources report different numbers for the same metric.</t>
  </si>
  <si>
    <t xml:space="preserve">✗  Not needed for data that already exists and cannot be re-collected - but state its limitations.</t>
  </si>
  <si>
    <t xml:space="preserve">✓  When an existing report has been argued about more than once.</t>
  </si>
  <si>
    <t xml:space="preserve">✗  Does not fix historical data whose definition is unknown.</t>
  </si>
  <si>
    <t xml:space="preserve">✓  Before any Gage R&amp;R study, because the study needs the definition first.</t>
  </si>
  <si>
    <t xml:space="preserve">The definition can be executed without judgement</t>
  </si>
  <si>
    <t xml:space="preserve">Have two operators apply it independently to the same ten units</t>
  </si>
  <si>
    <t xml:space="preserve">Rewrite until agreement is reached, then run an attribute agreement study</t>
  </si>
  <si>
    <t xml:space="preserve">Stratification factors are captured at the moment of measurement</t>
  </si>
  <si>
    <t xml:space="preserve">Check the form has fields for shift, machine, valve, SKU and time</t>
  </si>
  <si>
    <t xml:space="preserve">Add the fields before collection starts; they cannot be reconstructed</t>
  </si>
  <si>
    <t xml:space="preserve">Sample size is planned, not improvised</t>
  </si>
  <si>
    <t xml:space="preserve">Confirm the number of observations was calculated</t>
  </si>
  <si>
    <t xml:space="preserve">Calculate it before starting rather than stopping when the data looks convincing</t>
  </si>
  <si>
    <t xml:space="preserve">No statistical formula. Two arithmetic checks keep the plan honest.</t>
  </si>
  <si>
    <t xml:space="preserve">completeness = COUNTA(fields filled) / (rows * columns) readiness    = number of Yes answers / number of checklist questions</t>
  </si>
  <si>
    <t xml:space="preserve">The five questions every operational definition must answer:</t>
  </si>
  <si>
    <t xml:space="preserve">   1. What exactly is being measured, in physical terms?</t>
  </si>
  <si>
    <t xml:space="preserve">   2. With what instrument, at what setting, at what point in the process?</t>
  </si>
  <si>
    <t xml:space="preserve">   3. Under what conditions, and by whom?</t>
  </si>
  <si>
    <t xml:space="preserve">   4. What is the decision rule that turns the observation into a value?</t>
  </si>
  <si>
    <t xml:space="preserve">   5. To what resolution is the result recorded?</t>
  </si>
  <si>
    <t xml:space="preserve">Counts non-empty cells to score plan completeness</t>
  </si>
  <si>
    <t xml:space="preserve">COUNTIF</t>
  </si>
  <si>
    <t xml:space="preserve">COUNTIF(range, "Yes")</t>
  </si>
  <si>
    <t xml:space="preserve">Counts the checklist questions answered Yes</t>
  </si>
  <si>
    <t xml:space="preserve">Prevents a division by zero on an empty plan</t>
  </si>
  <si>
    <t xml:space="preserve">ROWS / COLUMNS</t>
  </si>
  <si>
    <t xml:space="preserve">ROWS(range)</t>
  </si>
  <si>
    <t xml:space="preserve">Gives the denominator for the completeness ratio</t>
  </si>
  <si>
    <t xml:space="preserve">Five metrics from a fill volume project. Overwrite every yellow cell with your own plan;</t>
  </si>
  <si>
    <t xml:space="preserve">the completeness score and the readiness verdict update as you type.</t>
  </si>
  <si>
    <t xml:space="preserve">Metric</t>
  </si>
  <si>
    <t xml:space="preserve">Operational definition</t>
  </si>
  <si>
    <t xml:space="preserve">Data type</t>
  </si>
  <si>
    <t xml:space="preserve">Who and when</t>
  </si>
  <si>
    <t xml:space="preserve">Stratification captured</t>
  </si>
  <si>
    <t xml:space="preserve">Net content by weight, balance at station 2, tare from the same preform lot</t>
  </si>
  <si>
    <t xml:space="preserve">Continuous</t>
  </si>
  <si>
    <t xml:space="preserve">Line QA, 5 bottles every 30 min</t>
  </si>
  <si>
    <t xml:space="preserve">5 per subgroup</t>
  </si>
  <si>
    <t xml:space="preserve">Shift, valve, SKU, time</t>
  </si>
  <si>
    <t xml:space="preserve">Cap torque (Nm)</t>
  </si>
  <si>
    <t xml:space="preserve">Removal torque, digital torquemeter, within 5 min of capping</t>
  </si>
  <si>
    <t xml:space="preserve">Line QA, 3 bottles per hour</t>
  </si>
  <si>
    <t xml:space="preserve">3 per hour</t>
  </si>
  <si>
    <t xml:space="preserve">Shift, capping head, SKU</t>
  </si>
  <si>
    <t xml:space="preserve">Label deviation (mm)</t>
  </si>
  <si>
    <t xml:space="preserve">Leading edge deviation from the reference mark, gauge at station 4</t>
  </si>
  <si>
    <t xml:space="preserve">Line QA, 5 bottles per hour</t>
  </si>
  <si>
    <t xml:space="preserve">5 per hour</t>
  </si>
  <si>
    <t xml:space="preserve">Shift, labeller lane, SKU</t>
  </si>
  <si>
    <t xml:space="preserve">Micro-stops (count)</t>
  </si>
  <si>
    <t xml:space="preserve">Any stop under 2 min recorded automatically by the line PLC</t>
  </si>
  <si>
    <t xml:space="preserve">PLC, continuous</t>
  </si>
  <si>
    <t xml:space="preserve">All events</t>
  </si>
  <si>
    <t xml:space="preserve">Shift, machine, SKU, cause code</t>
  </si>
  <si>
    <t xml:space="preserve">Leaking kegs (count)</t>
  </si>
  <si>
    <t xml:space="preserve">Keg failing the pressure hold test at the Monobloc 80 outlet</t>
  </si>
  <si>
    <t xml:space="preserve">Attribute</t>
  </si>
  <si>
    <t xml:space="preserve">Operator, every keg</t>
  </si>
  <si>
    <t xml:space="preserve">100%</t>
  </si>
  <si>
    <t xml:space="preserve">Shift, filling head, keg age</t>
  </si>
  <si>
    <t xml:space="preserve">Plan completeness</t>
  </si>
  <si>
    <t xml:space="preserve">Readiness checklist</t>
  </si>
  <si>
    <t xml:space="preserve">Two operators applied the definition independently and reached the same value</t>
  </si>
  <si>
    <t xml:space="preserve">The instrument, its setting and the measurement point are named</t>
  </si>
  <si>
    <t xml:space="preserve">Shift, machine, valve or head, SKU and time are recorded with every observation</t>
  </si>
  <si>
    <t xml:space="preserve">The sample size was calculated on E-20, not chosen by habit</t>
  </si>
  <si>
    <t xml:space="preserve">The recording form has been used on the floor at least once as a trial</t>
  </si>
  <si>
    <t xml:space="preserve">The person who will collect the data has been trained on the definition</t>
  </si>
  <si>
    <t xml:space="preserve">Readiness score</t>
  </si>
  <si>
    <t xml:space="preserve">Every field of every metric is defined</t>
  </si>
  <si>
    <t xml:space="preserve">All six checklist questions answered Yes</t>
  </si>
  <si>
    <t xml:space="preserve">Independent agreement test</t>
  </si>
  <si>
    <t xml:space="preserve">Two operators, ten units, identical results</t>
  </si>
  <si>
    <t xml:space="preserve">The definition is executable</t>
  </si>
  <si>
    <t xml:space="preserve">Stratification fields</t>
  </si>
  <si>
    <t xml:space="preserve">Shift, machine, stream, SKU, time</t>
  </si>
  <si>
    <t xml:space="preserve">Analysis on H-09 and E-40 remains possible</t>
  </si>
  <si>
    <t xml:space="preserve">•  Starting collection because the deadline is close. Two weeks of undefendable data costs more than two days of definition.</t>
  </si>
  <si>
    <t xml:space="preserve">•  Omitting the stratification fields. You cannot add shift or valve to the data after the fact.</t>
  </si>
  <si>
    <t xml:space="preserve">•  Writing a definition that requires judgement, such as 'obvious scuffing', and then wondering why operators disagree.</t>
  </si>
  <si>
    <t xml:space="preserve">•  Defining the metric but not the measurement conditions: temperature, time since filling, and settling time all matter.</t>
  </si>
  <si>
    <t xml:space="preserve">•  Assuming the automatic PLC count needs no definition. Ask what the PLC counts as a stop, and at what threshold.</t>
  </si>
  <si>
    <t xml:space="preserve">Q1.  What is the practical test of whether an operational definition is good enough?</t>
  </si>
  <si>
    <t xml:space="preserve">A1.  Two people who have not spoken to each other follow the written definition on the same ten units and record identical values. If they disagree, the definition, not the operator, is at fault.</t>
  </si>
  <si>
    <t xml:space="preserve">Q2.  Why must stratification fields be decided before collection rather than during analysis?</t>
  </si>
  <si>
    <t xml:space="preserve">A2.  Because shift, valve, cavity and SKU cannot be reconstructed after the fact. Data without those fields can only be described in aggregate, and almost every root cause in packaging is found by splitting the data along exactly those factors.</t>
  </si>
  <si>
    <t xml:space="preserve">Q3.  The PLC already counts micro-stops automatically. Does that metric still need an operational definition?</t>
  </si>
  <si>
    <t xml:space="preserve">A3.  Yes. You need to know what duration threshold the PLC uses, whether it counts a stop per machine or per line, whether it merges consecutive stops, and how it treats planned stops. Two lines with different PLC settings are not comparable.</t>
  </si>
  <si>
    <t xml:space="preserve">E-07  The Normal Distribution and Z Scores</t>
  </si>
  <si>
    <t xml:space="preserve">E-07 — The Normal Distribution and Z Scores</t>
  </si>
  <si>
    <t xml:space="preserve">Phase: MEASURE   |   Data required: Mean, StDev, limit   |   Min. sample: n/a   |   Complexity: 2/5   |   Typical output: Z score, tail probability, PPM</t>
  </si>
  <si>
    <t xml:space="preserve">What proportion of my output falls beyond this limit?</t>
  </si>
  <si>
    <t xml:space="preserve">Whenever a specification limit, a target or a rejection threshold is involved.</t>
  </si>
  <si>
    <t xml:space="preserve">A Z score, the tail probability, and the expected PPM outside specification.</t>
  </si>
  <si>
    <t xml:space="preserve">The normal distribution is not a law of nature; it is a useful model that fits many stable measured processes because their variation is the sum of many small independent effects.</t>
  </si>
  <si>
    <t xml:space="preserve">Its power is that it needs only two numbers, the mean and the standard deviation, to predict the proportion of output beyond any limit. That prediction is the whole basis of capability indices on E-57.</t>
  </si>
  <si>
    <t xml:space="preserve">The Z score is the translation device. It expresses a distance from the mean in standard deviations, which converts any normal distribution into the one standard table: Z = (x - mean) / sigma.</t>
  </si>
  <si>
    <t xml:space="preserve">A Z of 3 leaves 1,350 parts per million in that tail. A Z of 4 leaves 32 ppm. A Z of 6 leaves 2 parts per billion, which is where the name six sigma comes from - before the traditional 1.5 sigma long-term shift is applied.</t>
  </si>
  <si>
    <t xml:space="preserve">The critical warning: these tail predictions are extremely sensitive to the normality assumption. Being slightly wrong about the shape barely affects the mean, but can be wrong by a factor of ten in the tail.</t>
  </si>
  <si>
    <t xml:space="preserve">✓  Predicting the fraction outside specification from mean and StDev.</t>
  </si>
  <si>
    <t xml:space="preserve">✗  Not valid on strongly skewed or bounded data: use E-58.</t>
  </si>
  <si>
    <t xml:space="preserve">✓  Converting a defect rate into a sigma level and back.</t>
  </si>
  <si>
    <t xml:space="preserve">✗  Do not use it on an unstable process; the mean and sigma have no single value to insert.</t>
  </si>
  <si>
    <t xml:space="preserve">✓  Setting a target mean that balances give-away against under-fill risk.</t>
  </si>
  <si>
    <t xml:space="preserve">✗  Not appropriate for count or attribute data: use E-10 and E-11.</t>
  </si>
  <si>
    <t xml:space="preserve">✓  As the engine behind capability indices and control limits.</t>
  </si>
  <si>
    <t xml:space="preserve">The data is approximately normal</t>
  </si>
  <si>
    <t xml:space="preserve">Probability plot and a formal test on E-32</t>
  </si>
  <si>
    <t xml:space="preserve">Transform on E-33 or use non-normal capability on E-58</t>
  </si>
  <si>
    <t xml:space="preserve">The process is stable</t>
  </si>
  <si>
    <t xml:space="preserve">Control chart with at least 25 subgroups</t>
  </si>
  <si>
    <t xml:space="preserve">Stabilise first; predictions from an unstable process are meaningless</t>
  </si>
  <si>
    <t xml:space="preserve">The mean and sigma are well estimated</t>
  </si>
  <si>
    <t xml:space="preserve">n of at least 30, ideally 100 for tail work</t>
  </si>
  <si>
    <t xml:space="preserve">Widen the estimate with a confidence interval on E-15 and E-16</t>
  </si>
  <si>
    <t xml:space="preserve">E-16  Confidence Intervals for Proportion and Std Dev</t>
  </si>
  <si>
    <t xml:space="preserve">Standardisation:</t>
  </si>
  <si>
    <t xml:space="preserve">   Z = (x - mu) / sigma</t>
  </si>
  <si>
    <t xml:space="preserve">Probability below a value:</t>
  </si>
  <si>
    <t xml:space="preserve">   P(X &lt; x) = NORMSDIST(Z)</t>
  </si>
  <si>
    <t xml:space="preserve">Probability outside a two-sided specification:</t>
  </si>
  <si>
    <t xml:space="preserve">   P(out) = NORMSDIST((LSL - mu)/sigma) + (1 - NORMSDIST((USL - mu)/sigma))</t>
  </si>
  <si>
    <t xml:space="preserve">Parts per million defective:</t>
  </si>
  <si>
    <t xml:space="preserve">   PPM = P(out) * 1,000,000</t>
  </si>
  <si>
    <t xml:space="preserve">Density used to draw the curve:</t>
  </si>
  <si>
    <t xml:space="preserve">   f(x) = 1 / (sigma*SQRT(2*PI)) * EXP( -(x - mu)^2 / (2*sigma^2) )</t>
  </si>
  <si>
    <t xml:space="preserve">Cumulative probability below z for the standard normal</t>
  </si>
  <si>
    <t xml:space="preserve">NORMSINV(p)</t>
  </si>
  <si>
    <t xml:space="preserve">The inverse: the z that leaves probability p below it</t>
  </si>
  <si>
    <t xml:space="preserve">NORMDIST</t>
  </si>
  <si>
    <t xml:space="preserve">NORMDIST(x, mean, sd, cumulative)</t>
  </si>
  <si>
    <t xml:space="preserve">FALSE returns the density, used to draw the curve</t>
  </si>
  <si>
    <t xml:space="preserve">NORMINV</t>
  </si>
  <si>
    <t xml:space="preserve">NORMINV(p, mean, sd)</t>
  </si>
  <si>
    <t xml:space="preserve">The value of x that leaves probability p below it</t>
  </si>
  <si>
    <t xml:space="preserve">Used when only the magnitude of the Z score matters</t>
  </si>
  <si>
    <t xml:space="preserve">The 500 ml SKU is running with a mean of 500.5 ml and a standard deviation of 1.10 ml. The specification is 496.0 to 504.0 ml. How much product falls outside, and what does the give-away cost?</t>
  </si>
  <si>
    <t xml:space="preserve">Process mean  mu (ml)</t>
  </si>
  <si>
    <t xml:space="preserve">Process StDev  sigma (ml)</t>
  </si>
  <si>
    <t xml:space="preserve">Value of interest  x (ml)</t>
  </si>
  <si>
    <t xml:space="preserve">Z at the lower limit</t>
  </si>
  <si>
    <t xml:space="preserve">Z at the upper limit</t>
  </si>
  <si>
    <t xml:space="preserve">Proportion below the lower limit</t>
  </si>
  <si>
    <t xml:space="preserve">Proportion above the upper limit</t>
  </si>
  <si>
    <t xml:space="preserve">Total proportion out of specification</t>
  </si>
  <si>
    <t xml:space="preserve">Parts per million defective</t>
  </si>
  <si>
    <t xml:space="preserve">Z bench (overall sigma level)</t>
  </si>
  <si>
    <t xml:space="preserve">Z score of the value of interest</t>
  </si>
  <si>
    <t xml:space="preserve">Proportion below x</t>
  </si>
  <si>
    <t xml:space="preserve">Proportion above x</t>
  </si>
  <si>
    <t xml:space="preserve">Give-away versus nominal 500 ml (ml/bottle)</t>
  </si>
  <si>
    <t xml:space="preserve">NORMAL CURVE</t>
  </si>
  <si>
    <t xml:space="preserve">x (ml)</t>
  </si>
  <si>
    <t xml:space="preserve">Density</t>
  </si>
  <si>
    <t xml:space="preserve">Z bench</t>
  </si>
  <si>
    <t xml:space="preserve">Z &gt;= 4.5</t>
  </si>
  <si>
    <t xml:space="preserve">About 3.4 PPM, the classical six sigma short-term equivalent</t>
  </si>
  <si>
    <t xml:space="preserve">Z = 3</t>
  </si>
  <si>
    <t xml:space="preserve">1,350 PPM per tail; the traditional three sigma process</t>
  </si>
  <si>
    <t xml:space="preserve">Give-away</t>
  </si>
  <si>
    <t xml:space="preserve">Mean above nominal</t>
  </si>
  <si>
    <t xml:space="preserve">Every 0.1 ml at 18,000 BPH is roughly 15 litres per day given away</t>
  </si>
  <si>
    <t xml:space="preserve">Confirmed on E-32</t>
  </si>
  <si>
    <t xml:space="preserve">Without it the tail estimate can be wrong by an order of magnitude</t>
  </si>
  <si>
    <t xml:space="preserve">•  Predicting PPM from a process that is not stable. The mean you inserted does not exist as a single value.</t>
  </si>
  <si>
    <t xml:space="preserve">•  Trusting a tail estimate from mildly non-normal data. The centre is robust; the tail is not.</t>
  </si>
  <si>
    <t xml:space="preserve">•  Confusing NORMSDIST with NORMDIST. The first takes a Z score, the second takes x with its mean and sigma.</t>
  </si>
  <si>
    <t xml:space="preserve">•  Reporting a Z of 6 from 30 measurements. You cannot observe a 2-per-billion event in 30 bottles; that number is a model extrapolation, and it should be labelled as one.</t>
  </si>
  <si>
    <t xml:space="preserve">•  Forgetting that reducing the mean towards nominal cuts give-away but increases the under-fill risk, which is usually a legal limit rather than an internal one.</t>
  </si>
  <si>
    <t xml:space="preserve">Q1.  A process has mean 500.5 ml, sigma 1.1 ml and an upper limit of 504 ml. What is Z, and roughly what PPM does that imply?</t>
  </si>
  <si>
    <t xml:space="preserve">A1.  Z = (504 - 500.5) / 1.1 = 3.18, which leaves about 730 parts per million above the upper limit. The lower tail is negligible in comparison, so the total is dominated by the upper side.</t>
  </si>
  <si>
    <t xml:space="preserve">Q2.  Why is a tail probability far more sensitive to non-normality than the mean is?</t>
  </si>
  <si>
    <t xml:space="preserve">A2.  The mean depends on the bulk of the data, where any reasonable distribution behaves similarly. The tail probability depends on the extreme shape, where distributions differ enormously: a mildly heavier tail can multiply the predicted defect rate by ten or more.</t>
  </si>
  <si>
    <t xml:space="preserve">Q3.  Where does the 1.5 sigma shift in six sigma methodology come from, and how does it appear here?</t>
  </si>
  <si>
    <t xml:space="preserve">A3.  It is an empirical allowance for long-term drift between subgroups. A short-term Z of 6 is assumed to deliver a long-term Z of 4.5, which corresponds to 3.4 PPM. On this sheet you can reproduce it by comparing Z bench computed from short-term sigma with the same limit and a shifted mean.</t>
  </si>
  <si>
    <t xml:space="preserve">E-08  Central Limit Theorem (Live Simulation)</t>
  </si>
  <si>
    <t xml:space="preserve">E-58  Non-Normal and Attribute Capability, Z-bench</t>
  </si>
  <si>
    <t xml:space="preserve">E-08 — Central Limit Theorem (Live Simulation)</t>
  </si>
  <si>
    <t xml:space="preserve">Phase: MEASURE   |   Data required: None (simulated)   |   Min. sample: n/a   |   Complexity: 3/5   |   Typical output: Raw vs sample-mean histograms</t>
  </si>
  <si>
    <t xml:space="preserve">Why may I use normal theory on data that is clearly not normal?</t>
  </si>
  <si>
    <t xml:space="preserve">When someone objects that the data is skewed and therefore no test can be run.</t>
  </si>
  <si>
    <t xml:space="preserve">A live demonstration that sample means become normal even when the raw data is not.</t>
  </si>
  <si>
    <t xml:space="preserve">Raw data (min)</t>
  </si>
  <si>
    <t xml:space="preserve">Sample means</t>
  </si>
  <si>
    <t xml:space="preserve">Downtime</t>
  </si>
  <si>
    <t xml:space="preserve">Mean</t>
  </si>
  <si>
    <t xml:space="preserve">The Central Limit Theorem is the reason the whole toolkit works. It states that the distribution of sample</t>
  </si>
  <si>
    <t xml:space="preserve">means approaches a normal distribution as the sample size grows, whatever the shape of the raw data.</t>
  </si>
  <si>
    <t xml:space="preserve">Two consequences follow, and both are used constantly on the factory floor.</t>
  </si>
  <si>
    <t xml:space="preserve">First, the Xbar chart is robust. Even if individual measurements are skewed, the averages plotted on the chart</t>
  </si>
  <si>
    <t xml:space="preserve">behave normally, so the standard control limits are valid. This is why the Xbar chart tolerates non-normality</t>
  </si>
  <si>
    <t xml:space="preserve">and the Individuals chart on E-49 does not.</t>
  </si>
  <si>
    <t xml:space="preserve">Second, t-tests and confidence intervals on means remain valid with modest samples even when the raw data</t>
  </si>
  <si>
    <t xml:space="preserve">is not normal, because they concern the mean rather than the individual value.</t>
  </si>
  <si>
    <t xml:space="preserve">The theorem does NOT say that your data becomes normal, and it does NOT rescue capability studies: Cpk is</t>
  </si>
  <si>
    <t xml:space="preserve">computed from individual values against specification limits, so the shape of the raw data matters there.</t>
  </si>
  <si>
    <t xml:space="preserve">The simulation below uses 200 deliberately skewed values. Change the sample size and watch the means tighten.</t>
  </si>
  <si>
    <t xml:space="preserve">✓  Justifying an Xbar chart on skewed data such as time to failure or downtime duration.</t>
  </si>
  <si>
    <t xml:space="preserve">✗  Does not justify a capability study on non-normal individual data: use E-58.</t>
  </si>
  <si>
    <t xml:space="preserve">✓  Explaining why a t-test on 30 observations survives moderate non-normality.</t>
  </si>
  <si>
    <t xml:space="preserve">✗  Does not apply to the Individuals chart, which plots raw values, not means.</t>
  </si>
  <si>
    <t xml:space="preserve">✓  Teaching why sample size drives the precision of an average.</t>
  </si>
  <si>
    <t xml:space="preserve">✗  Convergence is slow for extremely skewed data; n of 30 is a rule of thumb, not a law.</t>
  </si>
  <si>
    <t xml:space="preserve">Check that the sampled units are not systematically related</t>
  </si>
  <si>
    <t xml:space="preserve">Redesign the sampling; autocorrelation breaks the theorem</t>
  </si>
  <si>
    <t xml:space="preserve">Sample size is large enough for the degree of skew</t>
  </si>
  <si>
    <t xml:space="preserve">Compare the histogram of means with a normal curve</t>
  </si>
  <si>
    <t xml:space="preserve">Increase n, or use a nonparametric method on E-31</t>
  </si>
  <si>
    <t xml:space="preserve">The population variance is finite</t>
  </si>
  <si>
    <t xml:space="preserve">True for any physical measurement in packaging</t>
  </si>
  <si>
    <t xml:space="preserve">Not a practical concern on a production line</t>
  </si>
  <si>
    <t xml:space="preserve">For a sample of size n drawn from any population with mean mu and standard deviation sigma:</t>
  </si>
  <si>
    <t xml:space="preserve">   mean of the sample means           = mu</t>
  </si>
  <si>
    <t xml:space="preserve">   standard deviation of sample means = sigma / SQRT(n)      &lt;- the standard error</t>
  </si>
  <si>
    <t xml:space="preserve">   shape of the sample means          -&gt; normal as n increases</t>
  </si>
  <si>
    <t xml:space="preserve">Practical rule of thumb:</t>
  </si>
  <si>
    <t xml:space="preserve">   n &gt;= 30 is usually enough for moderately skewed data</t>
  </si>
  <si>
    <t xml:space="preserve">   n &gt;= 5  is often enough for mildly skewed data, which is why Xbar-R with n=5 works so well</t>
  </si>
  <si>
    <t xml:space="preserve">Computes each sample mean</t>
  </si>
  <si>
    <t xml:space="preserve">OFFSET</t>
  </si>
  <si>
    <t xml:space="preserve">OFFSET(anchor, rows, cols, height, width)</t>
  </si>
  <si>
    <t xml:space="preserve">Selects the block of n consecutive raw values that forms one sample</t>
  </si>
  <si>
    <t xml:space="preserve">Standard deviation of the raw data and of the sample means</t>
  </si>
  <si>
    <t xml:space="preserve">Builds both histograms from the same bin edges</t>
  </si>
  <si>
    <t xml:space="preserve">INT</t>
  </si>
  <si>
    <t xml:space="preserve">INT(number)</t>
  </si>
  <si>
    <t xml:space="preserve">Number of complete samples available: INT(200 / n)</t>
  </si>
  <si>
    <t xml:space="preserve">IF</t>
  </si>
  <si>
    <t xml:space="preserve">IF(test, value_if_true, "")</t>
  </si>
  <si>
    <t xml:space="preserve">Leaves the cell blank when fewer samples are available</t>
  </si>
  <si>
    <t xml:space="preserve">Two hundred simulated downtime durations in minutes, deliberately right skewed, exactly the shape of</t>
  </si>
  <si>
    <t xml:space="preserve">real micro-stop data. The values are static so the sheet does not change every time it recalculates.</t>
  </si>
  <si>
    <t xml:space="preserve">Change only the sample size in the yellow cell and compare the two histograms.</t>
  </si>
  <si>
    <t xml:space="preserve">Sample size  n  (drives everything below)</t>
  </si>
  <si>
    <t xml:space="preserve">The 200 raw values sit in column P and the sample means in column R, to the right of this block.</t>
  </si>
  <si>
    <t xml:space="preserve">Complete samples available</t>
  </si>
  <si>
    <t xml:space="preserve">Mean of the raw data (min)</t>
  </si>
  <si>
    <t xml:space="preserve">StDev of the raw data (min)</t>
  </si>
  <si>
    <t xml:space="preserve">Skewness of the raw data</t>
  </si>
  <si>
    <t xml:space="preserve">Mean of the sample means (min)</t>
  </si>
  <si>
    <t xml:space="preserve">StDev of the sample means (min)</t>
  </si>
  <si>
    <t xml:space="preserve">Skewness of the sample means</t>
  </si>
  <si>
    <t xml:space="preserve">Predicted StDev of means = s / SQRT(n)</t>
  </si>
  <si>
    <t xml:space="preserve">Observed divided by predicted</t>
  </si>
  <si>
    <t xml:space="preserve">Skewness reduction achieved</t>
  </si>
  <si>
    <t xml:space="preserve">TWO HISTOGRAMS, SAME BIN EDGES</t>
  </si>
  <si>
    <t xml:space="preserve">Bin (min)</t>
  </si>
  <si>
    <t xml:space="preserve">Raw count</t>
  </si>
  <si>
    <t xml:space="preserve">Mean count</t>
  </si>
  <si>
    <t xml:space="preserve">Skewness of raw data</t>
  </si>
  <si>
    <t xml:space="preserve">Around 1.5 to 2 here</t>
  </si>
  <si>
    <t xml:space="preserve">Typical of downtime and time-to-failure data</t>
  </si>
  <si>
    <t xml:space="preserve">Skewness of the means</t>
  </si>
  <si>
    <t xml:space="preserve">|skew| &lt; 0.5</t>
  </si>
  <si>
    <t xml:space="preserve">Close enough to symmetric for normal theory on the mean</t>
  </si>
  <si>
    <t xml:space="preserve">StDev of means vs s/SQRT(n)</t>
  </si>
  <si>
    <t xml:space="preserve">Ratio close to 1</t>
  </si>
  <si>
    <t xml:space="preserve">Confirms the standard error formula empirically</t>
  </si>
  <si>
    <t xml:space="preserve">n &gt;= 30 for strong skew, n &gt;= 5 for mild</t>
  </si>
  <si>
    <t xml:space="preserve">The rule of thumb, not a guarantee</t>
  </si>
  <si>
    <t xml:space="preserve">•  Claiming the CLT makes the raw data normal. It does not; only the distribution of the means changes.</t>
  </si>
  <si>
    <t xml:space="preserve">•  Using the CLT to justify a capability study. Cpk compares individual values with specification limits, so the shape of the raw data is exactly what matters there. Use E-58 instead.</t>
  </si>
  <si>
    <t xml:space="preserve">•  Applying it to an Individuals chart. The I chart plots single values, so it enjoys no CLT protection.</t>
  </si>
  <si>
    <t xml:space="preserve">•  Assuming n = 30 always suffices. For extremely skewed data such as rare downtime events, it may not.</t>
  </si>
  <si>
    <t xml:space="preserve">•  Forgetting independence. Consecutive bottles from one valve are not independent draws from the process.</t>
  </si>
  <si>
    <t xml:space="preserve">Q1.  Does the Central Limit Theorem justify computing Cpk on strongly skewed data?</t>
  </si>
  <si>
    <t xml:space="preserve">A1.  No. Cpk compares individual measurements with specification limits, so the shape of the raw distribution drives the answer. The CLT applies to sample means only. Use non-normal capability on E-58 or transform the data on E-33.</t>
  </si>
  <si>
    <t xml:space="preserve">Q2.  Why is an Xbar chart robust to non-normality while an Individuals chart is not?</t>
  </si>
  <si>
    <t xml:space="preserve">A2.  The Xbar chart plots subgroup averages, which the CLT drives towards normality, so the standard three-sigma limits keep their intended false alarm rate. The I chart plots single values, which retain the raw shape, so on skewed data its limits are wrong.</t>
  </si>
  <si>
    <t xml:space="preserve">Q3.  If the raw standard deviation is 3.4 minutes and n = 5, what standard deviation do you expect among the sample means?</t>
  </si>
  <si>
    <t xml:space="preserve">A3.  3.4 divided by the square root of 5, which is about 1.52 minutes. The sheet computes both the observed and the predicted value so you can see how close they are.</t>
  </si>
  <si>
    <t xml:space="preserve">E-09  The t, Chi-Square and F Distributions</t>
  </si>
  <si>
    <t xml:space="preserve">E-09 — The t, Chi-Square and F Distributions</t>
  </si>
  <si>
    <t xml:space="preserve">Phase: MEASURE   |   Data required: Degrees of freedom, alpha   |   Min. sample: n/a   |   Complexity: 3/5   |   Typical output: Critical values and tail areas</t>
  </si>
  <si>
    <t xml:space="preserve">Which reference distribution does my test use, and what is its critical value?</t>
  </si>
  <si>
    <t xml:space="preserve">Whenever a test statistic must be compared with a table value, or a p-value interpreted.</t>
  </si>
  <si>
    <t xml:space="preserve">Critical values and tail areas for the t, chi-square and F distributions.</t>
  </si>
  <si>
    <t xml:space="preserve">Three distributions carry almost all of classical inference, and each answers a different question.</t>
  </si>
  <si>
    <t xml:space="preserve">The t distribution handles means when sigma is unknown. It looks like the normal curve but with heavier tails, because estimating sigma from the data adds uncertainty. With 5 degrees of freedom the two-sided 5% critical value is 2.57 rather than 1.96; by 30 degrees of freedom it is 2.04, and it converges to 1.96 as df grows.</t>
  </si>
  <si>
    <t xml:space="preserve">The chi-square distribution handles variances and counts. It is skewed right and bounded at zero, because a sum of squares cannot be negative. It drives variance confidence intervals and contingency table tests.</t>
  </si>
  <si>
    <t xml:space="preserve">The F distribution handles ratios of two variances, which is why it appears in ANOVA and in tests for equality of spread. It has two separate degrees of freedom, numerator and denominator, and the order matters.</t>
  </si>
  <si>
    <t xml:space="preserve">Degrees of freedom are simply the number of independent pieces of information left after estimating parameters.</t>
  </si>
  <si>
    <t xml:space="preserve">With n observations and one estimated mean, n - 1 remain.</t>
  </si>
  <si>
    <t xml:space="preserve">✓  Looking up a critical value without a printed table.</t>
  </si>
  <si>
    <t xml:space="preserve">✗  Not a test in itself; it supplies the reference values other sheets consume.</t>
  </si>
  <si>
    <t xml:space="preserve">✓  Checking a p-value reported by software.</t>
  </si>
  <si>
    <t xml:space="preserve">✗  Do not use the t distribution when sigma is genuinely known: the normal applies.</t>
  </si>
  <si>
    <t xml:space="preserve">✓  Understanding why a small sample needs a larger test statistic to reach significance.</t>
  </si>
  <si>
    <t xml:space="preserve">✗  The F test for variances is very sensitive to non-normality; prefer Levene on E-28.</t>
  </si>
  <si>
    <t xml:space="preserve">✓  Teaching the link between degrees of freedom and test sensitivity.</t>
  </si>
  <si>
    <t xml:space="preserve">Degrees of freedom are correctly counted</t>
  </si>
  <si>
    <t xml:space="preserve">n - 1 for one sample, n1 + n2 - 2 for pooled two-sample, k - 1 and N - k for ANOVA</t>
  </si>
  <si>
    <t xml:space="preserve">Recount; the wrong df silently produces the wrong p-value</t>
  </si>
  <si>
    <t xml:space="preserve">The underlying data is approximately normal</t>
  </si>
  <si>
    <t xml:space="preserve">Probability plot on E-32</t>
  </si>
  <si>
    <t xml:space="preserve">Chi-square and F are far less robust than t; switch to E-31</t>
  </si>
  <si>
    <t xml:space="preserve">The correct tail is being used</t>
  </si>
  <si>
    <t xml:space="preserve">Ask whether the alternative hypothesis is directional</t>
  </si>
  <si>
    <t xml:space="preserve">Halve or double the probability as appropriate</t>
  </si>
  <si>
    <t xml:space="preserve">E-17  The Hypothesis Testing Framework</t>
  </si>
  <si>
    <t xml:space="preserve">t distribution:</t>
  </si>
  <si>
    <t xml:space="preserve">   t = (xbar - mu) / (s / SQRT(n)),   df = n - 1</t>
  </si>
  <si>
    <t xml:space="preserve">Chi-square distribution:</t>
  </si>
  <si>
    <t xml:space="preserve">   chi2 = (n - 1) * s^2 / sigma0^2,   df = n - 1</t>
  </si>
  <si>
    <t xml:space="preserve">F distribution:</t>
  </si>
  <si>
    <t xml:space="preserve">   F = s1^2 / s2^2,   df1 = n1 - 1 (numerator),   df2 = n2 - 1 (denominator)</t>
  </si>
  <si>
    <t xml:space="preserve">Relationships worth remembering:</t>
  </si>
  <si>
    <t xml:space="preserve">t^2 with df = F with (1, df)        t with df -&gt; infinity becomes the standard normal chi2 with df = 1 is the square of a standard normal variable</t>
  </si>
  <si>
    <t xml:space="preserve">TINV</t>
  </si>
  <si>
    <t xml:space="preserve">TINV(probability, df)</t>
  </si>
  <si>
    <t xml:space="preserve">TWO-TAILED critical t. For one tail use TINV(2*alpha, df)</t>
  </si>
  <si>
    <t xml:space="preserve">TDIST</t>
  </si>
  <si>
    <t xml:space="preserve">TDIST(t, df, tails)</t>
  </si>
  <si>
    <t xml:space="preserve">Tail area; t must be positive, tails is 1 or 2</t>
  </si>
  <si>
    <t xml:space="preserve">CHIINV</t>
  </si>
  <si>
    <t xml:space="preserve">CHIINV(probability, df)</t>
  </si>
  <si>
    <t xml:space="preserve">The chi-square value with that area in the RIGHT tail</t>
  </si>
  <si>
    <t xml:space="preserve">CHIDIST</t>
  </si>
  <si>
    <t xml:space="preserve">CHIDIST(x, df)</t>
  </si>
  <si>
    <t xml:space="preserve">Right tail area above x</t>
  </si>
  <si>
    <t xml:space="preserve">FINV</t>
  </si>
  <si>
    <t xml:space="preserve">FINV(probability, df1, df2)</t>
  </si>
  <si>
    <t xml:space="preserve">The F value with that area in the right tail</t>
  </si>
  <si>
    <t xml:space="preserve">FDIST</t>
  </si>
  <si>
    <t xml:space="preserve">FDIST(x, df1, df2)</t>
  </si>
  <si>
    <t xml:space="preserve">Normal quantile, shown for comparison with t</t>
  </si>
  <si>
    <t xml:space="preserve">Set the degrees of freedom and alpha for the test you are running and read the critical values.</t>
  </si>
  <si>
    <t xml:space="preserve">The comparison table at the bottom shows how the t critical value converges on 1.96 as df grows.</t>
  </si>
  <si>
    <t xml:space="preserve">Significance level  alpha</t>
  </si>
  <si>
    <t xml:space="preserve">Degrees of freedom  df1 (numerator)</t>
  </si>
  <si>
    <t xml:space="preserve">Degrees of freedom  df2 (denominator)</t>
  </si>
  <si>
    <t xml:space="preserve">Observed t (for the tail area)</t>
  </si>
  <si>
    <t xml:space="preserve">Observed chi-square</t>
  </si>
  <si>
    <t xml:space="preserve">Observed F</t>
  </si>
  <si>
    <t xml:space="preserve">t critical, two-tailed</t>
  </si>
  <si>
    <t xml:space="preserve">t critical, one-tailed</t>
  </si>
  <si>
    <t xml:space="preserve">Normal critical, two-tailed</t>
  </si>
  <si>
    <t xml:space="preserve">p-value for the observed t (two-tailed)</t>
  </si>
  <si>
    <t xml:space="preserve">Chi-square critical, upper tail</t>
  </si>
  <si>
    <t xml:space="preserve">Chi-square critical, lower tail</t>
  </si>
  <si>
    <t xml:space="preserve">p-value for the observed chi-square</t>
  </si>
  <si>
    <t xml:space="preserve">F critical, upper tail</t>
  </si>
  <si>
    <t xml:space="preserve">p-value for the observed F</t>
  </si>
  <si>
    <t xml:space="preserve">HOW t CONVERGES ON THE NORMAL</t>
  </si>
  <si>
    <t xml:space="preserve">df</t>
  </si>
  <si>
    <t xml:space="preserve">t critical (two-tailed)</t>
  </si>
  <si>
    <t xml:space="preserve">Normal critical</t>
  </si>
  <si>
    <t xml:space="preserve">Excess over normal</t>
  </si>
  <si>
    <t xml:space="preserve">t critical at df = 5</t>
  </si>
  <si>
    <t xml:space="preserve">About 2.57</t>
  </si>
  <si>
    <t xml:space="preserve">A small sample demands a much larger effect to reach significance</t>
  </si>
  <si>
    <t xml:space="preserve">t critical at df = 30</t>
  </si>
  <si>
    <t xml:space="preserve">About 2.04</t>
  </si>
  <si>
    <t xml:space="preserve">Close to the normal 1.96; the penalty for estimating sigma has faded</t>
  </si>
  <si>
    <t xml:space="preserve">Chi-square</t>
  </si>
  <si>
    <t xml:space="preserve">Skewed right, bounded at zero</t>
  </si>
  <si>
    <t xml:space="preserve">Two different critical values are needed for a two-sided interval</t>
  </si>
  <si>
    <t xml:space="preserve">F</t>
  </si>
  <si>
    <t xml:space="preserve">Order of df matters</t>
  </si>
  <si>
    <t xml:space="preserve">F(12,15) is not F(15,12); the numerator is always the first argument</t>
  </si>
  <si>
    <t xml:space="preserve">•  Using TINV as if it were one-tailed. In Excel TINV is two-tailed; for one tail use TINV(2*alpha, df).</t>
  </si>
  <si>
    <t xml:space="preserve">•  Feeding a negative t into TDIST. It requires a positive value, so wrap it in ABS.</t>
  </si>
  <si>
    <t xml:space="preserve">•  Swapping the numerator and denominator degrees of freedom in FINV.</t>
  </si>
  <si>
    <t xml:space="preserve">•  Using a chi-square upper critical value for a two-sided variance interval and forgetting the lower one.</t>
  </si>
  <si>
    <t xml:space="preserve">•  Treating df as the sample size. With one sample of 25 the df is 24, not 25.</t>
  </si>
  <si>
    <t xml:space="preserve">Q1.  Why does the t distribution have heavier tails than the normal distribution?</t>
  </si>
  <si>
    <t xml:space="preserve">A1.  Because sigma is estimated from the same small sample rather than known. That extra uncertainty makes extreme values of the statistic more likely, which widens the tails. As df grows, s becomes a reliable estimate of sigma and the t converges on the normal.</t>
  </si>
  <si>
    <t xml:space="preserve">Q2.  In Excel, what does TINV(0.05, 20) return, and what would you use for a one-tailed test at 5%?</t>
  </si>
  <si>
    <t xml:space="preserve">A2.  TINV(0.05, 20) returns 2.086, the TWO-tailed critical value. For a one-tailed test at 5% you need TINV(0.10, 20), which returns 1.725.</t>
  </si>
  <si>
    <t xml:space="preserve">Q3.  You are comparing the variance of shift A with that of shift B, with 15 and 20 observations. What are the degrees of freedom for the F test?</t>
  </si>
  <si>
    <t xml:space="preserve">A3.  df1 = 14 for the numerator and df2 = 19 for the denominator, taking A as the numerator. If you swap the shifts you must swap the degrees of freedom as well.</t>
  </si>
  <si>
    <t xml:space="preserve">Printed tables</t>
  </si>
  <si>
    <t xml:space="preserve">E-10  Binomial Distribution (Defective Units)</t>
  </si>
  <si>
    <t xml:space="preserve">U-01  Z, t, Chi-Square and F Tables</t>
  </si>
  <si>
    <t xml:space="preserve">E-10 — Binomial Distribution (Defective Units)</t>
  </si>
  <si>
    <t xml:space="preserve">Phase: MEASURE   |   Data required: n, p, x   |   Min. sample: n/a   |   Complexity: 2/5   |   Typical output: Binomial probabilities and cumulative curve</t>
  </si>
  <si>
    <t xml:space="preserve">What is the chance of finding exactly x defective bottles in a sample of n?</t>
  </si>
  <si>
    <t xml:space="preserve">When the outcome per unit is pass or fail and you sample a fixed number of units.</t>
  </si>
  <si>
    <t xml:space="preserve">Exact probabilities, the mean and variance of the count, and a sampling plan check.</t>
  </si>
  <si>
    <t xml:space="preserve">The binomial distribution counts successes in a fixed number of independent trials, each with the same probability. On the line that means defective bottles in a sample of n, leaking kegs in a batch, or pallets failing a wrap test out of a shift's production.</t>
  </si>
  <si>
    <t xml:space="preserve">Four conditions define it: a fixed number of trials, two possible outcomes per trial, a constant probability, and independence between trials. The third and fourth are the ones that fail in practice - a filler that starts drifting makes p change during the sample, and consecutive bottles from the same valve are not independent.</t>
  </si>
  <si>
    <t xml:space="preserve">The distinction from Poisson matters. Binomial counts defective UNITS out of a known total, and the count can never exceed n. Poisson on E-11 counts DEFECTS, where one unit can carry several and there is no natural maximum.</t>
  </si>
  <si>
    <t xml:space="preserve">A bottle either passes or fails the inspector: binomial. A pallet can have three, five or eleven label defects: Poisson.</t>
  </si>
  <si>
    <t xml:space="preserve">The binomial also underlies the p and np charts on E-52 and the acceptance sampling logic in any incoming plan.</t>
  </si>
  <si>
    <t xml:space="preserve">✓  Sample of fixed size, each unit passing or failing.</t>
  </si>
  <si>
    <t xml:space="preserve">✗  Do not use when the count has no upper bound: that is Poisson on E-11.</t>
  </si>
  <si>
    <t xml:space="preserve">✓  Assessing the risk that a sampling plan misses a bad lot.</t>
  </si>
  <si>
    <t xml:space="preserve">✗  Not valid when p changes during the sample, for example while the filler is drifting.</t>
  </si>
  <si>
    <t xml:space="preserve">✓  Computing the exact probability behind a p or np chart limit.</t>
  </si>
  <si>
    <t xml:space="preserve">✗  Not valid when units are drawn without replacement from a small lot: that is hypergeometric.</t>
  </si>
  <si>
    <t xml:space="preserve">✓  Small samples where the normal approximation would be unsafe.</t>
  </si>
  <si>
    <t xml:space="preserve">Fixed number of trials n</t>
  </si>
  <si>
    <t xml:space="preserve">Confirm the sample size was set before sampling started</t>
  </si>
  <si>
    <t xml:space="preserve">If sampling continued until a defect appeared, the model is different</t>
  </si>
  <si>
    <t xml:space="preserve">Constant probability p across the sample</t>
  </si>
  <si>
    <t xml:space="preserve">Plot the defect rate over time on a p chart</t>
  </si>
  <si>
    <t xml:space="preserve">Stratify by period; a drifting p invalidates the calculation</t>
  </si>
  <si>
    <t xml:space="preserve">Independent trials</t>
  </si>
  <si>
    <t xml:space="preserve">Check that units do not share a common short-term cause</t>
  </si>
  <si>
    <t xml:space="preserve">Use rational subgrouping, or model the overdispersion on E-54</t>
  </si>
  <si>
    <t xml:space="preserve">E-54  Laney p' and u' Charts (Overdispersion)</t>
  </si>
  <si>
    <t xml:space="preserve">Probability of exactly x successes in n trials:</t>
  </si>
  <si>
    <t xml:space="preserve">   P(X = x) = C(n, x) * p^x * (1 - p)^(n - x)</t>
  </si>
  <si>
    <t xml:space="preserve">   where C(n, x) = n! / (x! * (n - x)!)</t>
  </si>
  <si>
    <t xml:space="preserve">Moments:</t>
  </si>
  <si>
    <t xml:space="preserve">   mean     = n * p</t>
  </si>
  <si>
    <t xml:space="preserve">   variance = n * p * (1 - p)</t>
  </si>
  <si>
    <t xml:space="preserve">   std dev  = SQRT(n * p * (1 - p))</t>
  </si>
  <si>
    <t xml:space="preserve">Normal approximation is acceptable when:</t>
  </si>
  <si>
    <t xml:space="preserve">   n*p &gt;= 5   AND   n*(1 - p) &gt;= 5</t>
  </si>
  <si>
    <t xml:space="preserve">BINOMDIST</t>
  </si>
  <si>
    <t xml:space="preserve">BINOMDIST(x, n, p, cumulative)</t>
  </si>
  <si>
    <t xml:space="preserve">FALSE gives P(X = x); TRUE gives P(X &lt;= x)</t>
  </si>
  <si>
    <t xml:space="preserve">COMBIN</t>
  </si>
  <si>
    <t xml:space="preserve">COMBIN(n, x)</t>
  </si>
  <si>
    <t xml:space="preserve">The binomial coefficient C(n, x), shown for the derivation</t>
  </si>
  <si>
    <t xml:space="preserve">1 - BINOMDIST</t>
  </si>
  <si>
    <t xml:space="preserve">1 - BINOMDIST(x, n, p, TRUE)</t>
  </si>
  <si>
    <t xml:space="preserve">P(X &gt; x), the upper tail</t>
  </si>
  <si>
    <t xml:space="preserve">SQRT(n*p*(1-p))</t>
  </si>
  <si>
    <t xml:space="preserve">Standard deviation of the count</t>
  </si>
  <si>
    <t xml:space="preserve">AND</t>
  </si>
  <si>
    <t xml:space="preserve">AND(test1, test2)</t>
  </si>
  <si>
    <t xml:space="preserve">Checks both normal approximation conditions at once</t>
  </si>
  <si>
    <t xml:space="preserve">A sample of 200 bottles is taken from a lot whose true defective rate is 1.5 per cent. What is the chance of finding exactly 5 defectives, at most 5, and more than 5?</t>
  </si>
  <si>
    <t xml:space="preserve">Probability defective  p</t>
  </si>
  <si>
    <t xml:space="preserve">Number of defectives  x</t>
  </si>
  <si>
    <t xml:space="preserve">Acceptance number for the sampling plan</t>
  </si>
  <si>
    <t xml:space="preserve">P(X = x)  exactly x</t>
  </si>
  <si>
    <t xml:space="preserve">P(X &lt;= x)  at most x</t>
  </si>
  <si>
    <t xml:space="preserve">P(X &gt; x)  more than x</t>
  </si>
  <si>
    <t xml:space="preserve">Mean number of defectives  n*p</t>
  </si>
  <si>
    <t xml:space="preserve">Variance  n*p*(1-p)</t>
  </si>
  <si>
    <t xml:space="preserve">Probability the lot is accepted</t>
  </si>
  <si>
    <t xml:space="preserve">Consumer risk: bad lot accepted</t>
  </si>
  <si>
    <t xml:space="preserve">Normal approximation acceptable?</t>
  </si>
  <si>
    <t xml:space="preserve">PROBABILITY DISTRIBUTION</t>
  </si>
  <si>
    <t xml:space="preserve">x</t>
  </si>
  <si>
    <t xml:space="preserve">P(X = x)</t>
  </si>
  <si>
    <t xml:space="preserve">P(X &lt;= x)</t>
  </si>
  <si>
    <t xml:space="preserve">Consumer risk (beta)</t>
  </si>
  <si>
    <t xml:space="preserve">Below 10%</t>
  </si>
  <si>
    <t xml:space="preserve">Standard target for a lot at the rejectable quality level</t>
  </si>
  <si>
    <t xml:space="preserve">Normal approximation</t>
  </si>
  <si>
    <t xml:space="preserve">n*p &gt;= 5 and n*(1-p) &gt;= 5</t>
  </si>
  <si>
    <t xml:space="preserve">Below this, use exact binomial probabilities</t>
  </si>
  <si>
    <t xml:space="preserve">n*p</t>
  </si>
  <si>
    <t xml:space="preserve">If n*p is under 1, most samples will contain no defectives at all</t>
  </si>
  <si>
    <t xml:space="preserve">Variance versus mean</t>
  </si>
  <si>
    <t xml:space="preserve">Variance is always smaller than the mean</t>
  </si>
  <si>
    <t xml:space="preserve">If the observed variance exceeds the mean, the binomial model is wrong: see overdispersion on E-54</t>
  </si>
  <si>
    <t xml:space="preserve">•  Using the binomial when one unit can carry several defects. That is Poisson.</t>
  </si>
  <si>
    <t xml:space="preserve">•  Assuming a sample of 200 with p = 0.015 will 'usually' catch a problem. The mean count is only 3, so a clean sample is entirely ordinary and proves nothing.</t>
  </si>
  <si>
    <t xml:space="preserve">•  Applying the normal approximation when n*p is below 5. The error in the tail is large exactly where the decision is made.</t>
  </si>
  <si>
    <t xml:space="preserve">•  Sampling 200 consecutive bottles from one valve and treating them as 200 independent trials.</t>
  </si>
  <si>
    <t xml:space="preserve">•  Forgetting that a sampling plan has two risks: the producer risk of rejecting a good lot, and the consumer risk of accepting a bad one.</t>
  </si>
  <si>
    <t xml:space="preserve">Q1.  A lot is 1.5% defective and you sample 200 bottles. On average how many defectives will you find, and what is the chance of finding none?</t>
  </si>
  <si>
    <t xml:space="preserve">A1.  The mean is n*p = 3 defectives. The probability of none is 0.985 raised to the power 200, which is about 4.8%. So finding a clean sample happens roughly one time in twenty even at this defect rate.</t>
  </si>
  <si>
    <t xml:space="preserve">Q2.  What is the practical difference between the binomial and the Poisson model on a packaging line?</t>
  </si>
  <si>
    <t xml:space="preserve">A2.  Binomial counts defective units out of a known sample size, so the count is bounded by n. Poisson counts defects, where a single unit can carry several and there is no natural upper bound. Bottles rejected by the inspector are binomial; label defects per pallet are Poisson.</t>
  </si>
  <si>
    <t xml:space="preserve">Q3.  Your observed variance in defective counts is much larger than n*p*(1-p). What does that indicate?</t>
  </si>
  <si>
    <t xml:space="preserve">A3.  Overdispersion: the assumption of a constant p across the sample is failing, usually because the defect rate drifts between subgroups or the units are not independent. A standard p chart will then flag constantly; use the Laney p prime chart on E-54.</t>
  </si>
  <si>
    <t xml:space="preserve">E-11 — Poisson Distribution (Defects per Unit)</t>
  </si>
  <si>
    <t xml:space="preserve">Phase: MEASURE   |   Data required: Mean rate, exposure   |   Min. sample: n/a   |   Complexity: 2/5   |   Typical output: Poisson probabilities and rate comparison</t>
  </si>
  <si>
    <t xml:space="preserve">What is the chance of x micro-stops in a shift, and did the stop rate really change?</t>
  </si>
  <si>
    <t xml:space="preserve">When counting events over a period or an area, with no natural upper bound.</t>
  </si>
  <si>
    <t xml:space="preserve">Poisson probabilities, plus a formal two-rate comparison between shifts.</t>
  </si>
  <si>
    <t xml:space="preserve">The Poisson distribution counts events in a fixed exposure: stops per shift, label defects per pallet, leaks per hundred kegs, near misses per month. Unlike the binomial there is no fixed number of trials and no natural maximum; a pallet can carry any number of label defects.</t>
  </si>
  <si>
    <t xml:space="preserve">It has one parameter only, lambda, which is both the mean and the variance. That single fact is the most useful diagnostic in the whole sheet: if your observed variance is much larger than your observed mean, the events are not occurring independently at a constant rate. Something is clustering them.</t>
  </si>
  <si>
    <t xml:space="preserve">On a packaging line that clustering is almost always real and worth finding: a bearing beginning to fail produces stops in bursts, not at a constant rate, and the excess variance is the first statistical signal.</t>
  </si>
  <si>
    <t xml:space="preserve">Exposure must be constant or explicitly accounted for. Comparing 96 stops in 8 shifts with 72 stops in 6 shifts requires rates, not counts, which is exactly what the comparison block below does.</t>
  </si>
  <si>
    <t xml:space="preserve">✓  Counting events per shift, per pallet, per thousand bottles or per month.</t>
  </si>
  <si>
    <t xml:space="preserve">✗  Do not use when the count is bounded by a known sample size: that is binomial on E-10.</t>
  </si>
  <si>
    <t xml:space="preserve">✓  Setting the centre line of a c or u chart on E-53.</t>
  </si>
  <si>
    <t xml:space="preserve">✗  Not valid when events cluster, which shows up as variance far above the mean.</t>
  </si>
  <si>
    <t xml:space="preserve">✓  Comparing the stop rate of two shifts or two machines over different exposures.</t>
  </si>
  <si>
    <t xml:space="preserve">✗  Not appropriate when the exposure varies and has not been normalised into a rate.</t>
  </si>
  <si>
    <t xml:space="preserve">✓  Estimating how often a rare event should occur if nothing has changed.</t>
  </si>
  <si>
    <t xml:space="preserve">Events occur independently</t>
  </si>
  <si>
    <t xml:space="preserve">Compare the observed variance with the observed mean</t>
  </si>
  <si>
    <t xml:space="preserve">If variance is much larger, investigate the clustering; use E-54 for the chart</t>
  </si>
  <si>
    <t xml:space="preserve">Constant rate over the exposure</t>
  </si>
  <si>
    <t xml:space="preserve">Plot the count over time on a c or u chart</t>
  </si>
  <si>
    <t xml:space="preserve">Split the period; a rate that changes mid-shift breaks the model</t>
  </si>
  <si>
    <t xml:space="preserve">Exposure is correctly defined and measured</t>
  </si>
  <si>
    <t xml:space="preserve">Confirm what one unit of exposure is: a shift, a pallet, a thousand bottles</t>
  </si>
  <si>
    <t xml:space="preserve">Normalise counts into rates before any comparison</t>
  </si>
  <si>
    <t xml:space="preserve">Probability of exactly x events when the mean is lambda:</t>
  </si>
  <si>
    <t xml:space="preserve">   P(X = x) = EXP(-lambda) * lambda^x / x!</t>
  </si>
  <si>
    <t xml:space="preserve">Moments - the defining property:</t>
  </si>
  <si>
    <t xml:space="preserve">   mean = variance = lambda</t>
  </si>
  <si>
    <t xml:space="preserve">Comparing two rates with counts c1, c2 over exposures t1, t2:</t>
  </si>
  <si>
    <t xml:space="preserve">   r1 = c1 / t1        r2 = c2 / t2</t>
  </si>
  <si>
    <t xml:space="preserve">   Z  = (r1 - r2) / SQRT( c1/t1^2 + c2/t2^2 )</t>
  </si>
  <si>
    <t xml:space="preserve">   p  = 2 * (1 - NORMSDIST(ABS(Z)))</t>
  </si>
  <si>
    <t xml:space="preserve">Dispersion check:</t>
  </si>
  <si>
    <t xml:space="preserve">   observed variance / observed mean should be close to 1</t>
  </si>
  <si>
    <t xml:space="preserve">POISSON</t>
  </si>
  <si>
    <t xml:space="preserve">POISSON(x, mean, cumulative)</t>
  </si>
  <si>
    <t xml:space="preserve">1 - POISSON</t>
  </si>
  <si>
    <t xml:space="preserve">1 - POISSON(x-1, mean, TRUE)</t>
  </si>
  <si>
    <t xml:space="preserve">P(X &gt;= x), the upper tail including x</t>
  </si>
  <si>
    <t xml:space="preserve">EXP</t>
  </si>
  <si>
    <t xml:space="preserve">EXP(number)</t>
  </si>
  <si>
    <t xml:space="preserve">Used in the derivation of the probability mass function</t>
  </si>
  <si>
    <t xml:space="preserve">Converts the two-rate Z statistic into a p-value</t>
  </si>
  <si>
    <t xml:space="preserve">Standard error of the difference between two rates</t>
  </si>
  <si>
    <t xml:space="preserve">The Innopal palletiser averages 12 micro-stops per shift. Last night shift C recorded 18. Is that unusual? And over the last eight shifts, does shift A genuinely stop more often than shift B?</t>
  </si>
  <si>
    <t xml:space="preserve">Mean events per exposure  lambda</t>
  </si>
  <si>
    <t xml:space="preserve">Observed count  x</t>
  </si>
  <si>
    <t xml:space="preserve">P(X &gt;= x)  x or more</t>
  </si>
  <si>
    <t xml:space="preserve">Standard deviation  SQRT(lambda)</t>
  </si>
  <si>
    <t xml:space="preserve">Upper 3 sigma limit for a c chart</t>
  </si>
  <si>
    <t xml:space="preserve">Lower 3 sigma limit for a c chart</t>
  </si>
  <si>
    <t xml:space="preserve">COMPARING TWO SHIFTS</t>
  </si>
  <si>
    <t xml:space="preserve">Shift A - total stops</t>
  </si>
  <si>
    <t xml:space="preserve">Shift A - number of shifts</t>
  </si>
  <si>
    <t xml:space="preserve">Shift B - total stops</t>
  </si>
  <si>
    <t xml:space="preserve">Shift B - number of shifts</t>
  </si>
  <si>
    <t xml:space="preserve">Shift A rate (stops per shift)</t>
  </si>
  <si>
    <t xml:space="preserve">Shift B rate (stops per shift)</t>
  </si>
  <si>
    <t xml:space="preserve">Rate ratio  A / B</t>
  </si>
  <si>
    <t xml:space="preserve">Z statistic</t>
  </si>
  <si>
    <t xml:space="preserve">p-value (two-sided)</t>
  </si>
  <si>
    <t xml:space="preserve">Two-rate p-value</t>
  </si>
  <si>
    <t xml:space="preserve">p &lt; 0.05</t>
  </si>
  <si>
    <t xml:space="preserve">The two rates differ by more than chance</t>
  </si>
  <si>
    <t xml:space="preserve">P(X &gt;= observed)</t>
  </si>
  <si>
    <t xml:space="preserve">Below 0.01</t>
  </si>
  <si>
    <t xml:space="preserve">The single high count is genuinely unusual, not routine variation</t>
  </si>
  <si>
    <t xml:space="preserve">Variance divided by mean</t>
  </si>
  <si>
    <t xml:space="preserve">Close to 1</t>
  </si>
  <si>
    <t xml:space="preserve">Poisson holds; far above 1 means clustering</t>
  </si>
  <si>
    <t xml:space="preserve">c chart limits</t>
  </si>
  <si>
    <t xml:space="preserve">lambda +/- 3*SQRT(lambda)</t>
  </si>
  <si>
    <t xml:space="preserve">The control limits E-53 will use for this count</t>
  </si>
  <si>
    <t xml:space="preserve">•  Comparing raw counts from unequal exposures. Ninety-six stops in eight shifts is not worse than seventy in five; convert to rates first.</t>
  </si>
  <si>
    <t xml:space="preserve">•  Concluding a shift is worse from one bad night. With lambda = 12 the standard deviation is 3.5, so 18 stops is only 1.7 sigma above the mean.</t>
  </si>
  <si>
    <t xml:space="preserve">•  Using Poisson when the variance far exceeds the mean. That overdispersion is itself the finding: something is clustering the events, and the right chart is the Laney u prime on E-54.</t>
  </si>
  <si>
    <t xml:space="preserve">•  Blaming the shift team when the real factor is SKU, speed or the product being run that night. Stratify on H-09 before drawing a conclusion about people.</t>
  </si>
  <si>
    <t xml:space="preserve">Q1.  The palletiser averages 12 stops per shift and last night it recorded 18. Should you launch an investigation?</t>
  </si>
  <si>
    <t xml:space="preserve">A1.  Not on that evidence alone. The standard deviation is the square root of 12, about 3.46, so 18 is 1.7 standard deviations above the mean and the probability of 18 or more is roughly 6%. That is ordinary variation. Look at the trend across several shifts on a c chart instead.</t>
  </si>
  <si>
    <t xml:space="preserve">Q2.  Your micro-stop counts have a mean of 12 and a variance of 47. What does that tell you?</t>
  </si>
  <si>
    <t xml:space="preserve">A2.  The variance is roughly four times the mean, so the Poisson assumption of independent events at a constant rate has failed. The stops are clustering, which usually points to a degrading component or a specific SKU. That excess dispersion is a finding, not a nuisance.</t>
  </si>
  <si>
    <t xml:space="preserve">Q3.  Why can you not compare 96 stops on shift A with 60 stops on shift B directly?</t>
  </si>
  <si>
    <t xml:space="preserve">A3.  Only if the exposure is identical. Counts must be converted to rates per unit of exposure, and the comparison must account for the different precision of each rate, which is what the Z statistic on this sheet does.</t>
  </si>
  <si>
    <t xml:space="preserve">E-12  Weibull, Exponential and Lognormal</t>
  </si>
  <si>
    <t xml:space="preserve">E-12 — Weibull, Exponential and Lognormal</t>
  </si>
  <si>
    <t xml:space="preserve">Phase: MEASURE   |   Data required: Times to event   |   Min. sample: 15   |   Complexity: 4/5   |   Typical output: Fitted shape and scale, reliability estimate</t>
  </si>
  <si>
    <t xml:space="preserve">How do I model time to failure, or any strongly skewed positive quantity?</t>
  </si>
  <si>
    <t xml:space="preserve">Reliability work, maintenance planning, and any data bounded below by zero.</t>
  </si>
  <si>
    <t xml:space="preserve">Reliability at a given time, MTTF, B10 life, and fitted Weibull parameters.</t>
  </si>
  <si>
    <t xml:space="preserve">Three distributions cover almost all positive, right-skewed data on a packaging line.</t>
  </si>
  <si>
    <t xml:space="preserve">The exponential distribution describes events with a constant failure rate: no wear-out, no infant mortality.</t>
  </si>
  <si>
    <t xml:space="preserve">Its defining property is memorylessness - a component that has run 500 hours is as likely to fail in the next hour as a brand new one. That is true of electronic failures and of many random external causes, and false of almost every mechanical wear item.</t>
  </si>
  <si>
    <t xml:space="preserve">The Weibull distribution generalises it with a shape parameter beta. Beta below 1 means infant mortality, failures concentrated early, typically bad installation or commissioning. Beta equal to 1 is the exponential.</t>
  </si>
  <si>
    <t xml:space="preserve">Beta above 1 means wear-out, which is what a seal, a bearing or a filling valve actually does. Reading beta off your failure data therefore tells you whether preventive replacement will help at all: with beta at or below 1 it will not, because a new part is no better than the old one.</t>
  </si>
  <si>
    <t xml:space="preserve">The lognormal distribution applies when the logarithm of the quantity is normal. It fits repair times well, because most repairs are quick and a few are very long.</t>
  </si>
  <si>
    <t xml:space="preserve">✓  Deciding whether preventive replacement of a component makes sense.</t>
  </si>
  <si>
    <t xml:space="preserve">✗  Not for data that can be negative or that is symmetric.</t>
  </si>
  <si>
    <t xml:space="preserve">✓  Estimating B10 life for a spare parts and maintenance interval decision.</t>
  </si>
  <si>
    <t xml:space="preserve">✗  Do not fit a Weibull to fewer than about 10 failures: the shape estimate will be worthless.</t>
  </si>
  <si>
    <t xml:space="preserve">✓  Modelling repair times, which are almost always lognormal.</t>
  </si>
  <si>
    <t xml:space="preserve">✗  Do not mix failure modes: a Weibull fitted across two mechanisms describes neither.</t>
  </si>
  <si>
    <t xml:space="preserve">✓  Any strongly skewed positive data where the normal model fails.</t>
  </si>
  <si>
    <t xml:space="preserve">Failures come from a single failure mode</t>
  </si>
  <si>
    <t xml:space="preserve">Look for a bend in the probability plot, and check the correlation</t>
  </si>
  <si>
    <t xml:space="preserve">Split the data by mode and fit each separately</t>
  </si>
  <si>
    <t xml:space="preserve">Times are complete, not censored</t>
  </si>
  <si>
    <t xml:space="preserve">Check whether components still running have been excluded</t>
  </si>
  <si>
    <t xml:space="preserve">Excluding survivors biases the estimate optimistically; use censored methods</t>
  </si>
  <si>
    <t xml:space="preserve">Enough failures to estimate the shape</t>
  </si>
  <si>
    <t xml:space="preserve">At least 10, ideally 20 or more</t>
  </si>
  <si>
    <t xml:space="preserve">Report the exponential as a conservative fallback</t>
  </si>
  <si>
    <t xml:space="preserve">Weibull, two parameter (beta = shape, eta = scale or characteristic life):</t>
  </si>
  <si>
    <t xml:space="preserve">F(t) = 1 - EXP( -(t/eta)^beta )        R(t) = EXP( -(t/eta)^beta ) MTTF = eta * GAMMA(1 + 1/beta)</t>
  </si>
  <si>
    <t xml:space="preserve">   B10  = eta * ( -LN(0.9) )^(1/beta)</t>
  </si>
  <si>
    <t xml:space="preserve">Exponential (the special case beta = 1):</t>
  </si>
  <si>
    <t xml:space="preserve">   R(t) = EXP( -t / MTBF )      failure rate is constant at 1/MTBF</t>
  </si>
  <si>
    <t xml:space="preserve">Lognormal:</t>
  </si>
  <si>
    <t xml:space="preserve">   X is lognormal if LN(X) is normal with mean mu and standard deviation sigma</t>
  </si>
  <si>
    <t xml:space="preserve">Median rank regression, the graphical fit used below:</t>
  </si>
  <si>
    <t xml:space="preserve">median rank MR(i) = (i - 0.3) / (n + 0.4)   for the i-th ordered failure plot  y = LN(-LN(1 - MR))  against  x = LN(t)</t>
  </si>
  <si>
    <t xml:space="preserve">   beta = slope of that line       eta = EXP( -intercept / beta )</t>
  </si>
  <si>
    <t xml:space="preserve">WEIBULL</t>
  </si>
  <si>
    <t xml:space="preserve">WEIBULL(x, alpha, beta, cumulative)</t>
  </si>
  <si>
    <t xml:space="preserve">Excel calls the shape alpha and the scale beta; TRUE returns F(t)</t>
  </si>
  <si>
    <t xml:space="preserve">EXPONDIST</t>
  </si>
  <si>
    <t xml:space="preserve">EXPONDIST(x, lambda, cumulative)</t>
  </si>
  <si>
    <t xml:space="preserve">lambda is the rate, equal to 1 divided by the MTBF</t>
  </si>
  <si>
    <t xml:space="preserve">LOGNORMDIST</t>
  </si>
  <si>
    <t xml:space="preserve">LOGNORMDIST(x, mean, standard_dev)</t>
  </si>
  <si>
    <t xml:space="preserve">mean and standard_dev are those of LN(x)</t>
  </si>
  <si>
    <t xml:space="preserve">GAMMALN</t>
  </si>
  <si>
    <t xml:space="preserve">EXP(GAMMALN(1+1/beta))</t>
  </si>
  <si>
    <t xml:space="preserve">Computes the gamma function needed for the Weibull MTTF</t>
  </si>
  <si>
    <t xml:space="preserve">RANK</t>
  </si>
  <si>
    <t xml:space="preserve">RANK(value, range, 1)</t>
  </si>
  <si>
    <t xml:space="preserve">Orders the failure times so the data need not be sorted</t>
  </si>
  <si>
    <t xml:space="preserve">SLOPE / INTERCEPT</t>
  </si>
  <si>
    <t xml:space="preserve">SLOPE(known_y, known_x)</t>
  </si>
  <si>
    <t xml:space="preserve">Fits the median rank regression line</t>
  </si>
  <si>
    <t xml:space="preserve">CORREL</t>
  </si>
  <si>
    <t xml:space="preserve">CORREL(range1, range2)</t>
  </si>
  <si>
    <t xml:space="preserve">Goodness of fit of the probability plot</t>
  </si>
  <si>
    <t xml:space="preserve">Fifteen recorded failure times, in operating hours, of the filling valve seals on the Innofil.</t>
  </si>
  <si>
    <t xml:space="preserve">Enter the times in any order; the sheet ranks them, fits a Weibull and tells you whether preventive replacement is justified.</t>
  </si>
  <si>
    <t xml:space="preserve">Weibull shape  beta (for the calculator)</t>
  </si>
  <si>
    <t xml:space="preserve">Weibull scale  eta (hours)</t>
  </si>
  <si>
    <t xml:space="preserve">Time of interest  t (hours)</t>
  </si>
  <si>
    <t xml:space="preserve">Exponential MTBF (hours)</t>
  </si>
  <si>
    <t xml:space="preserve">Lognormal: mean of LN(x)</t>
  </si>
  <si>
    <t xml:space="preserve">Lognormal: StDev of LN(x)</t>
  </si>
  <si>
    <t xml:space="preserve">Weibull  F(t)  probability of failure by t</t>
  </si>
  <si>
    <t xml:space="preserve">Weibull  R(t)  reliability at t</t>
  </si>
  <si>
    <t xml:space="preserve">Weibull MTTF (hours)</t>
  </si>
  <si>
    <t xml:space="preserve">Weibull B10 life (hours)</t>
  </si>
  <si>
    <t xml:space="preserve">Exponential  R(t)</t>
  </si>
  <si>
    <t xml:space="preserve">Lognormal  F(t)</t>
  </si>
  <si>
    <t xml:space="preserve">MEDIAN RANK REGRESSION - FIT WEIBULL TO YOUR OWN FAILURE TIMES</t>
  </si>
  <si>
    <t xml:space="preserve">Failure time t (h)</t>
  </si>
  <si>
    <t xml:space="preserve">Median rank</t>
  </si>
  <si>
    <t xml:space="preserve">x = LN(t)</t>
  </si>
  <si>
    <t xml:space="preserve">y = LN(-LN(1-MR))</t>
  </si>
  <si>
    <t xml:space="preserve">Fitted shape  beta</t>
  </si>
  <si>
    <t xml:space="preserve">Fitted scale  eta (hours)</t>
  </si>
  <si>
    <t xml:space="preserve">Correlation of the probability plot</t>
  </si>
  <si>
    <t xml:space="preserve">Fitted MTTF (hours)</t>
  </si>
  <si>
    <t xml:space="preserve">Fitted B10 life (hours)</t>
  </si>
  <si>
    <t xml:space="preserve">Beta below 1</t>
  </si>
  <si>
    <t xml:space="preserve">Infant mortality</t>
  </si>
  <si>
    <t xml:space="preserve">Replacing early parts makes reliability worse, not better</t>
  </si>
  <si>
    <t xml:space="preserve">Beta about 1</t>
  </si>
  <si>
    <t xml:space="preserve">Random, constant rate</t>
  </si>
  <si>
    <t xml:space="preserve">Time-based replacement adds cost and no reliability</t>
  </si>
  <si>
    <t xml:space="preserve">Beta above 1</t>
  </si>
  <si>
    <t xml:space="preserve">Wear-out</t>
  </si>
  <si>
    <t xml:space="preserve">Time-based preventive replacement is justified; use B10 as the interval</t>
  </si>
  <si>
    <t xml:space="preserve">Plot correlation</t>
  </si>
  <si>
    <t xml:space="preserve">r &gt;= 0.95</t>
  </si>
  <si>
    <t xml:space="preserve">Below this, the single-Weibull model is doubtful</t>
  </si>
  <si>
    <t xml:space="preserve">•  Fitting a Weibull to fewer than ten failures and quoting beta to three decimals.</t>
  </si>
  <si>
    <t xml:space="preserve">•  Mixing failure modes. Seal wear and installation damage produce a bent plot and a meaningless beta.</t>
  </si>
  <si>
    <t xml:space="preserve">•  Excluding components that have not yet failed. Those are censored observations and ignoring them makes the fleet look worse than it is.</t>
  </si>
  <si>
    <t xml:space="preserve">•  Setting a preventive replacement interval when beta is 1. You are paying for parts and downtime and buying nothing.</t>
  </si>
  <si>
    <t xml:space="preserve">•  Confusing MTTF with the median life. For a right-skewed distribution the mean sits well above the median.</t>
  </si>
  <si>
    <t xml:space="preserve">Q1.  Your failure data returns a Weibull beta of 0.8. Should you introduce a preventive replacement plan?</t>
  </si>
  <si>
    <t xml:space="preserve">A1.  No. Beta below 1 means the failure rate falls with age, so a new component is more likely to fail than the one running now. Replacing on a schedule would inject fresh infant mortality. Investigate installation, commissioning and the quality of the spare instead.</t>
  </si>
  <si>
    <t xml:space="preserve">Q2.  What does memorylessness mean, and why does it disqualify time-based maintenance?</t>
  </si>
  <si>
    <t xml:space="preserve">A2.  For the exponential distribution the probability of failing in the next hour is the same regardless of how long the item has already run. Replacement therefore resets nothing: the new part carries exactly the same hazard as the old one, so a time-based interval buys no reliability.</t>
  </si>
  <si>
    <t xml:space="preserve">Q3.  Why is the lognormal distribution the natural model for repair times?</t>
  </si>
  <si>
    <t xml:space="preserve">A3.  Repair time is the product of many multiplicative factors: diagnosis, spare availability, access, skill. Products of positive random effects tend to lognormal, which produces the familiar shape of many quick repairs and a long tail of rare very slow ones.</t>
  </si>
  <si>
    <t xml:space="preserve">E-13 — Identifying the Distribution of Your Data</t>
  </si>
  <si>
    <t xml:space="preserve">Phase: MEASURE   |   Data required: Continuous measurements   |   Min. sample: 25   |   Complexity: 4/5   |   Typical output: Ranked candidate distributions</t>
  </si>
  <si>
    <t xml:space="preserve">Before a capability study on data that is clearly not symmetric.</t>
  </si>
  <si>
    <t xml:space="preserve">A ranked comparison of the normal, lognormal and Weibull fits.</t>
  </si>
  <si>
    <t xml:space="preserve">Identifying the distribution matters for one reason above all others: capability indices convert a distance into a defect rate through the shape of the tail. Choose the wrong shape and the PPM estimate is wrong, often by an order of magnitude, even though the mean and standard deviation are perfectly correct.</t>
  </si>
  <si>
    <t xml:space="preserve">The method used here is the probability plot correlation coefficient, and it is the most intuitive of the formal approaches. Each candidate distribution defines a transformation that should straighten the data if that distribution is correct. Compute the correlation of the resulting plot and the highest one wins.</t>
  </si>
  <si>
    <t xml:space="preserve">It is deliberately a comparison, not a pass or fail test. With 30 observations no test can reliably reject a distribution, so the practical question is not whether the data IS lognormal but which model describes it best and whether the choice changes the decision you are about to make.</t>
  </si>
  <si>
    <t xml:space="preserve">Before reaching for a distribution, always ask whether the shape is caused by mixing two process streams.</t>
  </si>
  <si>
    <t xml:space="preserve">Two symmetric shifts running at different means look convincingly skewed when pooled.</t>
  </si>
  <si>
    <t xml:space="preserve">✓  Before a non-normal capability study on E-58.</t>
  </si>
  <si>
    <t xml:space="preserve">✗  Do not use it to justify a distribution when the real cause is a mixture of streams.</t>
  </si>
  <si>
    <t xml:space="preserve">✓  When a histogram is clearly skewed and you need to choose a model.</t>
  </si>
  <si>
    <t xml:space="preserve">✗  Not reliable below about 25 observations.</t>
  </si>
  <si>
    <t xml:space="preserve">✓  When a normality test on E-32 has failed and you want the next best option.</t>
  </si>
  <si>
    <t xml:space="preserve">✗  It compares only three candidates; specialised software will test many more.</t>
  </si>
  <si>
    <t xml:space="preserve">✓  For reliability and downtime data, which is almost never normal.</t>
  </si>
  <si>
    <t xml:space="preserve">The data comes from one stream</t>
  </si>
  <si>
    <t xml:space="preserve">Stratify by shift, cavity, SKU and machine before fitting</t>
  </si>
  <si>
    <t xml:space="preserve">Split the data; describe each stream with its own model</t>
  </si>
  <si>
    <t xml:space="preserve">All values are strictly positive</t>
  </si>
  <si>
    <t xml:space="preserve">Check the minimum; lognormal and Weibull need x &gt; 0</t>
  </si>
  <si>
    <t xml:space="preserve">Shift the data by a constant, and document the shift</t>
  </si>
  <si>
    <t xml:space="preserve">Control chart the data first</t>
  </si>
  <si>
    <t xml:space="preserve">An unstable process has no single distribution to identify</t>
  </si>
  <si>
    <t xml:space="preserve">Median rank of the i-th ordered value:</t>
  </si>
  <si>
    <t xml:space="preserve">   MR(i) = (i - 0.3) / (n + 0.4)</t>
  </si>
  <si>
    <t xml:space="preserve">Each candidate distribution defines a plotting transformation:</t>
  </si>
  <si>
    <t xml:space="preserve">Normal     x-axis = x            y-axis = NORMSINV(MR) Lognormal  x-axis = LN(x)        y-axis = NORMSINV(MR) Weibull    x-axis = LN(x)        y-axis = LN(-LN(1 - MR))</t>
  </si>
  <si>
    <t xml:space="preserve">Decision rule:</t>
  </si>
  <si>
    <t xml:space="preserve">compute the correlation of each plot; the highest correlation is the best fitting model a correlation below about 0.95 means none of the three is adequate</t>
  </si>
  <si>
    <t xml:space="preserve">Ascending rank, so the data need not be sorted</t>
  </si>
  <si>
    <t xml:space="preserve">Normal score for the normal and lognormal plots</t>
  </si>
  <si>
    <t xml:space="preserve">LN</t>
  </si>
  <si>
    <t xml:space="preserve">LN(number)</t>
  </si>
  <si>
    <t xml:space="preserve">Natural logarithm, used by both the lognormal and Weibull transformations</t>
  </si>
  <si>
    <t xml:space="preserve">Correlation of each probability plot</t>
  </si>
  <si>
    <t xml:space="preserve">MAX</t>
  </si>
  <si>
    <t xml:space="preserve">MAX(range)</t>
  </si>
  <si>
    <t xml:space="preserve">Picks the best of the three correlations</t>
  </si>
  <si>
    <t xml:space="preserve">INDEX / MATCH</t>
  </si>
  <si>
    <t xml:space="preserve">INDEX(names, MATCH(MAX(r), r, 0))</t>
  </si>
  <si>
    <t xml:space="preserve">Returns the name of the winning distribution</t>
  </si>
  <si>
    <t xml:space="preserve">Thirty recorded downtime durations in minutes from the Robopac wrapper. Overwrite the yellow column with your own data; the three fits and the winner update immediately.</t>
  </si>
  <si>
    <t xml:space="preserve">Value x</t>
  </si>
  <si>
    <t xml:space="preserve">Normal score</t>
  </si>
  <si>
    <t xml:space="preserve">LN(x)</t>
  </si>
  <si>
    <t xml:space="preserve">Weibull y</t>
  </si>
  <si>
    <t xml:space="preserve">GOODNESS OF FIT - PROBABILITY PLOT CORRELATION</t>
  </si>
  <si>
    <t xml:space="preserve">Candidate distribution</t>
  </si>
  <si>
    <t xml:space="preserve">Interpretation</t>
  </si>
  <si>
    <t xml:space="preserve">Normal</t>
  </si>
  <si>
    <t xml:space="preserve">Symmetric; the standard capability toolkit applies</t>
  </si>
  <si>
    <t xml:space="preserve">Lognormal</t>
  </si>
  <si>
    <t xml:space="preserve">Right skewed; typical of repair and downtime data</t>
  </si>
  <si>
    <t xml:space="preserve">Weibull</t>
  </si>
  <si>
    <t xml:space="preserve">Right skewed; typical of time to failure data</t>
  </si>
  <si>
    <t xml:space="preserve">Best fitting distribution</t>
  </si>
  <si>
    <t xml:space="preserve">Its plot correlation</t>
  </si>
  <si>
    <t xml:space="preserve">Margin over the second best</t>
  </si>
  <si>
    <t xml:space="preserve">r &gt;= 0.99</t>
  </si>
  <si>
    <t xml:space="preserve">Excellent fit; the model can be trusted in the tail</t>
  </si>
  <si>
    <t xml:space="preserve">0.95 to 0.99</t>
  </si>
  <si>
    <t xml:space="preserve">Adequate for capability work with the model stated</t>
  </si>
  <si>
    <t xml:space="preserve">Below 0.95</t>
  </si>
  <si>
    <t xml:space="preserve">Inadequate; suspect a mixture or a special cause</t>
  </si>
  <si>
    <t xml:space="preserve">Margin over second best</t>
  </si>
  <si>
    <t xml:space="preserve">The two models are indistinguishable at this sample size</t>
  </si>
  <si>
    <t xml:space="preserve">•  Fitting an exotic distribution to data that is simply two shifts mixed together.</t>
  </si>
  <si>
    <t xml:space="preserve">•  Reporting a capability index without stating the distribution used to compute it.</t>
  </si>
  <si>
    <t xml:space="preserve">•  Identifying a distribution from an unstable process. Stability comes first, always.</t>
  </si>
  <si>
    <t xml:space="preserve">•  Choosing the model with the highest correlation when a lower-scoring model has a physical justification, such as Weibull for time to failure.</t>
  </si>
  <si>
    <t xml:space="preserve">•  Forgetting that the transformation must be reversed before the result is discussed with operators. Nobody on the floor thinks in log minutes.</t>
  </si>
  <si>
    <t xml:space="preserve">Q1.  Why does the choice of distribution matter far more for capability than for the mean?</t>
  </si>
  <si>
    <t xml:space="preserve">A1.  Because a capability index converts a distance from the specification into a defect rate through the tail of the assumed distribution. The centre of most distributions behaves similarly, but the tails differ enormously, so the predicted PPM can change by a factor of ten while the mean does not move.</t>
  </si>
  <si>
    <t xml:space="preserve">Q2.  Your data has a probability plot correlation of 0.91 for all three candidates. What is the most likely explanation?</t>
  </si>
  <si>
    <t xml:space="preserve">A2.  That the data is not one distribution at all. The usual cause on a packaging line is a mixture of streams - two shifts, two cavities or two SKUs - or a special cause event embedded in the data. Stratify on H-09 and control chart the series before hunting for a better distribution.</t>
  </si>
  <si>
    <t xml:space="preserve">Q3.  Lognormal scores 0.987 and Weibull 0.984 on your downtime data. Which do you use?</t>
  </si>
  <si>
    <t xml:space="preserve">A3.  The margin is negligible, so statistics will not decide it. Choose on physical grounds: repair and downtime durations are conventionally modelled as lognormal, time to failure as Weibull. Record the choice and the reason, and state it whenever the capability figure is quoted.</t>
  </si>
  <si>
    <t xml:space="preserve">E-14 — Standard Error vs Standard Deviation</t>
  </si>
  <si>
    <t xml:space="preserve">Phase: MEASURE   |   Data required: StDev and n   |   Min. sample: 5   |   Complexity: 2/5   |   Typical output: Standard error and precision statement</t>
  </si>
  <si>
    <t xml:space="preserve">How precise is my estimate of the mean, and how much would more sampling buy me?</t>
  </si>
  <si>
    <t xml:space="preserve">When deciding how many units to measure, or defending a sample size to a manager.</t>
  </si>
  <si>
    <t xml:space="preserve">The standard error, and the diminishing return curve of increasing n.</t>
  </si>
  <si>
    <t xml:space="preserve">Two numbers are constantly confused, and confusing them produces wrong conclusions in both directions.</t>
  </si>
  <si>
    <t xml:space="preserve">The standard deviation describes the spread of individual bottles. It answers: how different is one bottle from another? It is a property of the process and it does not change when you sample more.</t>
  </si>
  <si>
    <t xml:space="preserve">The standard error describes the spread of sample MEANS. It answers: how precisely do I know the average?</t>
  </si>
  <si>
    <t xml:space="preserve">It is a property of your study, and it falls as the square root of the sample size.</t>
  </si>
  <si>
    <t xml:space="preserve">Use the standard deviation when talking about product: specification limits, capability, what the customer receives. Use the standard error when talking about knowledge: confidence intervals, hypothesis tests, whether an observed difference is real.</t>
  </si>
  <si>
    <t xml:space="preserve">The square root law has a hard commercial consequence. Halving the standard error requires quadrupling the sample. Going from 30 to 120 measurements halves your uncertainty; going from 120 to 210 barely helps.</t>
  </si>
  <si>
    <t xml:space="preserve">That is why sample size should be calculated from the effect you need to detect, not chosen by habit.</t>
  </si>
  <si>
    <t xml:space="preserve">✓  Justifying a sample size before collection starts.</t>
  </si>
  <si>
    <t xml:space="preserve">✗  Never use the standard error to describe the product the customer receives.</t>
  </si>
  <si>
    <t xml:space="preserve">✓  Explaining why a confidence interval is narrower than the process spread.</t>
  </si>
  <si>
    <t xml:space="preserve">✗  Never compute capability from the standard error; capability uses the standard deviation.</t>
  </si>
  <si>
    <t xml:space="preserve">✓  Deciding whether more data will actually change the decision.</t>
  </si>
  <si>
    <t xml:space="preserve">✗  Not valid if the observations are not independent.</t>
  </si>
  <si>
    <t xml:space="preserve">✓  Reviewing a study that concluded 'no difference' from a very small sample.</t>
  </si>
  <si>
    <t xml:space="preserve">Check the sampling scheme for repeated units from the same source</t>
  </si>
  <si>
    <t xml:space="preserve">Correlated data inflates the effective standard error; redesign the sampling</t>
  </si>
  <si>
    <t xml:space="preserve">The standard deviation estimate is reliable</t>
  </si>
  <si>
    <t xml:space="preserve">n of at least 25 to 30 for a usable estimate of s</t>
  </si>
  <si>
    <t xml:space="preserve">Widen the interval, or use the chi-square interval for sigma on E-16</t>
  </si>
  <si>
    <t xml:space="preserve">The process is stable during collection</t>
  </si>
  <si>
    <t xml:space="preserve">Control chart the data as it is collected</t>
  </si>
  <si>
    <t xml:space="preserve">A drifting process has no single mean to estimate</t>
  </si>
  <si>
    <t xml:space="preserve">Standard deviation of individual values (a property of the process):</t>
  </si>
  <si>
    <t xml:space="preserve">   s = SQRT( SUM((xi - xbar)^2) / (n - 1) )</t>
  </si>
  <si>
    <t xml:space="preserve">Standard error of the mean (a property of your study):</t>
  </si>
  <si>
    <t xml:space="preserve">Sample size needed to reach a target standard error:</t>
  </si>
  <si>
    <t xml:space="preserve">   n = (s / SE_target)^2</t>
  </si>
  <si>
    <t xml:space="preserve">The square root law in one line:</t>
  </si>
  <si>
    <t xml:space="preserve">   to halve the standard error, multiply the sample size by four</t>
  </si>
  <si>
    <t xml:space="preserve">Sample standard deviation of individual values</t>
  </si>
  <si>
    <t xml:space="preserve">Sample size n</t>
  </si>
  <si>
    <t xml:space="preserve">The square root that governs the whole relationship</t>
  </si>
  <si>
    <t xml:space="preserve">ROUNDUP</t>
  </si>
  <si>
    <t xml:space="preserve">ROUNDUP(number, 0)</t>
  </si>
  <si>
    <t xml:space="preserve">Sample sizes are always rounded up, never down</t>
  </si>
  <si>
    <t xml:space="preserve">The fill volume process has a standard deviation of 1.10 ml. How precisely do you know the mean with the sample you are taking, and what would it cost to know it twice as precisely?</t>
  </si>
  <si>
    <t xml:space="preserve">Process standard deviation  s (ml)</t>
  </si>
  <si>
    <t xml:space="preserve">Target standard error (ml)</t>
  </si>
  <si>
    <t xml:space="preserve">Standard error of the mean (ml)</t>
  </si>
  <si>
    <t xml:space="preserve">Ratio: standard error / standard deviation</t>
  </si>
  <si>
    <t xml:space="preserve">95% margin of error on the mean (ml)</t>
  </si>
  <si>
    <t xml:space="preserve">Sample size needed for the target SE</t>
  </si>
  <si>
    <t xml:space="preserve">Additional measurements required</t>
  </si>
  <si>
    <t xml:space="preserve">DIMINISHING RETURNS</t>
  </si>
  <si>
    <t xml:space="preserve">Standard error</t>
  </si>
  <si>
    <t xml:space="preserve">Reduction vs n = 1</t>
  </si>
  <si>
    <t xml:space="preserve">Extra units vs previous row</t>
  </si>
  <si>
    <t xml:space="preserve">Standard error vs standard deviation</t>
  </si>
  <si>
    <t xml:space="preserve">SE is always smaller</t>
  </si>
  <si>
    <t xml:space="preserve">SE = s divided by the square root of n</t>
  </si>
  <si>
    <t xml:space="preserve">The square root law; precision is expensive</t>
  </si>
  <si>
    <t xml:space="preserve">n = 1</t>
  </si>
  <si>
    <t xml:space="preserve">SE equals s</t>
  </si>
  <si>
    <t xml:space="preserve">With one observation the two are identical, which is why they get confused</t>
  </si>
  <si>
    <t xml:space="preserve">Which one for capability</t>
  </si>
  <si>
    <t xml:space="preserve">Standard deviation, never SE</t>
  </si>
  <si>
    <t xml:space="preserve">Capability describes product, not knowledge</t>
  </si>
  <si>
    <t xml:space="preserve">•  Computing Cpk with the standard error instead of the standard deviation. This inflates capability by the square root of n and is one of the most damaging errors in the entire toolkit.</t>
  </si>
  <si>
    <t xml:space="preserve">•  Quoting the standard error as if it described the spread of the product the customer receives.</t>
  </si>
  <si>
    <t xml:space="preserve">•  Increasing the sample size to compensate for a bad measurement system. Fix the gauge on E-59 first.</t>
  </si>
  <si>
    <t xml:space="preserve">•  Choosing n by habit - always five, always thirty - rather than calculating it on E-20.</t>
  </si>
  <si>
    <t xml:space="preserve">•  Assuming a bigger sample corrects bias. It reduces noise only; a biased gauge stays biased.</t>
  </si>
  <si>
    <t xml:space="preserve">Q1.  A colleague reports Cpk using s divided by the square root of 25 as the process sigma. What is the consequence?</t>
  </si>
  <si>
    <t xml:space="preserve">A1.  The capability index is inflated by a factor of five, because the standard error is five times smaller than the standard deviation at n = 25. A genuinely marginal process would be reported as world class. Capability must always use the standard deviation of individual values.</t>
  </si>
  <si>
    <t xml:space="preserve">Q2.  You currently sample 30 bottles and want to halve the width of your confidence interval. How many do you need?</t>
  </si>
  <si>
    <t xml:space="preserve">A2.  One hundred and twenty. The standard error falls with the square root of n, so halving it requires four times the sample.</t>
  </si>
  <si>
    <t xml:space="preserve">Q3.  The standard error of your mean is 0.2 ml and the process standard deviation is 1.1 ml. Which number belongs in a report to the customer about fill volume consistency?</t>
  </si>
  <si>
    <t xml:space="preserve">A3.  The standard deviation of 1.1 ml, because the customer receives individual bottles, not averages. The 0.2 ml standard error belongs in the internal discussion of how well you know the process mean.</t>
  </si>
  <si>
    <t xml:space="preserve">E-15 — Confidence Intervals for the Mean</t>
  </si>
  <si>
    <t xml:space="preserve">Phase: MEASURE   |   Data required: Sample mean, StDev, n   |   Min. sample: 5   |   Complexity: 2/5   |   Typical output: Confidence interval for the mean</t>
  </si>
  <si>
    <t xml:space="preserve">Within what range does the true process mean sit?</t>
  </si>
  <si>
    <t xml:space="preserve">Whenever you report an average and someone will act on it.</t>
  </si>
  <si>
    <t xml:space="preserve">A confidence interval for the mean, and whether it contains the target.</t>
  </si>
  <si>
    <t xml:space="preserve">A sample mean is a single guess. A confidence interval is that guess with its uncertainty attached, and it is almost always the more useful statement.</t>
  </si>
  <si>
    <t xml:space="preserve">The interpretation is precise and frequently misquoted. A 95 per cent confidence interval does not mean there is a 95 per cent probability that the true mean lies inside this particular interval - the true mean is a fixed number and it either is or is not inside. It means that if you repeated the sampling procedure many times, 95 per cent of the intervals so constructed would contain it.</t>
  </si>
  <si>
    <t xml:space="preserve">The practical value on the floor is that the interval answers the question directly. If the interval for the mean fill runs from 500.3 to 501.1 ml and the target is 500.0, the target lies outside, so the process is genuinely off target and adjusting it is justified. If the interval runs from 499.6 to 501.2, the target lies inside and adjusting would be over-reaction.</t>
  </si>
  <si>
    <t xml:space="preserve">That equivalence is exact: a two-sided 95 per cent interval that excludes the target corresponds to a significant one-sample t-test at alpha 0.05, which is why E-23 and this sheet always agree.</t>
  </si>
  <si>
    <t xml:space="preserve">✓  Reporting any process average to a decision maker.</t>
  </si>
  <si>
    <t xml:space="preserve">✗  Not for describing the spread of individual product: that is the standard deviation.</t>
  </si>
  <si>
    <t xml:space="preserve">✓  Deciding whether a process is genuinely off target.</t>
  </si>
  <si>
    <t xml:space="preserve">✗  Not valid on an unstable process; there is no single mean to bound.</t>
  </si>
  <si>
    <t xml:space="preserve">✓  Comparing an estimate against a specification or a contract value.</t>
  </si>
  <si>
    <t xml:space="preserve">✗  Do not use the normal version when sigma is estimated from a small sample: use t.</t>
  </si>
  <si>
    <t xml:space="preserve">✓  Presenting a baseline in the Measure phase.</t>
  </si>
  <si>
    <t xml:space="preserve">The data is approximately normal, or n is large enough for the CLT</t>
  </si>
  <si>
    <t xml:space="preserve">Probability plot on E-32, or rely on n above 30</t>
  </si>
  <si>
    <t xml:space="preserve">Use a nonparametric interval, or bootstrap</t>
  </si>
  <si>
    <t xml:space="preserve">Check the sampling scheme</t>
  </si>
  <si>
    <t xml:space="preserve">Correlated data produces an interval that is far too narrow</t>
  </si>
  <si>
    <t xml:space="preserve">Stabilise before estimating; otherwise the interval describes nothing</t>
  </si>
  <si>
    <t xml:space="preserve">Sigma unknown, estimated by s - the normal case in practice:</t>
  </si>
  <si>
    <t xml:space="preserve">   CI = xbar  +/-  t(alpha/2, n-1) * s / SQRT(n)</t>
  </si>
  <si>
    <t xml:space="preserve">Sigma known - rare, but exact:</t>
  </si>
  <si>
    <t xml:space="preserve">   CI = xbar  +/-  Z(alpha/2) * sigma / SQRT(n)</t>
  </si>
  <si>
    <t xml:space="preserve">Margin of error:</t>
  </si>
  <si>
    <t xml:space="preserve">   E = t * s / SQRT(n)</t>
  </si>
  <si>
    <t xml:space="preserve">Width halves when the sample size is multiplied by four.</t>
  </si>
  <si>
    <t xml:space="preserve">AVERAGE / STDEV / COUNT</t>
  </si>
  <si>
    <t xml:space="preserve">The three inputs the interval needs</t>
  </si>
  <si>
    <t xml:space="preserve">TINV(1 - confidence, n - 1)</t>
  </si>
  <si>
    <t xml:space="preserve">TWO-tailed t multiplier; feed it 1 minus the confidence level</t>
  </si>
  <si>
    <t xml:space="preserve">NORMSINV(1 - (1-confidence)/2)</t>
  </si>
  <si>
    <t xml:space="preserve">Z multiplier for the sigma known case</t>
  </si>
  <si>
    <t xml:space="preserve">CONFIDENCE</t>
  </si>
  <si>
    <t xml:space="preserve">CONFIDENCE(alpha, sigma, n)</t>
  </si>
  <si>
    <t xml:space="preserve">Built-in margin of error for the sigma known case</t>
  </si>
  <si>
    <t xml:space="preserve">AND / OR</t>
  </si>
  <si>
    <t xml:space="preserve">AND(target &gt; lower, target &lt; upper)</t>
  </si>
  <si>
    <t xml:space="preserve">Tests whether the target falls inside the interval</t>
  </si>
  <si>
    <t xml:space="preserve">Twenty-five fill volumes taken across one shift. The SKU target is 500.0 ml. Is the process genuinely off target, or is the observed offset just sampling noise?</t>
  </si>
  <si>
    <t xml:space="preserve">Target value (ml)</t>
  </si>
  <si>
    <t xml:space="preserve">Known sigma, if available (ml)</t>
  </si>
  <si>
    <t xml:space="preserve">Degrees of freedom  n - 1</t>
  </si>
  <si>
    <t xml:space="preserve">t multiplier</t>
  </si>
  <si>
    <t xml:space="preserve">Standard error (ml)</t>
  </si>
  <si>
    <t xml:space="preserve">Margin of error (ml)</t>
  </si>
  <si>
    <t xml:space="preserve">Lower confidence limit (ml)</t>
  </si>
  <si>
    <t xml:space="preserve">Upper confidence limit (ml)</t>
  </si>
  <si>
    <t xml:space="preserve">Interval width (ml)</t>
  </si>
  <si>
    <t xml:space="preserve">Z multiplier (sigma known)</t>
  </si>
  <si>
    <t xml:space="preserve">Margin of error, sigma known (ml)</t>
  </si>
  <si>
    <t xml:space="preserve">Does the interval contain the target?</t>
  </si>
  <si>
    <t xml:space="preserve">Estimated offset from target (ml)</t>
  </si>
  <si>
    <t xml:space="preserve">Target inside the interval</t>
  </si>
  <si>
    <t xml:space="preserve">No evidence of an offset; leave the process alone</t>
  </si>
  <si>
    <t xml:space="preserve">Target outside the interval</t>
  </si>
  <si>
    <t xml:space="preserve">Equivalent to a significant one-sample t-test at the same alpha</t>
  </si>
  <si>
    <t xml:space="preserve">Interval width</t>
  </si>
  <si>
    <t xml:space="preserve">Narrower is better</t>
  </si>
  <si>
    <t xml:space="preserve">Width falls with the square root of n</t>
  </si>
  <si>
    <t xml:space="preserve">95% by convention</t>
  </si>
  <si>
    <t xml:space="preserve">99% widens the interval; 90% narrows it and raises the risk</t>
  </si>
  <si>
    <t xml:space="preserve">•  Saying there is a 95 per cent probability the true mean lies in this interval. The procedure has the 95 per cent property, not this particular interval.</t>
  </si>
  <si>
    <t xml:space="preserve">•  Using the standard deviation instead of the standard error in the margin. The interval becomes absurdly wide and every target falls inside it.</t>
  </si>
  <si>
    <t xml:space="preserve">•  Using TINV with alpha instead of 1 minus the confidence level. TINV takes the total tail area.</t>
  </si>
  <si>
    <t xml:space="preserve">•  Building an interval from an unstable process. If the mean is moving, no interval describes it.</t>
  </si>
  <si>
    <t xml:space="preserve">•  Concluding a process is on target because the interval is wide. A wide interval means you do not know, not that everything is fine.</t>
  </si>
  <si>
    <t xml:space="preserve">Q1.  The 95% confidence interval for the mean fill runs from 500.3 to 501.1 ml and the target is 500.0. What do you conclude?</t>
  </si>
  <si>
    <t xml:space="preserve">A1.  The target lies outside the interval, so the process mean is genuinely above target by roughly 0.3 to 1.1 ml. This is equivalent to a significant one-sample t-test at alpha 0.05. Quantify the give-away on E-21 before deciding how urgently to act.</t>
  </si>
  <si>
    <t xml:space="preserve">Q2.  Why is the standard error, not the standard deviation, used in the margin of error?</t>
  </si>
  <si>
    <t xml:space="preserve">A2.  The interval bounds the MEAN, and the sampling distribution of the mean has spread equal to the standard error. Using the standard deviation would bound where an individual bottle might fall, which is a different and much wider question.</t>
  </si>
  <si>
    <t xml:space="preserve">Q3.  Your interval is very wide and contains the target. Does that prove the process is on target?</t>
  </si>
  <si>
    <t xml:space="preserve">A3.  No. A wide interval means the estimate is imprecise, usually because the sample was small or the process highly variable. Absence of evidence is not evidence of absence: check the power of the study on E-19 before claiming the process is on target.</t>
  </si>
  <si>
    <t xml:space="preserve">E-16 — Confidence Intervals for Proportion and Std Dev</t>
  </si>
  <si>
    <t xml:space="preserve">Phase: MEASURE   |   Data required: x, n or StDev, n   |   Min. sample: 20   |   Complexity: 3/5   |   Typical output: Confidence intervals for p and sigma</t>
  </si>
  <si>
    <t xml:space="preserve">Within what range does my true defect rate, or my true process spread, actually sit?</t>
  </si>
  <si>
    <t xml:space="preserve">When reporting a defect rate from a sample, or a standard deviation from a small study.</t>
  </si>
  <si>
    <t xml:space="preserve">Confidence intervals for a proportion and for a standard deviation.</t>
  </si>
  <si>
    <t xml:space="preserve">Two estimates on a packaging line are routinely reported without their uncertainty, and both are far less precise than people assume.</t>
  </si>
  <si>
    <t xml:space="preserve">The first is a defect rate. Eighteen rejects in 1,200 bottles gives 1.5 per cent, but the interval around that number is wide, and comparing it with last month's 1.9 per cent usually means comparing two overlapping intervals and calling it an improvement.</t>
  </si>
  <si>
    <t xml:space="preserve">The simple Wald interval taught in most courses behaves badly when the proportion is small or the sample modest - exactly the situation on a well-run line. It can even produce a negative lower limit. The Wilson score interval fixes this and should be the default; both are computed below so you can see the difference.</t>
  </si>
  <si>
    <t xml:space="preserve">The second is the standard deviation. Its interval is asymmetric because it comes from the chi-square distribution, and it is astonishingly wide at small n: from 25 measurements, the true sigma could plausibly be 22 per cent below or 39 per cent above what you observed. That is why capability indices computed from 30 points carry far more uncertainty than the three decimal places usually reported suggest.</t>
  </si>
  <si>
    <t xml:space="preserve">✓  Reporting a defect rate or rejection rate from a sample.</t>
  </si>
  <si>
    <t xml:space="preserve">✗  Not a formal comparison of two proportions: use E-29 for that.</t>
  </si>
  <si>
    <t xml:space="preserve">✓  Comparing this month's rate with last month's before declaring an improvement.</t>
  </si>
  <si>
    <t xml:space="preserve">✗  The variance interval is very sensitive to non-normality; check on E-32 first.</t>
  </si>
  <si>
    <t xml:space="preserve">✓  Stating a process standard deviation from a capability study.</t>
  </si>
  <si>
    <t xml:space="preserve">✗  Do not use the Wald interval when the number of defectives is under about 10.</t>
  </si>
  <si>
    <t xml:space="preserve">✓  Explaining why a Cpk from 30 points should not be quoted to three decimals.</t>
  </si>
  <si>
    <t xml:space="preserve">For the proportion: independent units, constant rate</t>
  </si>
  <si>
    <t xml:space="preserve">p chart the rate over time on E-52</t>
  </si>
  <si>
    <t xml:space="preserve">If the rate drifts, no single proportion describes the period</t>
  </si>
  <si>
    <t xml:space="preserve">For the standard deviation: the data is normal</t>
  </si>
  <si>
    <t xml:space="preserve">The chi-square interval is not robust; bootstrap instead</t>
  </si>
  <si>
    <t xml:space="preserve">The sample is large enough for the method</t>
  </si>
  <si>
    <t xml:space="preserve">Wald needs at least 10 defectives and 10 non-defectives</t>
  </si>
  <si>
    <t xml:space="preserve">Use the Wilson interval, which is valid for small counts</t>
  </si>
  <si>
    <t xml:space="preserve">Proportion - Wald (simple, but unreliable for small counts):</t>
  </si>
  <si>
    <t xml:space="preserve">   p_hat +/- Z * SQRT( p_hat*(1 - p_hat) / n )</t>
  </si>
  <si>
    <t xml:space="preserve">Proportion - Wilson score (recommended default):</t>
  </si>
  <si>
    <t xml:space="preserve">   centre = (p_hat + Z^2/(2n)) / (1 + Z^2/n)</t>
  </si>
  <si>
    <t xml:space="preserve">   half   = Z/(1 + Z^2/n) * SQRT( p_hat*(1-p_hat)/n + Z^2/(4n^2) )</t>
  </si>
  <si>
    <t xml:space="preserve">Standard deviation - chi-square interval, df = n - 1:</t>
  </si>
  <si>
    <t xml:space="preserve">   lower = s * SQRT( (n-1) / CHIINV(alpha/2, n-1) )</t>
  </si>
  <si>
    <t xml:space="preserve">upper = s * SQRT( (n-1) / CHIINV(1 - alpha/2, n-1) ) The interval is asymmetric because the chi-square distribution is skewed.</t>
  </si>
  <si>
    <t xml:space="preserve">NORMSINV(1 - alpha/2)</t>
  </si>
  <si>
    <t xml:space="preserve">Z multiplier for both proportion intervals</t>
  </si>
  <si>
    <t xml:space="preserve">Chi-square value with that RIGHT tail area</t>
  </si>
  <si>
    <t xml:space="preserve">Appears in every one of these expressions</t>
  </si>
  <si>
    <t xml:space="preserve">MAX / MIN</t>
  </si>
  <si>
    <t xml:space="preserve">MAX(0, lower)</t>
  </si>
  <si>
    <t xml:space="preserve">Truncates a Wald limit that falls outside 0 to 1</t>
  </si>
  <si>
    <t xml:space="preserve">Guards against a zero denominator when n or s is blank</t>
  </si>
  <si>
    <t xml:space="preserve">Last week the Innocheck FBI rejected 18 bottles out of 1,200 inspected. Separately, a capability study on 25 fill volumes returned a standard deviation of 1.10 ml. How precise are both numbers?</t>
  </si>
  <si>
    <t xml:space="preserve">PART 1 - CONFIDENCE INTERVAL FOR A PROPORTION</t>
  </si>
  <si>
    <t xml:space="preserve">Number inspected  n</t>
  </si>
  <si>
    <t xml:space="preserve">Observed proportion  p-hat</t>
  </si>
  <si>
    <t xml:space="preserve">Z multiplier</t>
  </si>
  <si>
    <t xml:space="preserve">Wald lower limit</t>
  </si>
  <si>
    <t xml:space="preserve">Wald upper limit</t>
  </si>
  <si>
    <t xml:space="preserve">Wilson centre</t>
  </si>
  <si>
    <t xml:space="preserve">Wilson half width</t>
  </si>
  <si>
    <t xml:space="preserve">Wilson lower limit  (recommended)</t>
  </si>
  <si>
    <t xml:space="preserve">Wilson upper limit  (recommended)</t>
  </si>
  <si>
    <t xml:space="preserve">Lower limit in PPM</t>
  </si>
  <si>
    <t xml:space="preserve">Upper limit in PPM</t>
  </si>
  <si>
    <t xml:space="preserve">Is the Wald interval trustworthy here?</t>
  </si>
  <si>
    <t xml:space="preserve">PART 2 - CONFIDENCE INTERVAL FOR A STANDARD DEVIATION</t>
  </si>
  <si>
    <t xml:space="preserve">Observed standard deviation  s (ml)</t>
  </si>
  <si>
    <t xml:space="preserve">Degrees of freedom</t>
  </si>
  <si>
    <t xml:space="preserve">Lower limit for sigma (ml)</t>
  </si>
  <si>
    <t xml:space="preserve">Upper limit for sigma (ml)</t>
  </si>
  <si>
    <t xml:space="preserve">Lower limit as a percentage of s</t>
  </si>
  <si>
    <t xml:space="preserve">Upper limit as a percentage of s</t>
  </si>
  <si>
    <t xml:space="preserve">Relative width of the sigma interval</t>
  </si>
  <si>
    <t xml:space="preserve">Wald validity</t>
  </si>
  <si>
    <t xml:space="preserve">n*p &gt;= 10 and n*(1-p) &gt;= 10</t>
  </si>
  <si>
    <t xml:space="preserve">Below this the Wald interval misbehaves; use Wilson</t>
  </si>
  <si>
    <t xml:space="preserve">Proportion interval</t>
  </si>
  <si>
    <t xml:space="preserve">Report as PPM with both limits</t>
  </si>
  <si>
    <t xml:space="preserve">A single point estimate hides the uncertainty</t>
  </si>
  <si>
    <t xml:space="preserve">Sigma interval at n = 25</t>
  </si>
  <si>
    <t xml:space="preserve">Roughly -22% to +39%</t>
  </si>
  <si>
    <t xml:space="preserve">Sigma is far less precisely known than the mean</t>
  </si>
  <si>
    <t xml:space="preserve">Sigma interval at n = 100</t>
  </si>
  <si>
    <t xml:space="preserve">Roughly -12% to +16%</t>
  </si>
  <si>
    <t xml:space="preserve">Four times the data halves the relative width</t>
  </si>
  <si>
    <t xml:space="preserve">•  Comparing this month's 1.5 per cent with last month's 1.9 per cent without checking whether the intervals overlap. Use E-29 for a proper two-proportion test.</t>
  </si>
  <si>
    <t xml:space="preserve">•  Reporting a Wald interval whose lower limit is negative and then truncating it silently at zero.</t>
  </si>
  <si>
    <t xml:space="preserve">•  Quoting Cpk to three decimals from 30 measurements. The uncertainty in sigma alone moves the second decimal.</t>
  </si>
  <si>
    <t xml:space="preserve">•  Assuming the sigma interval is symmetric. It is not; the chi-square distribution is skewed.</t>
  </si>
  <si>
    <t xml:space="preserve">•  Building either interval from an unstable process, where no single parameter exists to estimate.</t>
  </si>
  <si>
    <t xml:space="preserve">Q1.  Why does the Wald interval fail for small defect counts?</t>
  </si>
  <si>
    <t xml:space="preserve">A1.  It approximates a discrete binomial distribution with a symmetric normal one. When the proportion is near zero the true distribution is strongly skewed, so the symmetric interval has the wrong coverage and can even extend below zero. The Wilson score interval accounts for the skew.</t>
  </si>
  <si>
    <t xml:space="preserve">Q2.  A capability study on 25 points gives sigma = 1.10 ml. How well do you actually know sigma?</t>
  </si>
  <si>
    <t xml:space="preserve">A2.  Roughly between 0.86 and 1.53 ml at 95 per cent confidence, which is about minus 22 per cent to plus 39 per cent. Any capability index computed from it inherits that uncertainty, which is why three-decimal Cpk values from small samples are misleading.</t>
  </si>
  <si>
    <t xml:space="preserve">Q3.  Why is the confidence interval for a standard deviation asymmetric?</t>
  </si>
  <si>
    <t xml:space="preserve">A3.  Because it derives from the chi-square distribution, which is skewed right and bounded at zero. The scope for the true sigma to be larger than observed exceeds the scope for it to be smaller.</t>
  </si>
  <si>
    <t xml:space="preserve">E-17 — The Hypothesis Testing Framework</t>
  </si>
  <si>
    <t xml:space="preserve">ANALYZE</t>
  </si>
  <si>
    <t xml:space="preserve">Phase: ANALYZE   |   Data required: Claim to be tested   |   Min. sample: n/a   |   Complexity: 2/5   |   Typical output: H0, H1, alpha and decision rule</t>
  </si>
  <si>
    <t xml:space="preserve">How do I turn a question from the floor into something that can actually be tested?</t>
  </si>
  <si>
    <t xml:space="preserve">Before running any statistical test, without exception.</t>
  </si>
  <si>
    <t xml:space="preserve">A correctly stated H0 and H1, the number of tails, and the test to use.</t>
  </si>
  <si>
    <t xml:space="preserve">Hypothesis testing is a formal way of deciding whether an observed difference is larger than chance alone would produce. It is built on a deliberately conservative asymmetry.</t>
  </si>
  <si>
    <t xml:space="preserve">The null hypothesis H0 always states that nothing is happening: no difference, no effect, no change. It is the position of the sceptic, and it is assumed true until the data makes it implausible.</t>
  </si>
  <si>
    <t xml:space="preserve">The alternative H1 is what you suspect. It never contains an equals sign.</t>
  </si>
  <si>
    <t xml:space="preserve">The logic is proof by contradiction. Assume H0, compute how likely the observed data would be under that assumption, and if that likelihood is small enough, reject H0. Note what this does NOT do: it never proves</t>
  </si>
  <si>
    <t xml:space="preserve">H0 true. Failing to reject means the evidence was insufficient, which may simply mean the sample was too small.</t>
  </si>
  <si>
    <t xml:space="preserve">One rule is worth more than the rest: state the hypothesis BEFORE looking at the data. Choosing a one-tailed test after seeing which direction the difference went doubles your real false alarm rate while reporting the original one, and it is the most common way a well-intentioned study becomes indefensible.</t>
  </si>
  <si>
    <t xml:space="preserve">✓  Before every hypothesis test on E-23 to E-31.</t>
  </si>
  <si>
    <t xml:space="preserve">✗  Not needed when the question is descriptive rather than comparative.</t>
  </si>
  <si>
    <t xml:space="preserve">✓  When translating a supervisor's claim into a testable statement.</t>
  </si>
  <si>
    <t xml:space="preserve">✗  Not a substitute for practical significance: see E-21.</t>
  </si>
  <si>
    <t xml:space="preserve">✓  When reviewing someone else's conclusion and the hypothesis was never written down.</t>
  </si>
  <si>
    <t xml:space="preserve">✗  Do not use it to test a hypothesis suggested by the same data that will test it.</t>
  </si>
  <si>
    <t xml:space="preserve">✓  When deciding whether the question is genuinely directional.</t>
  </si>
  <si>
    <t xml:space="preserve">The hypothesis was stated before the data was seen</t>
  </si>
  <si>
    <t xml:space="preserve">Check the project record for the date of the hypothesis</t>
  </si>
  <si>
    <t xml:space="preserve">Treat the analysis as exploratory and confirm on a fresh sample</t>
  </si>
  <si>
    <t xml:space="preserve">Alpha was chosen before the test, not after</t>
  </si>
  <si>
    <t xml:space="preserve">Confirm alpha appears in the data collection plan</t>
  </si>
  <si>
    <t xml:space="preserve">Report the p-value and let the reader judge, without claiming significance</t>
  </si>
  <si>
    <t xml:space="preserve">E-18  Understanding the p-Value (and What It Is Not)</t>
  </si>
  <si>
    <t xml:space="preserve">The sample size gives adequate power</t>
  </si>
  <si>
    <t xml:space="preserve">Compute power on E-19 before collecting</t>
  </si>
  <si>
    <t xml:space="preserve">A non-significant result from an underpowered study means nothing</t>
  </si>
  <si>
    <t xml:space="preserve">E-19  Type I Error, Type II Error and Power</t>
  </si>
  <si>
    <t xml:space="preserve">The general structure:</t>
  </si>
  <si>
    <t xml:space="preserve">   H0 : parameter  =  stated value        (always contains equality)</t>
  </si>
  <si>
    <t xml:space="preserve">   H1 : parameter  &lt;&gt; or &gt; or &lt;  value    (never contains equality)</t>
  </si>
  <si>
    <t xml:space="preserve">The four possible outcomes:</t>
  </si>
  <si>
    <t xml:space="preserve">H0 is really true        H0 is really false Reject H0            Type I error (alpha)     Correct  (power = 1 - beta) Fail to reject H0    Correct (1 - alpha)      Type II error (beta)</t>
  </si>
  <si>
    <t xml:space="preserve">The decision rule:</t>
  </si>
  <si>
    <t xml:space="preserve">   reject H0 when p &lt; alpha, where alpha is fixed BEFORE the data is collected</t>
  </si>
  <si>
    <t xml:space="preserve">&amp;</t>
  </si>
  <si>
    <t xml:space="preserve">"text " &amp; cell &amp; " text"</t>
  </si>
  <si>
    <t xml:space="preserve">Concatenation, used to assemble the hypothesis statements</t>
  </si>
  <si>
    <t xml:space="preserve">TEXT(value, "0.000")</t>
  </si>
  <si>
    <t xml:space="preserve">Formats a number inside a text string</t>
  </si>
  <si>
    <t xml:space="preserve">IF(test, a, b)</t>
  </si>
  <si>
    <t xml:space="preserve">Selects the tail count from the stated direction</t>
  </si>
  <si>
    <t xml:space="preserve">INDEX(tests, MATCH(parameter, params, 0))</t>
  </si>
  <si>
    <t xml:space="preserve">Recommends the test for the chosen parameter</t>
  </si>
  <si>
    <t xml:space="preserve">State what you believe and about which parameter. The sheet writes the formal hypotheses, sets the number of tails, and points you to the sheet that runs the test.</t>
  </si>
  <si>
    <t xml:space="preserve">Parameter being tested</t>
  </si>
  <si>
    <t xml:space="preserve">mean</t>
  </si>
  <si>
    <t xml:space="preserve">What you believe (the alternative)</t>
  </si>
  <si>
    <t xml:space="preserve">greater than</t>
  </si>
  <si>
    <t xml:space="preserve">Value it is compared with</t>
  </si>
  <si>
    <t xml:space="preserve">Description of the characteristic</t>
  </si>
  <si>
    <t xml:space="preserve">fill volume of the 500 ml SKU (ml)</t>
  </si>
  <si>
    <t xml:space="preserve">H0 (the null hypothesis)</t>
  </si>
  <si>
    <t xml:space="preserve">H1 (the alternative hypothesis)</t>
  </si>
  <si>
    <t xml:space="preserve">Number of tails</t>
  </si>
  <si>
    <t xml:space="preserve">Decision rule</t>
  </si>
  <si>
    <t xml:space="preserve">Parameter</t>
  </si>
  <si>
    <t xml:space="preserve">One sample</t>
  </si>
  <si>
    <t xml:space="preserve">Two samples</t>
  </si>
  <si>
    <t xml:space="preserve">Three or more</t>
  </si>
  <si>
    <t xml:space="preserve">E-23 One-Sample t-Test</t>
  </si>
  <si>
    <t xml:space="preserve">E-24 Two-Sample t-Test</t>
  </si>
  <si>
    <t xml:space="preserve">E-26 One-Way ANOVA</t>
  </si>
  <si>
    <t xml:space="preserve">proportion</t>
  </si>
  <si>
    <t xml:space="preserve">E-29 One-Proportion Test</t>
  </si>
  <si>
    <t xml:space="preserve">E-29 Two-Proportion Test</t>
  </si>
  <si>
    <t xml:space="preserve">E-30 Chi-Square Test</t>
  </si>
  <si>
    <t xml:space="preserve">standard deviation</t>
  </si>
  <si>
    <t xml:space="preserve">E-16 Chi-Square interval</t>
  </si>
  <si>
    <t xml:space="preserve">E-28 F Test</t>
  </si>
  <si>
    <t xml:space="preserve">E-28 Levene / Bartlett</t>
  </si>
  <si>
    <t xml:space="preserve">Recommended test - one sample</t>
  </si>
  <si>
    <t xml:space="preserve">Recommended test - two samples</t>
  </si>
  <si>
    <t xml:space="preserve">H0 contains equality</t>
  </si>
  <si>
    <t xml:space="preserve">Always</t>
  </si>
  <si>
    <t xml:space="preserve">H0 is the position of no effect, and it is what the test assumes</t>
  </si>
  <si>
    <t xml:space="preserve">H1 never contains equality</t>
  </si>
  <si>
    <t xml:space="preserve">The alternative is strictly directional or strictly two-sided</t>
  </si>
  <si>
    <t xml:space="preserve">One-tailed test</t>
  </si>
  <si>
    <t xml:space="preserve">Only if decided in advance</t>
  </si>
  <si>
    <t xml:space="preserve">Choosing the tail after seeing the data invalidates alpha</t>
  </si>
  <si>
    <t xml:space="preserve">Alpha</t>
  </si>
  <si>
    <t xml:space="preserve">0.05 by convention</t>
  </si>
  <si>
    <t xml:space="preserve">0.01 where the consequence of a false alarm is expensive</t>
  </si>
  <si>
    <t xml:space="preserve">•  Writing H0 as what you hope to prove. H0 is always the sceptical position of no effect.</t>
  </si>
  <si>
    <t xml:space="preserve">•  Switching to a one-tailed test after seeing the direction of the difference. This doubles your real false alarm rate while you report the original alpha.</t>
  </si>
  <si>
    <t xml:space="preserve">•  Saying 'we accept H0'. You fail to reject it. The distinction is not pedantry: the data may simply have been too weak to detect a real effect.</t>
  </si>
  <si>
    <t xml:space="preserve">•  Running many tests on the same data and reporting only the significant one. Twenty tests at alpha 0.05 produce one false positive on average.</t>
  </si>
  <si>
    <t xml:space="preserve">•  Testing a hypothesis that was suggested by the very data used to test it.</t>
  </si>
  <si>
    <t xml:space="preserve">Q1.  Why can the null hypothesis never be proven true?</t>
  </si>
  <si>
    <t xml:space="preserve">A1.  Because the test only measures how surprising the data would be if H0 were true. A non-significant result means the data was not surprising enough, which is equally consistent with H0 being true and with a real effect that the sample was too small to detect. Only a power analysis on E-19 can distinguish those two situations.</t>
  </si>
  <si>
    <t xml:space="preserve">Q2.  You suspected shift C fills higher, ran a two-tailed test, got p = 0.06, then switched to one-tailed to reach p = 0.03. What is wrong?</t>
  </si>
  <si>
    <t xml:space="preserve">A2.  The tail was chosen after seeing the data. That converts a 5 per cent false alarm rate into roughly 10 per cent while the report still claims 5 per cent. The direction must be committed to before collection, and the honest report here is p = 0.06 two-tailed.</t>
  </si>
  <si>
    <t xml:space="preserve">Q3.  Write H0 and H1 for the claim that a new preform supplier reduces the average preform weight.</t>
  </si>
  <si>
    <t xml:space="preserve">A3.  H0: the mean preform weight with the new supplier is equal to the mean with the current supplier. H1: the mean preform weight with the new supplier is less than with the current supplier. This is one-tailed, and it must be declared before the data is collected.</t>
  </si>
  <si>
    <t xml:space="preserve">E-18 — Understanding the p-Value (and What It Is Not)</t>
  </si>
  <si>
    <t xml:space="preserve">Phase: ANALYZE   |   Data required: Test statistic and df   |   Min. sample: n/a   |   Complexity: 2/5   |   Typical output: Correct interpretation and common errors</t>
  </si>
  <si>
    <t xml:space="preserve">What does this p-value actually tell me, and what does it definitely not tell me?</t>
  </si>
  <si>
    <t xml:space="preserve">Every time a test returns a p-value and someone is about to over-interpret it.</t>
  </si>
  <si>
    <t xml:space="preserve">The p-value, the decision against alpha, and the three misreadings to avoid.</t>
  </si>
  <si>
    <t xml:space="preserve">The p-value is the probability of observing data at least as extreme as yours, IF the null hypothesis were true.</t>
  </si>
  <si>
    <t xml:space="preserve">Every word of that sentence carries weight, and almost every misuse comes from dropping the conditional clause.</t>
  </si>
  <si>
    <t xml:space="preserve">It is a conditional probability running in one direction only: the probability of the data given H0. It is not the probability of H0 given the data, and those two quantities can differ enormously.</t>
  </si>
  <si>
    <t xml:space="preserve">A small p-value means the observed data would be surprising if nothing were happening. That is all it means.</t>
  </si>
  <si>
    <t xml:space="preserve">It says nothing about how large the effect is, nothing about whether the effect matters commercially, and nothing about the probability that you are about to make a mistake.</t>
  </si>
  <si>
    <t xml:space="preserve">The size of the effect lives in the confidence interval on E-15, and whether it matters lives on E-21.</t>
  </si>
  <si>
    <t xml:space="preserve">A useful discipline: never report a p-value alone. Report the estimated difference, its confidence interval, and then the p-value. Anyone reading a p-value alone is being asked to guess at the two things that matter most.</t>
  </si>
  <si>
    <t xml:space="preserve">✓  Interpreting the output of any test on E-23 to E-31.</t>
  </si>
  <si>
    <t xml:space="preserve">✗  Do not use the p-value as a measure of effect size. It is not one.</t>
  </si>
  <si>
    <t xml:space="preserve">✓  Reviewing a report that concludes 'significant' with no effect size given.</t>
  </si>
  <si>
    <t xml:space="preserve">✗  Do not treat 0.05 as a natural boundary between truth and falsehood.</t>
  </si>
  <si>
    <t xml:space="preserve">✓  Explaining to a manager why p = 0.049 and p = 0.051 are not different findings.</t>
  </si>
  <si>
    <t xml:space="preserve">✗  Do not compare p-values across studies with different sample sizes.</t>
  </si>
  <si>
    <t xml:space="preserve">✓  Before deciding whether a statistically significant result deserves a project.</t>
  </si>
  <si>
    <t xml:space="preserve">Alpha was fixed before the test</t>
  </si>
  <si>
    <t xml:space="preserve">Check the data collection plan</t>
  </si>
  <si>
    <t xml:space="preserve">Report the p-value as descriptive and avoid the word significant</t>
  </si>
  <si>
    <t xml:space="preserve">Only the planned tests were run</t>
  </si>
  <si>
    <t xml:space="preserve">Count how many tests were performed on this data</t>
  </si>
  <si>
    <t xml:space="preserve">Adjust for multiplicity, or treat the finding as a hypothesis for a fresh study</t>
  </si>
  <si>
    <t xml:space="preserve">The test's own assumptions hold</t>
  </si>
  <si>
    <t xml:space="preserve">Normality on E-32, equal variance on E-28</t>
  </si>
  <si>
    <t xml:space="preserve">The p-value is only as valid as the assumptions behind it</t>
  </si>
  <si>
    <t xml:space="preserve">Definition:</t>
  </si>
  <si>
    <t xml:space="preserve">   p = P( test statistic at least as extreme as observed  |  H0 is true )</t>
  </si>
  <si>
    <t xml:space="preserve">For a t statistic:</t>
  </si>
  <si>
    <t xml:space="preserve">   two-tailed  p = TDIST(ABS(t), df, 2)</t>
  </si>
  <si>
    <t xml:space="preserve">   one-tailed  p = TDIST(ABS(t), df, 1)</t>
  </si>
  <si>
    <t xml:space="preserve">   reject H0 when p &lt; alpha</t>
  </si>
  <si>
    <t xml:space="preserve">What p does NOT equal:</t>
  </si>
  <si>
    <t xml:space="preserve">   p  is NOT  P(H0 is true | data)</t>
  </si>
  <si>
    <t xml:space="preserve">p  is NOT  the probability that your conclusion is wrong 1 - p  is NOT  the probability that H1 is true</t>
  </si>
  <si>
    <t xml:space="preserve">Requires a positive t; wrap the observed value in ABS</t>
  </si>
  <si>
    <t xml:space="preserve">Right tail probability for a chi-square statistic</t>
  </si>
  <si>
    <t xml:space="preserve">Right tail probability for an F statistic</t>
  </si>
  <si>
    <t xml:space="preserve">Converts a Z statistic to a probability</t>
  </si>
  <si>
    <t xml:space="preserve">IF(p &lt; alpha, ..., ...)</t>
  </si>
  <si>
    <t xml:space="preserve">The entire decision rule, in one function</t>
  </si>
  <si>
    <t xml:space="preserve">A two-sample t-test comparing shift A and shift C on fill volume returned t = 2.31 with 28 degrees of freedom. Enter the statistic and read the p-value, then read the warning box carefully.</t>
  </si>
  <si>
    <t xml:space="preserve">Observed t statistic</t>
  </si>
  <si>
    <t xml:space="preserve">Tails (1 or 2)</t>
  </si>
  <si>
    <t xml:space="preserve">Observed difference (ml)</t>
  </si>
  <si>
    <t xml:space="preserve">p-value</t>
  </si>
  <si>
    <t xml:space="preserve">Decision</t>
  </si>
  <si>
    <t xml:space="preserve">Strength of the evidence</t>
  </si>
  <si>
    <t xml:space="preserve">Critical t at this alpha</t>
  </si>
  <si>
    <t xml:space="preserve">How far the statistic clears the critical value</t>
  </si>
  <si>
    <t xml:space="preserve">THE THREE MISINTERPRETATIONS - READ THIS BEFORE QUOTING ANY p-VALUE</t>
  </si>
  <si>
    <t xml:space="preserve">MISREADING 1:  "p = 0.03, so there is a 3% chance the null hypothesis is true."</t>
  </si>
  <si>
    <t xml:space="preserve">WRONG. The p-value is P(data | H0), not P(H0 | data). Reversing a conditional probability is a logical error, not a rounding one. The probability that H0 is true depends on how plausible it was beforehand, which the p-value never uses.</t>
  </si>
  <si>
    <t xml:space="preserve">MISREADING 2:  "p = 0.001, so the effect is large and important."</t>
  </si>
  <si>
    <t xml:space="preserve">WRONG. The p-value confounds effect size with sample size. With 2,000 bottles per group, a 0.05 ml difference that no customer could detect returns p &lt; 0.001. See the worked case on E-21, which is built precisely on this trap.</t>
  </si>
  <si>
    <t xml:space="preserve">MISREADING 3:  "p = 0.28, so the two shifts are the same."</t>
  </si>
  <si>
    <t xml:space="preserve">WRONG. Failing to reject H0 is not evidence for H0. A large p-value usually means the sample was too small to detect the effect. Compute the power on E-19; an underpowered study returns large p-values whether or not an effect exists.</t>
  </si>
  <si>
    <t xml:space="preserve">p &lt; 0.001</t>
  </si>
  <si>
    <t xml:space="preserve">Very strong evidence against H0</t>
  </si>
  <si>
    <t xml:space="preserve">Rarely disputed, but still says nothing about size</t>
  </si>
  <si>
    <t xml:space="preserve">p &lt; 0.01</t>
  </si>
  <si>
    <t xml:space="preserve">Strong evidence</t>
  </si>
  <si>
    <t xml:space="preserve">Comfortable for most engineering decisions</t>
  </si>
  <si>
    <t xml:space="preserve">Moderate evidence</t>
  </si>
  <si>
    <t xml:space="preserve">The conventional threshold, not a law of nature</t>
  </si>
  <si>
    <t xml:space="preserve">0.05 &lt;= p &lt; 0.10</t>
  </si>
  <si>
    <t xml:space="preserve">Weak, borderline</t>
  </si>
  <si>
    <t xml:space="preserve">Report it honestly rather than rounding it into significance</t>
  </si>
  <si>
    <t xml:space="preserve">•  Reporting a p-value without the effect size and its confidence interval.</t>
  </si>
  <si>
    <t xml:space="preserve">•  Treating p = 0.049 and p = 0.051 as fundamentally different results. They are practically identical.</t>
  </si>
  <si>
    <t xml:space="preserve">•  Saying 'we proved there is no difference' after a non-significant test.</t>
  </si>
  <si>
    <t xml:space="preserve">•  Running the test, seeing p = 0.07, collecting more data and testing again until it drops below 0.05. This inflates the false alarm rate far beyond the stated alpha.</t>
  </si>
  <si>
    <t xml:space="preserve">•  Comparing p-values from studies with different sample sizes as if they measured the same thing.</t>
  </si>
  <si>
    <t xml:space="preserve">Q1.  A test returns p = 0.04. Is there a 4 per cent probability that the null hypothesis is true?</t>
  </si>
  <si>
    <t xml:space="preserve">A1.  No. The p-value is the probability of data at least this extreme GIVEN that H0 is true. It is not the probability of H0 given the data. Those are different conditional probabilities and reversing them is a logical error.</t>
  </si>
  <si>
    <t xml:space="preserve">Q2.  Why can a completely trivial difference return p &lt; 0.001?</t>
  </si>
  <si>
    <t xml:space="preserve">A2.  Because the p-value depends on both the size of the effect and the sample size. The test statistic grows with the square root of n, so with a large enough sample any difference, however small, becomes statistically detectable. This is exactly the case worked through on E-21.</t>
  </si>
  <si>
    <t xml:space="preserve">Q3.  Your test on 8 bottles per shift returns p = 0.35. Can you tell the supervisor the shifts are equal?</t>
  </si>
  <si>
    <t xml:space="preserve">A3.  No. With 8 observations per group the study has very low power to detect anything but a huge difference, so a large p-value was almost guaranteed. Compute the power on E-19 and state what size of difference the study could realistically have detected.</t>
  </si>
  <si>
    <t xml:space="preserve">E-19 — Type I Error, Type II Error and Power</t>
  </si>
  <si>
    <t xml:space="preserve">Phase: ANALYZE   |   Data required: Alpha, effect size, n, sigma   |   Min. sample: n/a   |   Complexity: 3/5   |   Typical output: Power curve and beta risk</t>
  </si>
  <si>
    <t xml:space="preserve">What is the risk that my study misses a difference that is really there?</t>
  </si>
  <si>
    <t xml:space="preserve">Before collecting data, and after any test that failed to reject H0.</t>
  </si>
  <si>
    <t xml:space="preserve">Power, beta risk, and the smallest difference the study could realistically detect.</t>
  </si>
  <si>
    <t xml:space="preserve">Every hypothesis test can go wrong in two ways, and they are managed very differently.</t>
  </si>
  <si>
    <t xml:space="preserve">A Type I error means rejecting H0 when it is true: raising a false alarm, launching a project to fix a problem that does not exist. Its probability is alpha, and you set it directly - conventionally at 0.05.</t>
  </si>
  <si>
    <t xml:space="preserve">A Type II error means failing to reject H0 when it is false: missing a real difference, concluding the shifts are the same when one genuinely fills higher. Its probability is beta, and you do NOT set it directly.</t>
  </si>
  <si>
    <t xml:space="preserve">Beta is a consequence of four things: alpha, the size of the effect, the process variation, and the sample size.</t>
  </si>
  <si>
    <t xml:space="preserve">Power is 1 - beta, the probability of detecting a difference that really exists. It is the only one of these quantities that management intuitively understands, and it is almost always ignored until after the study.</t>
  </si>
  <si>
    <t xml:space="preserve">The asymmetry matters commercially. Alpha costs you a wasted project; beta costs you a problem that stays in the process, unfound, for another year. On a line running 18,000 bottles an hour, the second is usually far more expensive - yet almost every study is designed around alpha alone.</t>
  </si>
  <si>
    <t xml:space="preserve">✓  Before collecting data, to choose a sample size that can detect what matters.</t>
  </si>
  <si>
    <t xml:space="preserve">✗  Not a post-hoc excuse: computing power from the observed effect after the fact is circular.</t>
  </si>
  <si>
    <t xml:space="preserve">✓  After any non-significant result, to know whether the study could have found anything.</t>
  </si>
  <si>
    <t xml:space="preserve">✗  Not needed after a significant result; you already detected the effect.</t>
  </si>
  <si>
    <t xml:space="preserve">✓  When someone claims two shifts are equal from a handful of bottles.</t>
  </si>
  <si>
    <t xml:space="preserve">✗  The normal approximation used here is adequate for n above about 15 per group.</t>
  </si>
  <si>
    <t xml:space="preserve">✓  When negotiating how much data collection the project can afford.</t>
  </si>
  <si>
    <t xml:space="preserve">The effect size used is the one that matters practically</t>
  </si>
  <si>
    <t xml:space="preserve">Ask what difference would actually change a decision</t>
  </si>
  <si>
    <t xml:space="preserve">Agree the minimum relevant difference with the process owner first</t>
  </si>
  <si>
    <t xml:space="preserve">Sigma is a realistic estimate</t>
  </si>
  <si>
    <t xml:space="preserve">Use sigma from a recent stable capability study</t>
  </si>
  <si>
    <t xml:space="preserve">An optimistic sigma produces an optimistic power and an undersized study</t>
  </si>
  <si>
    <t xml:space="preserve">Alpha was fixed in advance</t>
  </si>
  <si>
    <t xml:space="preserve">Power computed against a moving alpha is meaningless</t>
  </si>
  <si>
    <t xml:space="preserve">The four outcomes:</t>
  </si>
  <si>
    <t xml:space="preserve">                        H0 true              H0 false</t>
  </si>
  <si>
    <t xml:space="preserve">Reject H0            Type I  (alpha)      Correct  (power = 1 - beta) Fail to reject       Correct (1 - alpha)  Type II  (beta)</t>
  </si>
  <si>
    <t xml:space="preserve">Power for a two-sided test on a mean (normal approximation):</t>
  </si>
  <si>
    <t xml:space="preserve">d     = delta / (sigma / SQRT(n))            &lt;- the noncentrality, in standard errors Zcrit = NORMSINV(1 - alpha/2)</t>
  </si>
  <si>
    <t xml:space="preserve">   power = 1 - NORMSDIST(Zcrit - d) + NORMSDIST(-Zcrit - d)</t>
  </si>
  <si>
    <t xml:space="preserve">Detectable difference for a required power:</t>
  </si>
  <si>
    <t xml:space="preserve">   delta = (NORMSINV(1 - alpha/2) + NORMSINV(power)) * sigma / SQRT(n)</t>
  </si>
  <si>
    <t xml:space="preserve">Critical Z for the chosen alpha</t>
  </si>
  <si>
    <t xml:space="preserve">Converts the shifted critical value into a probability</t>
  </si>
  <si>
    <t xml:space="preserve">Sample size enters power through its square root</t>
  </si>
  <si>
    <t xml:space="preserve">Sample sizes always round up</t>
  </si>
  <si>
    <t xml:space="preserve">You want to detect a 1.0 ml difference in mean fill between two shifts. The process standard deviation is 1.10 ml and you plan 25 bottles per shift. Is that enough, and what would it actually detect?</t>
  </si>
  <si>
    <t xml:space="preserve">Difference you want to detect  delta (ml)</t>
  </si>
  <si>
    <t xml:space="preserve">Process standard deviation  sigma (ml)</t>
  </si>
  <si>
    <t xml:space="preserve">Sample size per group  n</t>
  </si>
  <si>
    <t xml:space="preserve">Power you require</t>
  </si>
  <si>
    <t xml:space="preserve">Critical Z (two-sided)</t>
  </si>
  <si>
    <t xml:space="preserve">Noncentrality  d (in standard errors)</t>
  </si>
  <si>
    <t xml:space="preserve">Power achieved  (1 - beta)</t>
  </si>
  <si>
    <t xml:space="preserve">Type II error risk  beta</t>
  </si>
  <si>
    <t xml:space="preserve">Smallest difference detectable at the required power (ml)</t>
  </si>
  <si>
    <t xml:space="preserve">Sample size needed for the required power</t>
  </si>
  <si>
    <t xml:space="preserve">Additional units needed per group</t>
  </si>
  <si>
    <t xml:space="preserve">POWER CURVE</t>
  </si>
  <si>
    <t xml:space="preserve">n per group</t>
  </si>
  <si>
    <t xml:space="preserve">Noncentrality d</t>
  </si>
  <si>
    <t xml:space="preserve">Power</t>
  </si>
  <si>
    <t xml:space="preserve">Beta risk</t>
  </si>
  <si>
    <t xml:space="preserve">&gt;= 80%</t>
  </si>
  <si>
    <t xml:space="preserve">The conventional minimum for a decision study</t>
  </si>
  <si>
    <t xml:space="preserve">&gt;= 90%</t>
  </si>
  <si>
    <t xml:space="preserve">Appropriate where missing the effect is expensive or safety related</t>
  </si>
  <si>
    <t xml:space="preserve">&lt;= 20%</t>
  </si>
  <si>
    <t xml:space="preserve">One study in five will miss a real effect of the stated size</t>
  </si>
  <si>
    <t xml:space="preserve">d doubles</t>
  </si>
  <si>
    <t xml:space="preserve">Power rises steeply, then flattens near 100%</t>
  </si>
  <si>
    <t xml:space="preserve">•  Computing power after the study using the effect you happened to observe. Observed power is a one-to-one function of the p-value and adds no information whatsoever.</t>
  </si>
  <si>
    <t xml:space="preserve">•  Declaring two shifts equal from a study with 30 per cent power. You could not have found the difference even if it were there.</t>
  </si>
  <si>
    <t xml:space="preserve">•  Choosing delta to be whatever the available sample can detect, instead of what actually matters to the process. Agree the relevant difference first.</t>
  </si>
  <si>
    <t xml:space="preserve">•  Using an optimistic sigma from a hand-picked stable period. Power computed from it is fiction.</t>
  </si>
  <si>
    <t xml:space="preserve">•  Reducing alpha to 0.01 to look rigorous, without noticing that this cuts power sharply at the same sample size.</t>
  </si>
  <si>
    <t xml:space="preserve">Q1.  A study with 8 bottles per shift returns p = 0.35. Your manager concludes the shifts are identical. What is the flaw?</t>
  </si>
  <si>
    <t xml:space="preserve">A1.  The study almost certainly had very low power. With sigma at 1.1 ml and n = 8, only a difference of roughly 1.6 ml or more would be detected 80 per cent of the time. A 1.0 ml difference would be missed far more often than not, so the non-significant result is uninformative rather than reassuring.</t>
  </si>
  <si>
    <t xml:space="preserve">Q2.  Why is post-hoc power computed from the observed effect size meaningless?</t>
  </si>
  <si>
    <t xml:space="preserve">A2.  Because observed power is a direct mathematical function of the p-value: a non-significant result always yields low observed power. It adds no new information and cannot tell you whether the study was adequate. Power must be computed from the difference that matters practically, before collection.</t>
  </si>
  <si>
    <t xml:space="preserve">Q3.  Which error is usually more expensive on a high-speed packaging line, Type I or Type II?</t>
  </si>
  <si>
    <t xml:space="preserve">A3.  Usually Type II. A false alarm costs one wasted investigation. Missing a real shift in fill volume leaves the give-away or the under-fill risk in the process, on 18,000 bottles an hour, until somebody else finds it. Yet nearly every study is designed around alpha alone.</t>
  </si>
  <si>
    <t xml:space="preserve">E-20 — Sample Size Determination</t>
  </si>
  <si>
    <t xml:space="preserve">Phase: MEASURE   |   Data required: Alpha, power, delta, sigma   |   Min. sample: n/a   |   Complexity: 3/5   |   Typical output: Required n for four scenarios</t>
  </si>
  <si>
    <t xml:space="preserve">Before every data collection, and whenever a sample size is challenged.</t>
  </si>
  <si>
    <t xml:space="preserve">Required n for four scenarios, each with its own inputs and rounding.</t>
  </si>
  <si>
    <t xml:space="preserve">Sample size is not a matter of taste, and it is not thirty because thirty is traditional. It follows arithmetically from four decisions, three of which are commercial rather than statistical.</t>
  </si>
  <si>
    <t xml:space="preserve">How much false alarm risk will you accept (alpha)? How much risk of missing a real effect (beta)? How large is the effect that would actually change a decision (delta, or the margin of error E)? And how variable is the process (sigma)? Fix those four and n is determined.</t>
  </si>
  <si>
    <t xml:space="preserve">The relationship is quadratic and it is punishing. Halving the margin of error multiplies the sample by four.</t>
  </si>
  <si>
    <t xml:space="preserve">Detecting a difference half as large costs four times the data. This is why the discussion about what difference actually matters must happen before, not after, the collection plan is written.</t>
  </si>
  <si>
    <t xml:space="preserve">Two practical notes. Always round up, never down. And note where sigma comes from: use a recent, stable capability study, not a hand-picked good week, because an optimistic sigma silently undersizes the study.</t>
  </si>
  <si>
    <t xml:space="preserve">When sigma is genuinely unknown, the t-based scenario below iterates once from an initial normal estimate, which is accurate enough for planning purposes.</t>
  </si>
  <si>
    <t xml:space="preserve">✓  Writing the data collection plan on E-06.</t>
  </si>
  <si>
    <t xml:space="preserve">✗  Not applicable when the whole population is already measured, for example PLC stop counts.</t>
  </si>
  <si>
    <t xml:space="preserve">✓  Defending the cost of a measurement campaign to a manager.</t>
  </si>
  <si>
    <t xml:space="preserve">✗  Do not use the mean formulas for attribute data; use the proportion scenario.</t>
  </si>
  <si>
    <t xml:space="preserve">✓  Before an MSA study, a capability study or a comparison between shifts.</t>
  </si>
  <si>
    <t xml:space="preserve">✗  The two-mean scenario assumes equal group sizes and comparable variances.</t>
  </si>
  <si>
    <t xml:space="preserve">✓  When a supplier proposes an acceptance sampling plan.</t>
  </si>
  <si>
    <t xml:space="preserve">Sigma is a realistic and current estimate</t>
  </si>
  <si>
    <t xml:space="preserve">Take it from a recent stable control chart, with its interval from E-16</t>
  </si>
  <si>
    <t xml:space="preserve">Use the upper confidence limit of sigma to size conservatively</t>
  </si>
  <si>
    <t xml:space="preserve">The relevant effect size has been agreed</t>
  </si>
  <si>
    <t xml:space="preserve">Ask the process owner what difference would change a decision</t>
  </si>
  <si>
    <t xml:space="preserve">Do not proceed; a study sized against an arbitrary delta answers nobody's question</t>
  </si>
  <si>
    <t xml:space="preserve">Observations will be independent and representative</t>
  </si>
  <si>
    <t xml:space="preserve">Review the sampling scheme</t>
  </si>
  <si>
    <t xml:space="preserve">Correlated sampling inflates the effective n and the study is weaker than it appears</t>
  </si>
  <si>
    <t xml:space="preserve">Scenario 1 - estimating a mean, sigma known:</t>
  </si>
  <si>
    <t xml:space="preserve">   n = ( Z(1-alpha/2) * sigma / E )^2</t>
  </si>
  <si>
    <t xml:space="preserve">Scenario 2 - estimating a mean, sigma unknown (one iteration from scenario 1):</t>
  </si>
  <si>
    <t xml:space="preserve">   n0 = ( Z(1-alpha/2) * s / E )^2      then      n = ( t(alpha, n0-1) * s / E )^2</t>
  </si>
  <si>
    <t xml:space="preserve">Scenario 3 - estimating a proportion:</t>
  </si>
  <si>
    <t xml:space="preserve">   n = Z(1-alpha/2)^2 * p * (1 - p) / E^2        use p = 0.5 when p is unknown, which is the worst case</t>
  </si>
  <si>
    <t xml:space="preserve">Scenario 4 - comparing two means, n per group:</t>
  </si>
  <si>
    <t xml:space="preserve">   n = 2 * ( Z(1-alpha/2) + Z(power) )^2 * sigma^2 / delta^2</t>
  </si>
  <si>
    <t xml:space="preserve">In every case, round UP.</t>
  </si>
  <si>
    <t xml:space="preserve">NORMSINV(power)</t>
  </si>
  <si>
    <t xml:space="preserve">Z multiplier for the required power, used in scenario 4</t>
  </si>
  <si>
    <t xml:space="preserve">TINV(alpha, df)</t>
  </si>
  <si>
    <t xml:space="preserve">Two-tailed t multiplier for the second iteration of scenario 2</t>
  </si>
  <si>
    <t xml:space="preserve">Sample sizes are always rounded up to the next whole unit</t>
  </si>
  <si>
    <t xml:space="preserve">MAX(2, n)</t>
  </si>
  <si>
    <t xml:space="preserve">Guards against a degenerate result when the inputs are extreme</t>
  </si>
  <si>
    <t xml:space="preserve">Four planning questions from the same fill volume project, each answered in its own block.</t>
  </si>
  <si>
    <t xml:space="preserve">Change the yellow inputs of the block you need; the others are independent.</t>
  </si>
  <si>
    <t xml:space="preserve">SCENARIO 1 - ESTIMATE A MEAN, SIGMA KNOWN</t>
  </si>
  <si>
    <t xml:space="preserve">Known sigma (ml)</t>
  </si>
  <si>
    <t xml:space="preserve">Margin of error you will accept (ml)</t>
  </si>
  <si>
    <t xml:space="preserve">Required n</t>
  </si>
  <si>
    <t xml:space="preserve">SCENARIO 2 - ESTIMATE A MEAN, SIGMA UNKNOWN</t>
  </si>
  <si>
    <t xml:space="preserve">Estimated s from a pilot (ml)</t>
  </si>
  <si>
    <t xml:space="preserve">First pass n0 (normal)</t>
  </si>
  <si>
    <t xml:space="preserve">t multiplier at df = n0 - 1</t>
  </si>
  <si>
    <t xml:space="preserve">Required n (t corrected)</t>
  </si>
  <si>
    <t xml:space="preserve">SCENARIO 3 - ESTIMATE A PROPORTION</t>
  </si>
  <si>
    <t xml:space="preserve">Expected proportion defective</t>
  </si>
  <si>
    <t xml:space="preserve">Margin of error you will accept</t>
  </si>
  <si>
    <t xml:space="preserve">Worst case n (using p = 0.5)</t>
  </si>
  <si>
    <t xml:space="preserve">SCENARIO 4 - COMPARE TWO MEANS</t>
  </si>
  <si>
    <t xml:space="preserve">Required power</t>
  </si>
  <si>
    <t xml:space="preserve">Sigma (ml)</t>
  </si>
  <si>
    <t xml:space="preserve">Difference to detect  delta (ml)</t>
  </si>
  <si>
    <t xml:space="preserve">Required n PER GROUP</t>
  </si>
  <si>
    <t xml:space="preserve">Total sample across both groups</t>
  </si>
  <si>
    <t xml:space="preserve">Halving the margin of error</t>
  </si>
  <si>
    <t xml:space="preserve">n multiplies by 4</t>
  </si>
  <si>
    <t xml:space="preserve">Precision is quadratically expensive</t>
  </si>
  <si>
    <t xml:space="preserve">Attribute versus continuous</t>
  </si>
  <si>
    <t xml:space="preserve">Often 100x more units</t>
  </si>
  <si>
    <t xml:space="preserve">The strongest argument for measuring variables</t>
  </si>
  <si>
    <t xml:space="preserve">Unknown proportion</t>
  </si>
  <si>
    <t xml:space="preserve">Use p = 0.5</t>
  </si>
  <si>
    <t xml:space="preserve">The most conservative value; it maximises p(1-p)</t>
  </si>
  <si>
    <t xml:space="preserve">Rounding</t>
  </si>
  <si>
    <t xml:space="preserve">Always up</t>
  </si>
  <si>
    <t xml:space="preserve">Rounding down silently reduces confidence or power</t>
  </si>
  <si>
    <t xml:space="preserve">•  Choosing thirty because thirty is traditional. Thirty is the answer to a specific question, not to yours.</t>
  </si>
  <si>
    <t xml:space="preserve">•  Sizing a study against an effect the process owner does not care about.</t>
  </si>
  <si>
    <t xml:space="preserve">•  Using sigma from a hand-picked good period. The study will be undersized when it matters.</t>
  </si>
  <si>
    <t xml:space="preserve">•  Applying the mean formula to attribute data, which needs vastly more units.</t>
  </si>
  <si>
    <t xml:space="preserve">•  Forgetting that scenario 4 gives n PER GROUP, so the total collection effort is double.</t>
  </si>
  <si>
    <t xml:space="preserve">Q1.  Why does halving the margin of error quadruple the sample size?</t>
  </si>
  <si>
    <t xml:space="preserve">A1.  The margin of error is proportional to sigma divided by the square root of n. To halve it you must double the square root of n, which means multiplying n itself by four. The relationship is quadratic, so precision becomes expensive very quickly.</t>
  </si>
  <si>
    <t xml:space="preserve">Q2.  You need to estimate a defect rate of about 1.5 per cent to within half a percentage point. Roughly how many bottles must you inspect?</t>
  </si>
  <si>
    <t xml:space="preserve">A2.  About 2,300. With Z = 1.96, p = 0.015 and E = 0.005 the formula gives 1.96 squared times 0.015 times 0.985 divided by 0.005 squared. This is exactly why attribute data is so much more expensive than continuous data, and why measuring fill volume beats counting rejects.</t>
  </si>
  <si>
    <t xml:space="preserve">Q3.  Scenario 4 returns n = 20. How many bottles must you actually collect?</t>
  </si>
  <si>
    <t xml:space="preserve">A3.  Forty: twenty from each group. The two-mean formula always returns the size per group, and forgetting that halves the real power of the study.</t>
  </si>
  <si>
    <t xml:space="preserve">Universal calculator</t>
  </si>
  <si>
    <t xml:space="preserve">U-06  Universal Sample Size Calculator</t>
  </si>
  <si>
    <t xml:space="preserve">E-21 — Statistical vs Practical Significance</t>
  </si>
  <si>
    <t xml:space="preserve">Phase: ANALYZE   |   Data required: Test result and cost data   |   Min. sample: n/a   |   Complexity: 2/5   |   Typical output: Effect size and business relevance verdict</t>
  </si>
  <si>
    <t xml:space="preserve">The result is significant - but is the difference actually worth acting on?</t>
  </si>
  <si>
    <t xml:space="preserve">After every significant test, before any project or capital request is raised.</t>
  </si>
  <si>
    <t xml:space="preserve">Effect size, the annual value of the difference, and a combined verdict.</t>
  </si>
  <si>
    <t xml:space="preserve">Statistical significance answers one question: is this difference larger than chance alone would produce?</t>
  </si>
  <si>
    <t xml:space="preserve">Practical significance answers a completely different one: is it large enough to be worth doing something about?</t>
  </si>
  <si>
    <t xml:space="preserve">The two come apart in both directions, and both failures are expensive.</t>
  </si>
  <si>
    <t xml:space="preserve">With a very large sample, a trivial difference becomes statistically significant. Measure 2,000 bottles per shift and a 0.4 ml gap - well below what any customer, inspector or gauge could notice - returns p &lt; 0.001.</t>
  </si>
  <si>
    <t xml:space="preserve">Acting on it means a project, a capital request and management attention spent on nothing.</t>
  </si>
  <si>
    <t xml:space="preserve">With a very small sample, a large and commercially important difference fails to reach significance. The study is filed as 'no difference found' and the problem stays in the process. This is the more damaging failure, and it is invisible unless somebody computes the power on E-19.</t>
  </si>
  <si>
    <t xml:space="preserve">The discipline is simple. Before the test, agree the minimum difference that would actually change a decision.</t>
  </si>
  <si>
    <t xml:space="preserve">After the test, compare the observed difference with that threshold FIRST, and only then look at the p-value.</t>
  </si>
  <si>
    <t xml:space="preserve">✓  After every significant hypothesis test, before proposing any action.</t>
  </si>
  <si>
    <t xml:space="preserve">✗  Not a replacement for the statistical test; it is the second half of the same conclusion.</t>
  </si>
  <si>
    <t xml:space="preserve">✓  When justifying or refusing a project on the basis of a statistical finding.</t>
  </si>
  <si>
    <t xml:space="preserve">✗  The financial estimate is only as good as the unit cost you enter.</t>
  </si>
  <si>
    <t xml:space="preserve">✓  When a very large data set produces significance on everything tested.</t>
  </si>
  <si>
    <t xml:space="preserve">✗  Do not use it to explain away a result you dislike; set the threshold before the test.</t>
  </si>
  <si>
    <t xml:space="preserve">✓  When translating a difference in millilitres into currency for a business case.</t>
  </si>
  <si>
    <t xml:space="preserve">The minimum relevant difference was agreed in advance</t>
  </si>
  <si>
    <t xml:space="preserve">Check the project charter or the data collection plan</t>
  </si>
  <si>
    <t xml:space="preserve">Agree it now with the process owner, and note that it was set after the fact</t>
  </si>
  <si>
    <t xml:space="preserve">The measurement system can resolve the difference</t>
  </si>
  <si>
    <t xml:space="preserve">Compare the difference with the gauge repeatability from E-59</t>
  </si>
  <si>
    <t xml:space="preserve">A difference smaller than the gauge noise cannot be managed even if it is real</t>
  </si>
  <si>
    <t xml:space="preserve">The financial inputs are current and agreed with Finance</t>
  </si>
  <si>
    <t xml:space="preserve">Have the unit cost signed off before it appears in a business case</t>
  </si>
  <si>
    <t xml:space="preserve">Present the physical difference only, and leave the currency to Finance</t>
  </si>
  <si>
    <t xml:space="preserve">Effect size - Cohen's d, the difference expressed in standard deviations:</t>
  </si>
  <si>
    <t xml:space="preserve">   d = (xbar1 - xbar2) / s_pooled</t>
  </si>
  <si>
    <t xml:space="preserve">   0.2 small     0.5 medium     0.8 large</t>
  </si>
  <si>
    <t xml:space="preserve">Two-sample t statistic with equal group sizes:</t>
  </si>
  <si>
    <t xml:space="preserve">   t = (xbar1 - xbar2) / ( s * SQRT(2/n) )        df = 2n - 2</t>
  </si>
  <si>
    <t xml:space="preserve">Annual value of a fill volume difference:</t>
  </si>
  <si>
    <t xml:space="preserve">bottles per year = line speed * hours per day * operating days litres given away = bottles per year * difference in ml / 1000 annual cost = litres * cost per litre</t>
  </si>
  <si>
    <t xml:space="preserve">The combined decision:</t>
  </si>
  <si>
    <t xml:space="preserve">significant AND above the relevant threshold  -&gt;  act significant AND below the threshold           -&gt;  do nothing, and say why</t>
  </si>
  <si>
    <t xml:space="preserve">TDIST(ABS(t), df, 2)</t>
  </si>
  <si>
    <t xml:space="preserve">Two-tailed p-value from the t statistic</t>
  </si>
  <si>
    <t xml:space="preserve">Compares the magnitude of the difference against the threshold</t>
  </si>
  <si>
    <t xml:space="preserve">AND(p &lt; alpha, difference &gt;= threshold)</t>
  </si>
  <si>
    <t xml:space="preserve">The two conditions that must both hold before acting</t>
  </si>
  <si>
    <t xml:space="preserve">TEXT(value, "#,##0")</t>
  </si>
  <si>
    <t xml:space="preserve">Formats the annual cost inside the verdict string</t>
  </si>
  <si>
    <t xml:space="preserve">Nested IF</t>
  </si>
  <si>
    <t xml:space="preserve">Produces the four-way verdict from the two conditions</t>
  </si>
  <si>
    <t xml:space="preserve">A large study compared shift A with shift C on the 500 ml SKU: 2,000 bottles from each shift.</t>
  </si>
  <si>
    <t xml:space="preserve">Shift A averaged 500.40 ml and shift C 500.00 ml, with a pooled standard deviation of 1.10 ml.</t>
  </si>
  <si>
    <t xml:space="preserve">The result is overwhelmingly significant. The question is whether it is worth a project.</t>
  </si>
  <si>
    <t xml:space="preserve">Mean of group 1 (ml)</t>
  </si>
  <si>
    <t xml:space="preserve">Mean of group 2 (ml)</t>
  </si>
  <si>
    <t xml:space="preserve">Pooled standard deviation (ml)</t>
  </si>
  <si>
    <t xml:space="preserve">Minimum relevant difference (ml)</t>
  </si>
  <si>
    <t xml:space="preserve">t statistic</t>
  </si>
  <si>
    <t xml:space="preserve">p-value (two-tailed)</t>
  </si>
  <si>
    <t xml:space="preserve">Cohen's d (effect size)</t>
  </si>
  <si>
    <t xml:space="preserve">Effect size class</t>
  </si>
  <si>
    <t xml:space="preserve">Difference as a fraction of the relevant threshold</t>
  </si>
  <si>
    <t xml:space="preserve">WHAT IS IT WORTH? - CONVERT THE DIFFERENCE INTO CURRENCY</t>
  </si>
  <si>
    <t xml:space="preserve">Operating hours per day</t>
  </si>
  <si>
    <t xml:space="preserve">Operating days per year</t>
  </si>
  <si>
    <t xml:space="preserve">Cost per litre of product</t>
  </si>
  <si>
    <t xml:space="preserve">Bottles per year</t>
  </si>
  <si>
    <t xml:space="preserve">Litres affected per year</t>
  </si>
  <si>
    <t xml:space="preserve">Annual value of the difference</t>
  </si>
  <si>
    <t xml:space="preserve">Annual value of the relevant threshold</t>
  </si>
  <si>
    <t xml:space="preserve">Significant and material</t>
  </si>
  <si>
    <t xml:space="preserve">p &lt; alpha and |diff| &gt;= threshold</t>
  </si>
  <si>
    <t xml:space="preserve">Act. This is the only cell that justifies a project.</t>
  </si>
  <si>
    <t xml:space="preserve">Significant, not material</t>
  </si>
  <si>
    <t xml:space="preserve">p &lt; alpha and |diff| &lt; threshold</t>
  </si>
  <si>
    <t xml:space="preserve">Do nothing. Large samples find everything.</t>
  </si>
  <si>
    <t xml:space="preserve">Material, not significant</t>
  </si>
  <si>
    <t xml:space="preserve">p &gt;= alpha and |diff| &gt;= threshold</t>
  </si>
  <si>
    <t xml:space="preserve">Collect more data; do not dismiss it.</t>
  </si>
  <si>
    <t xml:space="preserve">Cohen's d</t>
  </si>
  <si>
    <t xml:space="preserve">0.2 small, 0.5 medium, 0.8 large</t>
  </si>
  <si>
    <t xml:space="preserve">Effect size is independent of the sample size</t>
  </si>
  <si>
    <t xml:space="preserve">•  Raising a project because p &lt; 0.001, without ever asking how large the difference actually is.</t>
  </si>
  <si>
    <t xml:space="preserve">•  Setting the minimum relevant difference AFTER seeing the result, so that whatever was found becomes relevant. Agree it in the charter.</t>
  </si>
  <si>
    <t xml:space="preserve">•  Chasing a difference smaller than the repeatability of your own gauge. You cannot control what you cannot measure; check E-59 first.</t>
  </si>
  <si>
    <t xml:space="preserve">•  Dismissing a commercially large difference because p = 0.09 in an underpowered study.</t>
  </si>
  <si>
    <t xml:space="preserve">•  Putting a currency figure in a business case without Finance agreeing the unit cost first.</t>
  </si>
  <si>
    <t xml:space="preserve">Q1.  With 2,000 bottles per group, a 0.4 ml difference returns p &lt; 0.001. Should you launch a project?</t>
  </si>
  <si>
    <t xml:space="preserve">A1.  Only if 0.4 ml matters. Cohen's d is about 0.36, a small effect, and 0.4 ml is well below the 1.0 ml agreed as relevant. The correct action is to record the finding, note that it is real but immaterial, and spend the improvement capacity elsewhere. The sheet still shows its annual value so the decision is made with the number in view, not against it.</t>
  </si>
  <si>
    <t xml:space="preserve">Q2.  Why do very large samples make almost everything statistically significant?</t>
  </si>
  <si>
    <t xml:space="preserve">A2.  The test statistic grows with the square root of the sample size, so as n increases the standard error shrinks and any non-zero difference eventually crosses the critical value. Significance then reports only that the difference is not exactly zero, which is rarely a useful thing to know.</t>
  </si>
  <si>
    <t xml:space="preserve">Q3.  Your study finds a commercially important 1.5 ml difference but p = 0.09. What should you do?</t>
  </si>
  <si>
    <t xml:space="preserve">A3.  Not dismiss it. A material difference that fails to reach significance usually means the study was underpowered. Compute the power on E-19, size a proper study on E-20, and collect enough data to settle the question rather than filing it as no difference found.</t>
  </si>
  <si>
    <t xml:space="preserve">If the result was not significant</t>
  </si>
  <si>
    <t xml:space="preserve">E-22 — Hypothesis Test Selection Roadmap</t>
  </si>
  <si>
    <t xml:space="preserve">Phase: ANALYZE   |   Data required: Data types and design   |   Min. sample: n/a   |   Complexity: 2/5   |   Typical output: Routed test recommendation</t>
  </si>
  <si>
    <t xml:space="preserve">Which statistical test do I run, step by step?</t>
  </si>
  <si>
    <t xml:space="preserve">Before opening any test sheet. This is a routing sheet, not a calculator.</t>
  </si>
  <si>
    <t xml:space="preserve">The name of the correct test and a hyperlink to the sheet that runs it.</t>
  </si>
  <si>
    <t xml:space="preserve">Choosing a test is a sequence of six questions, and the order matters. Answer them in the wrong order and you will run a valid test on the wrong question.</t>
  </si>
  <si>
    <t xml:space="preserve">First, what type is the Y - the output you care about? Continuous, binary, a count or ordinal.</t>
  </si>
  <si>
    <t xml:space="preserve">Second, what is the X? Nothing at all (comparing with a target), two groups, three or more groups, or a continuous variable.</t>
  </si>
  <si>
    <t xml:space="preserve">Third, are the observations paired? Pairing is a design decision made before collection, not an option discovered afterwards, and it changes both the test and the power dramatically.</t>
  </si>
  <si>
    <t xml:space="preserve">Fourth, is the data approximately normal? Fifth, are the variances comparable? Sixth, is the sample large enough to have found anything at all?</t>
  </si>
  <si>
    <t xml:space="preserve">Questions four and five decide between the parametric test and its nonparametric alternative. Question six decides whether a non-significant result carries any information, and it is the one everyone forgets.</t>
  </si>
  <si>
    <t xml:space="preserve">✓  Before every hypothesis test in blocks E-23 to E-31.</t>
  </si>
  <si>
    <t xml:space="preserve">✗  It computes nothing. It routes.</t>
  </si>
  <si>
    <t xml:space="preserve">✓  When reviewing an analysis whose test choice was never justified.</t>
  </si>
  <si>
    <t xml:space="preserve">✗  It does not check your assumptions for you: run E-32 and E-28 first.</t>
  </si>
  <si>
    <t xml:space="preserve">✓  When the data type changed after the collection plan was written.</t>
  </si>
  <si>
    <t xml:space="preserve">✗  It cannot rescue a study with no relevant sample size; check E-19.</t>
  </si>
  <si>
    <t xml:space="preserve">✓  As a teaching aid with Green Belts.</t>
  </si>
  <si>
    <t xml:space="preserve">The Y and the X have been correctly identified</t>
  </si>
  <si>
    <t xml:space="preserve">State the question in one sentence: does X change Y?</t>
  </si>
  <si>
    <t xml:space="preserve">Rewrite the question until the roles are unambiguous</t>
  </si>
  <si>
    <t xml:space="preserve">Normality has been checked, not assumed</t>
  </si>
  <si>
    <t xml:space="preserve">Probability plot and Anderson-Darling on E-32</t>
  </si>
  <si>
    <t xml:space="preserve">Route to the nonparametric branch, or transform on E-33</t>
  </si>
  <si>
    <t xml:space="preserve">Equality of variance has been checked</t>
  </si>
  <si>
    <t xml:space="preserve">Levene test on E-28</t>
  </si>
  <si>
    <t xml:space="preserve">Use Welch on E-24, which does not require equal variances</t>
  </si>
  <si>
    <t xml:space="preserve">No formula. The decision ladder, in order:</t>
  </si>
  <si>
    <t xml:space="preserve">   1. Type of Y            continuous / binary / count / ordinal</t>
  </si>
  <si>
    <t xml:space="preserve">   2. Type of X            none (target) / two groups / three or more / continuous</t>
  </si>
  <si>
    <t xml:space="preserve">   3. Paired?              same unit measured twice, or matched pairs</t>
  </si>
  <si>
    <t xml:space="preserve">   4. Normal?              E-32</t>
  </si>
  <si>
    <t xml:space="preserve">   5. Equal variances?     E-28</t>
  </si>
  <si>
    <t xml:space="preserve">   6. Adequate power?      E-19</t>
  </si>
  <si>
    <t xml:space="preserve">The rule that saves the most projects:</t>
  </si>
  <si>
    <t xml:space="preserve">   with three or more groups, never run repeated two-sample t-tests.</t>
  </si>
  <si>
    <t xml:space="preserve">   Ten pairwise tests at alpha 0.05 carry a 40 per cent chance of at least one false positive.</t>
  </si>
  <si>
    <t xml:space="preserve">Implements the routing ladder as a single expression</t>
  </si>
  <si>
    <t xml:space="preserve">Combines the pairing and variance conditions</t>
  </si>
  <si>
    <t xml:space="preserve">"text " &amp; cell</t>
  </si>
  <si>
    <t xml:space="preserve">Assembles the recommendation and the reason</t>
  </si>
  <si>
    <t xml:space="preserve">Answer the six questions in the yellow cells. The recommendation, the reason and the two checks you must run first all update as you change them.</t>
  </si>
  <si>
    <t xml:space="preserve">1. Type of Y (the output you measure)</t>
  </si>
  <si>
    <t xml:space="preserve">continuous</t>
  </si>
  <si>
    <t xml:space="preserve">2. Type of X (what you think changes it)</t>
  </si>
  <si>
    <t xml:space="preserve">two groups</t>
  </si>
  <si>
    <t xml:space="preserve">3. Are the observations paired?</t>
  </si>
  <si>
    <t xml:space="preserve">4. Is the data approximately normal?  (E-32)</t>
  </si>
  <si>
    <t xml:space="preserve">5. Are the variances comparable?  (E-28)</t>
  </si>
  <si>
    <t xml:space="preserve">RECOMMENDED TEST</t>
  </si>
  <si>
    <t xml:space="preserve">Why this one</t>
  </si>
  <si>
    <t xml:space="preserve">Run these BEFORE the test</t>
  </si>
  <si>
    <t xml:space="preserve">Run these AFTER the test</t>
  </si>
  <si>
    <t xml:space="preserve">THE DECISION LADDER IN FULL</t>
  </si>
  <si>
    <t xml:space="preserve">STEP 1 - What type is your Y?</t>
  </si>
  <si>
    <t xml:space="preserve">Continuous (fill volume, torque, PU, thickness)  -&gt;  continue to step 2 Binary (pass / fail, leaking / sound)            -&gt;  E-29, or E-30 for several groups Count (micro-stops, label defects)               -&gt;  E-11, or E-30 for a count table Ordinal (panel score, severity rank)             -&gt;  E-31 throughout</t>
  </si>
  <si>
    <t xml:space="preserve">STEP 2 - What is your X?</t>
  </si>
  <si>
    <t xml:space="preserve">Nothing: you are comparing with a target         -&gt;  E-23 Two groups                                       -&gt;  step 3 Three or more groups                             -&gt;  E-26, never repeated t-tests A continuous variable                            -&gt;  E-34, then E-36</t>
  </si>
  <si>
    <t xml:space="preserve">STEP 3 - Are the observations paired?</t>
  </si>
  <si>
    <t xml:space="preserve">Yes: same bottle, same valve, same keg, before and after  -&gt;  E-25 No: independent units                                     -&gt;  step 4</t>
  </si>
  <si>
    <t xml:space="preserve">STEP 4 - Is the data approximately normal?  Test it on E-32.</t>
  </si>
  <si>
    <t xml:space="preserve">Yes  -&gt;  step 5</t>
  </si>
  <si>
    <t xml:space="preserve">No   -&gt;  transform on E-33, or go straight to E-31</t>
  </si>
  <si>
    <t xml:space="preserve">STEP 5 - Are the variances comparable?  Test it on E-28.</t>
  </si>
  <si>
    <t xml:space="preserve">Yes  -&gt;  pooled t-test on E-24</t>
  </si>
  <si>
    <t xml:space="preserve">No   -&gt;  Welch t-test on E-24. Welch is the modern default even when variances look equal.</t>
  </si>
  <si>
    <t xml:space="preserve">STEP 6 - After the test, two questions remain.</t>
  </si>
  <si>
    <t xml:space="preserve">Significant?    -&gt;  is it material?  E-21</t>
  </si>
  <si>
    <t xml:space="preserve">Not significant? -&gt;  could the study have found anything?  E-19</t>
  </si>
  <si>
    <t xml:space="preserve">DIRECT LINKS</t>
  </si>
  <si>
    <t xml:space="preserve">Situation</t>
  </si>
  <si>
    <t xml:space="preserve">Nonparametric alternative</t>
  </si>
  <si>
    <t xml:space="preserve">Two paired measurements</t>
  </si>
  <si>
    <t xml:space="preserve">E-25  Paired t-Test</t>
  </si>
  <si>
    <t xml:space="preserve">Three or more groups</t>
  </si>
  <si>
    <t xml:space="preserve">Two factors at once</t>
  </si>
  <si>
    <t xml:space="preserve">E-27  Two-Way ANOVA and Interactions</t>
  </si>
  <si>
    <t xml:space="preserve">Comparing variability</t>
  </si>
  <si>
    <t xml:space="preserve">Proportions</t>
  </si>
  <si>
    <t xml:space="preserve">Categorical association</t>
  </si>
  <si>
    <t xml:space="preserve">Two continuous variables</t>
  </si>
  <si>
    <t xml:space="preserve">E-34  Scatter Plots and Correlation</t>
  </si>
  <si>
    <t xml:space="preserve">ANOVA, not repeated t-tests</t>
  </si>
  <si>
    <t xml:space="preserve">Ten pairwise tests give a 40% family-wise error rate</t>
  </si>
  <si>
    <t xml:space="preserve">Unequal variances</t>
  </si>
  <si>
    <t xml:space="preserve">Welch</t>
  </si>
  <si>
    <t xml:space="preserve">Welch costs almost nothing when variances are equal and saves you when they are not</t>
  </si>
  <si>
    <t xml:space="preserve">Paired design</t>
  </si>
  <si>
    <t xml:space="preserve">Paired t-test</t>
  </si>
  <si>
    <t xml:space="preserve">Ignoring the pairing throws away the reason you paired</t>
  </si>
  <si>
    <t xml:space="preserve">Non-normal</t>
  </si>
  <si>
    <t xml:space="preserve">Nonparametric or transform</t>
  </si>
  <si>
    <t xml:space="preserve">Both are legitimate; state which you used</t>
  </si>
  <si>
    <t xml:space="preserve">•  Running the test first and choosing the hypothesis afterwards.</t>
  </si>
  <si>
    <t xml:space="preserve">•  Treating a paired design as two independent samples, which discards most of the power.</t>
  </si>
  <si>
    <t xml:space="preserve">•  Repeated two-sample t-tests instead of ANOVA when there are four shifts.</t>
  </si>
  <si>
    <t xml:space="preserve">•  Assuming normality because the sample is small and 'you cannot test it anyway'. You can: E-32.</t>
  </si>
  <si>
    <t xml:space="preserve">•  Choosing the pooled t-test because it appears first in the menu.</t>
  </si>
  <si>
    <t xml:space="preserve">Q1.  You have four shifts and want to know whether fill volume differs. Why not run six t-tests?</t>
  </si>
  <si>
    <t xml:space="preserve">A1.  Because each test carries a 5 per cent false alarm risk, and six of them give roughly a 26 per cent chance of at least one false positive. One-way ANOVA on E-26 tests all four simultaneously at a controlled alpha, and Tukey HSD then identifies which pairs differ while holding the family-wise rate.</t>
  </si>
  <si>
    <t xml:space="preserve">Q2.  Why is Welch recommended even when the variances look equal?</t>
  </si>
  <si>
    <t xml:space="preserve">A2.  Because when variances are genuinely equal, Welch loses almost no power compared with the pooled test, but when they are not equal, the pooled test gives badly wrong p-values. The asymmetry of the risk makes Welch the sensible default.</t>
  </si>
  <si>
    <t xml:space="preserve">Q3.  Your data is ordinal - a taste panel score from 1 to 5 - across three shifts. Which test?</t>
  </si>
  <si>
    <t xml:space="preserve">A3.  Kruskal-Wallis on E-31. Ordinal data has order but not equal intervals, so means and ANOVA are not appropriate; the ranks carry all the usable information.</t>
  </si>
  <si>
    <t xml:space="preserve">Check assumptions first</t>
  </si>
  <si>
    <t xml:space="preserve">E-23 — One-Sample t-Test</t>
  </si>
  <si>
    <t xml:space="preserve">Phase: ANALYZE   |   Data required: Continuous sample and target   |   Min. sample: 10   |   Complexity: 2/5   |   Typical output: t, p-value, CI and verdict</t>
  </si>
  <si>
    <t xml:space="preserve">Is my process mean genuinely different from the target?</t>
  </si>
  <si>
    <t xml:space="preserve">One sample of continuous measurements compared with a specification or a nominal value.</t>
  </si>
  <si>
    <t xml:space="preserve">A t statistic, a p-value, a confidence interval and a verdict.</t>
  </si>
  <si>
    <t xml:space="preserve">The one-sample t-test asks a single question: is the gap between my sample mean and the target larger than sampling noise alone would produce?</t>
  </si>
  <si>
    <t xml:space="preserve">It works by expressing that gap in standard errors. A gap of 0.6 ml means nothing on its own; a gap of 0.6 ml when the standard error is 0.2 ml is three standard errors, and that is a different statement.</t>
  </si>
  <si>
    <t xml:space="preserve">The t statistic is exactly that ratio: how many standard errors separate the observed mean from the target.</t>
  </si>
  <si>
    <t xml:space="preserve">The reason it is a t and not a Z is that sigma is estimated from the same small sample, which adds uncertainty and forces the heavier-tailed t distribution described on E-09.</t>
  </si>
  <si>
    <t xml:space="preserve">This test and the confidence interval on E-15 are the same statement in two languages. If the 95 per cent interval excludes the target, the test is significant at alpha 0.05, always. Report the interval as well as the p-value: the interval tells the reader how big the offset is, which the p-value never does.</t>
  </si>
  <si>
    <t xml:space="preserve">✓  Comparing a process mean with a nominal or contractual target.</t>
  </si>
  <si>
    <t xml:space="preserve">✗  Not for comparing two groups: use E-24 or E-25.</t>
  </si>
  <si>
    <t xml:space="preserve">✓  Verifying that a setpoint change actually moved the mean where you intended.</t>
  </si>
  <si>
    <t xml:space="preserve">✗  Not for proportions or counts: use E-29 or E-11.</t>
  </si>
  <si>
    <t xml:space="preserve">✓  Checking a supplier's declared value against your incoming measurements.</t>
  </si>
  <si>
    <t xml:space="preserve">✗  Not valid on an unstable process; there is no single mean to test.</t>
  </si>
  <si>
    <t xml:space="preserve">✓  Any single continuous sample with a reference value to beat.</t>
  </si>
  <si>
    <t xml:space="preserve">The data is approximately normal, or n is above about 30</t>
  </si>
  <si>
    <t xml:space="preserve">Use the Wilcoxon signed rank test on E-31, or transform on E-33</t>
  </si>
  <si>
    <t xml:space="preserve">Check that units are not all from the same valve or the same minute</t>
  </si>
  <si>
    <t xml:space="preserve">Redesign the sampling on E-05</t>
  </si>
  <si>
    <t xml:space="preserve">The process was stable during collection</t>
  </si>
  <si>
    <t xml:space="preserve">Control chart the sample in time order</t>
  </si>
  <si>
    <t xml:space="preserve">Split the data at the shift, or stabilise before testing</t>
  </si>
  <si>
    <t xml:space="preserve">Test statistic:</t>
  </si>
  <si>
    <t xml:space="preserve">   t = (xbar - mu0) / (s / SQRT(n))            df = n - 1</t>
  </si>
  <si>
    <t xml:space="preserve">p-value:</t>
  </si>
  <si>
    <t xml:space="preserve">   two-tailed  p = TDIST(ABS(t), n-1, 2)</t>
  </si>
  <si>
    <t xml:space="preserve">   one-tailed  p = TDIST(ABS(t), n-1, 1)</t>
  </si>
  <si>
    <t xml:space="preserve">Confidence interval on the mean:</t>
  </si>
  <si>
    <t xml:space="preserve">   xbar  +/-  TINV(1 - confidence, n-1) * s / SQRT(n)</t>
  </si>
  <si>
    <t xml:space="preserve">Effect size (Cohen's d for one sample):</t>
  </si>
  <si>
    <t xml:space="preserve">   d = (xbar - mu0) / s</t>
  </si>
  <si>
    <t xml:space="preserve">The three quantities the test consumes</t>
  </si>
  <si>
    <t xml:space="preserve">TDIST(ABS(t), df, tails)</t>
  </si>
  <si>
    <t xml:space="preserve">Requires a positive t, so wrap it in ABS</t>
  </si>
  <si>
    <t xml:space="preserve">TWO-tailed critical value; use TINV(2*alpha, df) for one tail</t>
  </si>
  <si>
    <t xml:space="preserve">Removes the sign before the tail lookup</t>
  </si>
  <si>
    <t xml:space="preserve">IF / AND</t>
  </si>
  <si>
    <t xml:space="preserve">Turns the p-value into a decision</t>
  </si>
  <si>
    <t xml:space="preserve">Twenty bottles from the 500 ml SKU taken across one shift. The nominal target is 500.0 ml.</t>
  </si>
  <si>
    <t xml:space="preserve">Is the filler genuinely running above target, or is this sampling noise?</t>
  </si>
  <si>
    <t xml:space="preserve">Target value  mu0 (ml)</t>
  </si>
  <si>
    <t xml:space="preserve">Confidence level for the interval</t>
  </si>
  <si>
    <t xml:space="preserve">Critical t</t>
  </si>
  <si>
    <t xml:space="preserve">p &lt; alpha</t>
  </si>
  <si>
    <t xml:space="preserve">Reject H0: the mean differs from the target</t>
  </si>
  <si>
    <t xml:space="preserve">Confidence interval</t>
  </si>
  <si>
    <t xml:space="preserve">Excludes the target</t>
  </si>
  <si>
    <t xml:space="preserve">Always agrees with the p-value at the same alpha</t>
  </si>
  <si>
    <t xml:space="preserve">Effect size, independent of the sample size</t>
  </si>
  <si>
    <t xml:space="preserve">Not significant</t>
  </si>
  <si>
    <t xml:space="preserve">Check power on E-19</t>
  </si>
  <si>
    <t xml:space="preserve">A non-significant result from a small sample means nothing</t>
  </si>
  <si>
    <t xml:space="preserve">•  Reporting the p-value without the confidence interval. The interval is what tells the reader how big the offset is, which is the only thing that drives a decision.</t>
  </si>
  <si>
    <t xml:space="preserve">•  Using the standard deviation instead of the standard error in the denominator of t.</t>
  </si>
  <si>
    <t xml:space="preserve">•  Choosing a one-tailed test after seeing the direction of the offset.</t>
  </si>
  <si>
    <t xml:space="preserve">•  Testing a mean from a process that is not stable. Chart it first on E-49.</t>
  </si>
  <si>
    <t xml:space="preserve">•  Concluding the process is on target because p = 0.4 from twelve bottles.</t>
  </si>
  <si>
    <t xml:space="preserve">Q1.  Why is a t distribution used rather than the normal, when the sample mean is normally distributed?</t>
  </si>
  <si>
    <t xml:space="preserve">A1.  Because sigma is not known: it is estimated by s from the same sample. That extra source of uncertainty makes extreme values of the statistic more likely than the normal distribution predicts, which is exactly what the heavier tails of the t distribution account for.</t>
  </si>
  <si>
    <t xml:space="preserve">Q2.  The 95% confidence interval is 500.21 to 501.09 and the target is 500.0. What will the p-value be?</t>
  </si>
  <si>
    <t xml:space="preserve">A2.  Below 0.05. The interval excludes the target, and a two-sided interval excluding the reference value is mathematically equivalent to a significant two-tailed test at the same alpha. The two statements can never disagree.</t>
  </si>
  <si>
    <t xml:space="preserve">Q3.  Your test gives p = 0.31 with n = 8. Can you report that the filler is on target?</t>
  </si>
  <si>
    <t xml:space="preserve">A3.  No. With eight bottles the study has very low power, so a non-significant result was likely whether or not an offset exists. Compute on E-19 the smallest offset the study could have detected, and report that limit rather than claiming the process is on target.</t>
  </si>
  <si>
    <t xml:space="preserve">E-24 — Two-Sample t-Test (Welch and Pooled)</t>
  </si>
  <si>
    <t xml:space="preserve">Phase: ANALYZE   |   Data required: Two independent samples   |   Min. sample: 10   |   Complexity: 3/5   |   Typical output: Welch and pooled t, p-value, CI</t>
  </si>
  <si>
    <t xml:space="preserve">Do these two shifts, machines or suppliers differ in their mean?</t>
  </si>
  <si>
    <t xml:space="preserve">Two independent samples of continuous data, unpaired.</t>
  </si>
  <si>
    <t xml:space="preserve">Welch and pooled results side by side, with the confidence interval on the difference.</t>
  </si>
  <si>
    <t xml:space="preserve">The two-sample t-test compares two independent group means. The whole test reduces to one ratio:</t>
  </si>
  <si>
    <t xml:space="preserve">the observed difference between the means, divided by the uncertainty in that difference.</t>
  </si>
  <si>
    <t xml:space="preserve">There are two versions, and choosing between them is the only real decision on this sheet.</t>
  </si>
  <si>
    <t xml:space="preserve">The POOLED test assumes both groups share the same population variance and combines them into one estimate.</t>
  </si>
  <si>
    <t xml:space="preserve">It is slightly more powerful when that assumption is true, and it gives materially wrong p-values when it is not, especially if the group sizes also differ.</t>
  </si>
  <si>
    <t xml:space="preserve">The WELCH test makes no such assumption. It estimates each variance separately and adjusts the degrees of freedom downwards using the Satterthwaite approximation, which is why Welch degrees of freedom are usually fractional - 21.7 rather than 25.</t>
  </si>
  <si>
    <t xml:space="preserve">Welch is the modern default, and it is what this sheet recommends. When variances really are equal it loses almost nothing; when they are not, it is the only one of the two that is correct. The pooled result is shown beside it so you can see how much the choice actually matters on your data.</t>
  </si>
  <si>
    <t xml:space="preserve">✓  Comparing two shifts, two machines, two cavities or two suppliers.</t>
  </si>
  <si>
    <t xml:space="preserve">✗  Not when the same units were measured twice: that is paired, use E-25.</t>
  </si>
  <si>
    <t xml:space="preserve">✓  Before and after a change, when different units were measured each time.</t>
  </si>
  <si>
    <t xml:space="preserve">✗  Not for three or more groups: use ANOVA on E-26.</t>
  </si>
  <si>
    <t xml:space="preserve">✓  Any two independent groups of continuous measurements.</t>
  </si>
  <si>
    <t xml:space="preserve">✗  Not for proportions or counts.</t>
  </si>
  <si>
    <t xml:space="preserve">Both samples are approximately normal</t>
  </si>
  <si>
    <t xml:space="preserve">Probability plot each group separately on E-32</t>
  </si>
  <si>
    <t xml:space="preserve">Use Mann-Whitney on E-31, or transform both groups on E-33</t>
  </si>
  <si>
    <t xml:space="preserve">Variances are comparable (pooled version only)</t>
  </si>
  <si>
    <t xml:space="preserve">Use the Welch column, which requires no such assumption</t>
  </si>
  <si>
    <t xml:space="preserve">The two samples are independent</t>
  </si>
  <si>
    <t xml:space="preserve">Confirm no unit contributed a measurement to both groups</t>
  </si>
  <si>
    <t xml:space="preserve">If they did, the design is paired: use E-25 instead</t>
  </si>
  <si>
    <t xml:space="preserve">Pooled (equal variances assumed):</t>
  </si>
  <si>
    <t xml:space="preserve">   sp^2 = ((n1-1)*s1^2 + (n2-1)*s2^2) / (n1 + n2 - 2)</t>
  </si>
  <si>
    <t xml:space="preserve">   t    = (m1 - m2) / SQRT( sp^2 * (1/n1 + 1/n2) )        df = n1 + n2 - 2</t>
  </si>
  <si>
    <t xml:space="preserve">Welch (unequal variances - the modern default):</t>
  </si>
  <si>
    <t xml:space="preserve">   SE   = SQRT( s1^2/n1 + s2^2/n2 )</t>
  </si>
  <si>
    <t xml:space="preserve">   t    = (m1 - m2) / SE</t>
  </si>
  <si>
    <t xml:space="preserve">   Satterthwaite degrees of freedom:</t>
  </si>
  <si>
    <t xml:space="preserve">   df = ( s1^2/n1 + s2^2/n2 )^2  /  ( (s1^2/n1)^2/(n1-1) + (s2^2/n2)^2/(n2-1) )</t>
  </si>
  <si>
    <t xml:space="preserve">Confidence interval on the difference:</t>
  </si>
  <si>
    <t xml:space="preserve">   (m1 - m2)  +/-  t(alpha/2, df) * SE</t>
  </si>
  <si>
    <t xml:space="preserve">Effect size:</t>
  </si>
  <si>
    <t xml:space="preserve">   Cohen's d = (m1 - m2) / sp</t>
  </si>
  <si>
    <t xml:space="preserve">TTEST</t>
  </si>
  <si>
    <t xml:space="preserve">TTEST(array1, array2, tails, type)</t>
  </si>
  <si>
    <t xml:space="preserve">type 2 = pooled, type 3 = Welch. Used here as an independent cross-check</t>
  </si>
  <si>
    <t xml:space="preserve">VAR / STDEV / COUNT</t>
  </si>
  <si>
    <t xml:space="preserve">VAR(range)</t>
  </si>
  <si>
    <t xml:space="preserve">Group variances and sizes</t>
  </si>
  <si>
    <t xml:space="preserve">p-value; Welch df is rounded before the lookup</t>
  </si>
  <si>
    <t xml:space="preserve">TINV(1 - confidence, df)</t>
  </si>
  <si>
    <t xml:space="preserve">t multiplier for the confidence interval</t>
  </si>
  <si>
    <t xml:space="preserve">ROUND(df, 0)</t>
  </si>
  <si>
    <t xml:space="preserve">Satterthwaite df is fractional; the tail lookup needs an integer</t>
  </si>
  <si>
    <t xml:space="preserve">Shift A supplied 12 bottles and shift C supplied 15, all from the same 500 ml SKU. Shift C runs higher on average, but shift A is the smaller sample AND the more variable one - the exact situation in which the pooled and the Welch versions can disagree. Both are computed below so you can see it.</t>
  </si>
  <si>
    <t xml:space="preserve">Shift A (ml)</t>
  </si>
  <si>
    <t xml:space="preserve">Shift C (ml)</t>
  </si>
  <si>
    <t xml:space="preserve">GROUP STATISTICS</t>
  </si>
  <si>
    <t xml:space="preserve">n1  (Shift A)</t>
  </si>
  <si>
    <t xml:space="preserve">n2  (Shift C)</t>
  </si>
  <si>
    <t xml:space="preserve">Mean 1 (ml)</t>
  </si>
  <si>
    <t xml:space="preserve">Mean 2 (ml)</t>
  </si>
  <si>
    <t xml:space="preserve">Variance 1</t>
  </si>
  <si>
    <t xml:space="preserve">Variance 2</t>
  </si>
  <si>
    <t xml:space="preserve">Observed difference  m1 - m2 (ml)</t>
  </si>
  <si>
    <t xml:space="preserve">Variance ratio (larger / smaller)</t>
  </si>
  <si>
    <t xml:space="preserve">SIDE BY SIDE - POOLED VERSUS WELCH</t>
  </si>
  <si>
    <t xml:space="preserve">Quantity</t>
  </si>
  <si>
    <t xml:space="preserve">POOLED (equal variances)</t>
  </si>
  <si>
    <t xml:space="preserve">WELCH (unequal variances)</t>
  </si>
  <si>
    <t xml:space="preserve">Variance estimate used</t>
  </si>
  <si>
    <t xml:space="preserve">Standard error of the difference</t>
  </si>
  <si>
    <t xml:space="preserve">Cross-check with TTEST</t>
  </si>
  <si>
    <t xml:space="preserve">Lower confidence limit on the difference</t>
  </si>
  <si>
    <t xml:space="preserve">Upper confidence limit on the difference</t>
  </si>
  <si>
    <t xml:space="preserve">Cohen's d (pooled sigma)</t>
  </si>
  <si>
    <t xml:space="preserve">Do the two versions agree?</t>
  </si>
  <si>
    <t xml:space="preserve">Which version to report</t>
  </si>
  <si>
    <t xml:space="preserve">The modern default; the pooled column is shown for comparison only</t>
  </si>
  <si>
    <t xml:space="preserve">Variance ratio</t>
  </si>
  <si>
    <t xml:space="preserve">Above 2 or 3</t>
  </si>
  <si>
    <t xml:space="preserve">The pooled assumption is doubtful; Welch becomes essential</t>
  </si>
  <si>
    <t xml:space="preserve">Welch degrees of freedom</t>
  </si>
  <si>
    <t xml:space="preserve">Usually fractional</t>
  </si>
  <si>
    <t xml:space="preserve">Satterthwaite adjusts df downwards for unequal variance</t>
  </si>
  <si>
    <t xml:space="preserve">Confidence interval on the difference</t>
  </si>
  <si>
    <t xml:space="preserve">Excludes zero</t>
  </si>
  <si>
    <t xml:space="preserve">Equivalent to a significant test at the same alpha</t>
  </si>
  <si>
    <t xml:space="preserve">•  Choosing the pooled test because it is the first option in the software menu.</t>
  </si>
  <si>
    <t xml:space="preserve">•  Testing for equal variance first and then choosing the t-test on that basis. This two-stage procedure distorts the overall error rate; just use Welch.</t>
  </si>
  <si>
    <t xml:space="preserve">•  Analysing a paired design as two independent samples, which discards the pairing and most of the power.</t>
  </si>
  <si>
    <t xml:space="preserve">•  Reporting only the p-value. The confidence interval on the difference is what the decision needs.</t>
  </si>
  <si>
    <t xml:space="preserve">•  Comparing more than two groups by running this test repeatedly instead of using ANOVA on E-26.</t>
  </si>
  <si>
    <t xml:space="preserve">Q1.  Why are Welch degrees of freedom usually fractional, and what does that reflect?</t>
  </si>
  <si>
    <t xml:space="preserve">A1.  The Satterthwaite approximation blends the two separate variance estimates into an effective degrees of freedom, which need not be an integer. It falls below n1 + n2 - 2 whenever the variances or the group sizes differ, reflecting the fact that unequal variances give you less usable information.</t>
  </si>
  <si>
    <t xml:space="preserve">Q2.  Variances are almost identical in your two groups. Does the choice between pooled and Welch matter?</t>
  </si>
  <si>
    <t xml:space="preserve">A2.  Barely. When variances are equal, Welch degrees of freedom approach the pooled value and the two p-values agree closely, which the cross-check row on this sheet lets you verify. That is precisely why Welch is safe as a default: it costs nothing when the assumption holds.</t>
  </si>
  <si>
    <t xml:space="preserve">Q3.  You measured the same 12 capping heads before and after a change. Can you use this sheet?</t>
  </si>
  <si>
    <t xml:space="preserve">A3.  No. The same units appear in both samples, so the design is paired and the samples are not independent. Use E-25, which analyses the differences and removes the head-to-head variation, typically producing far more power from the same data.</t>
  </si>
  <si>
    <t xml:space="preserve">E-25 — Paired t-Test</t>
  </si>
  <si>
    <t xml:space="preserve">Phase: ANALYZE   |   Data required: Before/after pairs   |   Min. sample: 10   |   Complexity: 2/5   |   Typical output: Mean difference, t, p-value, CI</t>
  </si>
  <si>
    <t xml:space="preserve">Did the change move the same units, once the unit-to-unit differences are removed?</t>
  </si>
  <si>
    <t xml:space="preserve">Before and after measurements on the same bottles, heads, valves or kegs.</t>
  </si>
  <si>
    <t xml:space="preserve">A paired t-test, plus a demonstration of how much power the pairing buys.</t>
  </si>
  <si>
    <t xml:space="preserve">Pairing is a design decision that pays for itself many times over, and it is routinely thrown away in analysis.</t>
  </si>
  <si>
    <t xml:space="preserve">Suppose you adjust the capping heads and want to know whether removal torque increased. The heads differ from each other by far more than the adjustment moved any single one. If you treat before and after as two independent samples, that head-to-head variation lands in the denominator of the test and swamps the effect.</t>
  </si>
  <si>
    <t xml:space="preserve">The paired test removes it completely. You compute one difference per head, and then run a simple one-sample t-test on those differences against zero. Every source of variation that is common to the pair - the head itself, its wear, its position - cancels out.</t>
  </si>
  <si>
    <t xml:space="preserve">The cost is degrees of freedom: n - 1 instead of 2n - 2. The benefit is a much smaller denominator. Whenever the pairs are genuinely correlated, the benefit wins easily, and this sheet computes both so you can see it.</t>
  </si>
  <si>
    <t xml:space="preserve">The rule is simple: if the same physical unit appears in both columns, the analysis must be paired.</t>
  </si>
  <si>
    <t xml:space="preserve">✓  Before and after a change, measured on the same units.</t>
  </si>
  <si>
    <t xml:space="preserve">✗  Not when different units were measured in each condition: use E-24.</t>
  </si>
  <si>
    <t xml:space="preserve">✓  Two gauges measuring the same bottles.</t>
  </si>
  <si>
    <t xml:space="preserve">✗  Not when the pairs are arbitrary; pairing must be physically meaningful.</t>
  </si>
  <si>
    <t xml:space="preserve">✓  Two operators inspecting the same pallets.</t>
  </si>
  <si>
    <t xml:space="preserve">✗  Not valid if the difference between the pairs is strongly non-normal: use E-31.</t>
  </si>
  <si>
    <t xml:space="preserve">✓  Matched pairs deliberately created at the design stage.</t>
  </si>
  <si>
    <t xml:space="preserve">The differences are approximately normal</t>
  </si>
  <si>
    <t xml:space="preserve">Probability plot the DIFFERENCE column on E-32, not the raw values</t>
  </si>
  <si>
    <t xml:space="preserve">Use the Wilcoxon signed rank test on E-31</t>
  </si>
  <si>
    <t xml:space="preserve">The pairing is physically real</t>
  </si>
  <si>
    <t xml:space="preserve">Confirm each row is genuinely the same unit or a deliberately matched pair</t>
  </si>
  <si>
    <t xml:space="preserve">If the pairing is arbitrary, the analysis is invalid; use E-24</t>
  </si>
  <si>
    <t xml:space="preserve">Nothing else changed between the two measurements</t>
  </si>
  <si>
    <t xml:space="preserve">Check that SKU, speed and operator were held constant</t>
  </si>
  <si>
    <t xml:space="preserve">The difference measures everything that changed, not just your intervention</t>
  </si>
  <si>
    <t xml:space="preserve">Compute one difference per pair:</t>
  </si>
  <si>
    <t xml:space="preserve">   di = after_i - before_i</t>
  </si>
  <si>
    <t xml:space="preserve">Then a one-sample t-test on the differences against zero:</t>
  </si>
  <si>
    <t xml:space="preserve">   t = dbar / (sd / SQRT(n))            df = n - 1</t>
  </si>
  <si>
    <t xml:space="preserve">   where dbar is the mean difference and sd its standard deviation</t>
  </si>
  <si>
    <t xml:space="preserve">Confidence interval on the mean difference:</t>
  </si>
  <si>
    <t xml:space="preserve">   dbar  +/-  TINV(1 - confidence, n-1) * sd / SQRT(n)</t>
  </si>
  <si>
    <t xml:space="preserve">Why pairing helps - the variance of the difference:</t>
  </si>
  <si>
    <t xml:space="preserve">VAR(after - before) = VAR(after) + VAR(before) - 2*COV the more strongly the pairs are correlated, the larger that last term and the smaller the noise</t>
  </si>
  <si>
    <t xml:space="preserve">TTEST(array1, array2, tails, 1)</t>
  </si>
  <si>
    <t xml:space="preserve">type 1 is the paired test; used here as a cross-check</t>
  </si>
  <si>
    <t xml:space="preserve">AVERAGE / STDEV</t>
  </si>
  <si>
    <t xml:space="preserve">AVERAGE(diff_range)</t>
  </si>
  <si>
    <t xml:space="preserve">Applied to the DIFFERENCE column, not to the raw data</t>
  </si>
  <si>
    <t xml:space="preserve">CORREL(before, after)</t>
  </si>
  <si>
    <t xml:space="preserve">The correlation that determines how much pairing gains</t>
  </si>
  <si>
    <t xml:space="preserve">TDIST / TINV</t>
  </si>
  <si>
    <t xml:space="preserve">TDIST(ABS(t), n-1, 2)</t>
  </si>
  <si>
    <t xml:space="preserve">p-value and confidence multiplier</t>
  </si>
  <si>
    <t xml:space="preserve">Number of PAIRS, not the total number of measurements</t>
  </si>
  <si>
    <t xml:space="preserve">Removal torque, in newton metres, on the same twelve capping heads before and after the cam adjustment. The specification requires a mean above 2.0 Nm.</t>
  </si>
  <si>
    <t xml:space="preserve">Head - before (Nm)</t>
  </si>
  <si>
    <t xml:space="preserve">Head - after (Nm)</t>
  </si>
  <si>
    <t xml:space="preserve">Difference (after - before)</t>
  </si>
  <si>
    <t xml:space="preserve">Number of pairs  n</t>
  </si>
  <si>
    <t xml:space="preserve">Mean difference  dbar (Nm)</t>
  </si>
  <si>
    <t xml:space="preserve">StDev of the differences (Nm)</t>
  </si>
  <si>
    <t xml:space="preserve">Standard error of the mean difference</t>
  </si>
  <si>
    <t xml:space="preserve">Cross-check with TTEST paired</t>
  </si>
  <si>
    <t xml:space="preserve">Lower confidence limit (Nm)</t>
  </si>
  <si>
    <t xml:space="preserve">Upper confidence limit (Nm)</t>
  </si>
  <si>
    <t xml:space="preserve">Cohen's d for paired data</t>
  </si>
  <si>
    <t xml:space="preserve">WHAT THE PAIRING IS WORTH</t>
  </si>
  <si>
    <t xml:space="preserve">Correlation between before and after</t>
  </si>
  <si>
    <t xml:space="preserve">p-value if analysed WRONGLY as two independent samples</t>
  </si>
  <si>
    <t xml:space="preserve">StDev used by the unpaired analysis (pooled)</t>
  </si>
  <si>
    <t xml:space="preserve">Noise reduction achieved by pairing</t>
  </si>
  <si>
    <t xml:space="preserve">Correlation between pairs</t>
  </si>
  <si>
    <t xml:space="preserve">Above 0.5</t>
  </si>
  <si>
    <t xml:space="preserve">Pairing is clearly worthwhile; the higher the better</t>
  </si>
  <si>
    <t xml:space="preserve">Near zero</t>
  </si>
  <si>
    <t xml:space="preserve">Pairing gains little, but it is still the correct analysis</t>
  </si>
  <si>
    <t xml:space="preserve">n - 1, not 2n - 2</t>
  </si>
  <si>
    <t xml:space="preserve">The price of pairing, repaid by the smaller denominator</t>
  </si>
  <si>
    <t xml:space="preserve">•  Analysing paired data as two independent samples. This is the single most common error on this sheet, and it usually turns a clear result into a non-significant one.</t>
  </si>
  <si>
    <t xml:space="preserve">•  Testing the raw values for normality instead of the DIFFERENCES. Only the differences matter.</t>
  </si>
  <si>
    <t xml:space="preserve">•  Pairing observations that are not physically related, which invents a correlation that does not exist.</t>
  </si>
  <si>
    <t xml:space="preserve">•  Forgetting that the paired test measures everything that changed between the two measurements, not only the intervention you made.</t>
  </si>
  <si>
    <t xml:space="preserve">•  Using n = 24 when you have 12 pairs. The sample size is the number of pairs.</t>
  </si>
  <si>
    <t xml:space="preserve">Q1.  Why does pairing usually produce a smaller p-value from exactly the same measurements?</t>
  </si>
  <si>
    <t xml:space="preserve">A1.  Because the head-to-head or unit-to-unit variation is common to both members of each pair and cancels when you subtract. That variation would otherwise sit in the denominator of the test. The stronger the correlation between the pairs, the more noise is removed.</t>
  </si>
  <si>
    <t xml:space="preserve">Q2.  Which column must be checked for normality before running this test?</t>
  </si>
  <si>
    <t xml:space="preserve">A2.  The differences. The raw before and after values can be as non-normal as they like; the test statistic is built entirely from the difference column, so that is where the assumption applies.</t>
  </si>
  <si>
    <t xml:space="preserve">Q3.  You have 12 pairs. What are the degrees of freedom, and why is that not 22?</t>
  </si>
  <si>
    <t xml:space="preserve">A3.  Eleven, because the test is a one-sample t-test on 12 differences. The 2n - 2 = 22 of the unpaired test buys degrees of freedom at the cost of leaving all the unit-to-unit variation in the denominator, which is a bad trade whenever the pairs are correlated.</t>
  </si>
  <si>
    <t xml:space="preserve">E-26 — One-Way ANOVA with Tukey HSD</t>
  </si>
  <si>
    <t xml:space="preserve">Phase: ANALYZE   |   Data required: Continuous Y, one categorical X   |   Min. sample: 15   |   Complexity: 4/5   |   Typical output: ANOVA table, eta-squared, Tukey pairs</t>
  </si>
  <si>
    <t xml:space="preserve">Do three or more groups differ in their mean, and which pairs are responsible?</t>
  </si>
  <si>
    <t xml:space="preserve">One continuous Y and one categorical X with three or more levels.</t>
  </si>
  <si>
    <t xml:space="preserve">A full ANOVA table, eta-squared, and Tukey HSD pairwise comparisons.</t>
  </si>
  <si>
    <t xml:space="preserve">Analysis of variance answers a question about means by comparing two variances, which is why the name confuses people the first time.</t>
  </si>
  <si>
    <t xml:space="preserve">The logic: if all four shifts really share one mean, then the spread BETWEEN the shift averages should be no larger than what the spread WITHIN each shift would produce by chance. If the between-group spread is much larger than the within-group spread, the groups are not all the same.</t>
  </si>
  <si>
    <t xml:space="preserve">The F statistic is exactly that ratio: mean square between divided by mean square within. Under the null hypothesis it should sit near 1; a large F means the group means are further apart than within-group noise explains.</t>
  </si>
  <si>
    <t xml:space="preserve">The reason ANOVA exists rather than repeated t-tests is the family-wise error rate. Four groups give six pairwise comparisons, and six tests at alpha 0.05 carry roughly a 26 per cent chance of at least one false positive. ANOVA tests all groups at once at the alpha you chose.</t>
  </si>
  <si>
    <t xml:space="preserve">ANOVA tells you that something differs; it does not tell you what. Tukey HSD then compares every pair while holding the family-wise error rate at alpha, which is what the pairwise block at the bottom does.</t>
  </si>
  <si>
    <t xml:space="preserve">✓  Comparing three or more shifts, machines, cavities, suppliers or SKUs.</t>
  </si>
  <si>
    <t xml:space="preserve">✗  Not for two groups: use E-24, which is the same test with k = 2.</t>
  </si>
  <si>
    <t xml:space="preserve">✓  Screening which of several categorical factors matters before a DOE.</t>
  </si>
  <si>
    <t xml:space="preserve">✗  Not for two factors at once: use two-way ANOVA on E-27.</t>
  </si>
  <si>
    <t xml:space="preserve">✓  Following a multi-vari study on E-40 that suggested a between-group effect.</t>
  </si>
  <si>
    <t xml:space="preserve">✗  Not valid when the groups have very different variances: check E-28 first.</t>
  </si>
  <si>
    <t xml:space="preserve">Residuals are approximately normal</t>
  </si>
  <si>
    <t xml:space="preserve">Probability plot the residuals on E-32, not the raw data</t>
  </si>
  <si>
    <t xml:space="preserve">Use Kruskal-Wallis on E-31, or transform on E-33</t>
  </si>
  <si>
    <t xml:space="preserve">Group variances are comparable</t>
  </si>
  <si>
    <t xml:space="preserve">Levene test on E-28. ANOVA tolerates a ratio up to about 3 with balanced groups</t>
  </si>
  <si>
    <t xml:space="preserve">Use Welch ANOVA or Kruskal-Wallis on E-31</t>
  </si>
  <si>
    <t xml:space="preserve">Observations are independent within and between groups</t>
  </si>
  <si>
    <t xml:space="preserve">Check the sampling plan on E-05</t>
  </si>
  <si>
    <t xml:space="preserve">Nested or repeated data needs a different model</t>
  </si>
  <si>
    <t xml:space="preserve">Sums of squares:</t>
  </si>
  <si>
    <t xml:space="preserve">SSB (between) = SUM over groups of  nj * (mj - grand mean)^2 SSW (within)  = SUM over groups of  (nj - 1) * sj^2</t>
  </si>
  <si>
    <t xml:space="preserve">   SST           = SSB + SSW</t>
  </si>
  <si>
    <t xml:space="preserve">Degrees of freedom:  dfB = k - 1     dfW = N - k     dfT = N - 1</t>
  </si>
  <si>
    <t xml:space="preserve">Mean squares and the test:</t>
  </si>
  <si>
    <t xml:space="preserve">MSB = SSB / dfB      MSW = SSW / dfW      F = MSB / MSW p = FDIST(F, dfB, dfW)</t>
  </si>
  <si>
    <t xml:space="preserve">eta squared   = SSB / SST                proportion of variation explained by the factor omega squared = (SSB - dfB*MSW) / (SST + MSW)     less biased at small n</t>
  </si>
  <si>
    <t xml:space="preserve">Tukey honestly significant difference (balanced design):</t>
  </si>
  <si>
    <t xml:space="preserve">   HSD = q(alpha, k, dfW) * SQRT( MSW / n )</t>
  </si>
  <si>
    <t xml:space="preserve">   a pair differs when the absolute difference of their means exceeds HSD</t>
  </si>
  <si>
    <t xml:space="preserve">AVERAGE / VAR / COUNT</t>
  </si>
  <si>
    <t xml:space="preserve">VAR(group_range)</t>
  </si>
  <si>
    <t xml:space="preserve">Per-group statistics feeding the sums of squares</t>
  </si>
  <si>
    <t xml:space="preserve">SUMPRODUCT</t>
  </si>
  <si>
    <t xml:space="preserve">SUMPRODUCT(n_row, (mean_row - grand)^2)</t>
  </si>
  <si>
    <t xml:space="preserve">Computes SSB across all groups in one expression, without a helper column</t>
  </si>
  <si>
    <t xml:space="preserve">DEVSQ</t>
  </si>
  <si>
    <t xml:space="preserve">DEVSQ(all_data)</t>
  </si>
  <si>
    <t xml:space="preserve">Total sum of squares, used as an independent cross-check on SSB + SSW</t>
  </si>
  <si>
    <t xml:space="preserve">FDIST(F, df1, df2)</t>
  </si>
  <si>
    <t xml:space="preserve">Right tail probability of the F distribution</t>
  </si>
  <si>
    <t xml:space="preserve">FINV(alpha, df1, df2)</t>
  </si>
  <si>
    <t xml:space="preserve">Critical F for the chosen alpha</t>
  </si>
  <si>
    <t xml:space="preserve">INDEX(q_table, MATCH(df,...,1), MATCH(k,...,0))</t>
  </si>
  <si>
    <t xml:space="preserve">Looks up the studentised range q for Tukey HSD</t>
  </si>
  <si>
    <t xml:space="preserve">Eight fill volumes from each of the four shifts, same SKU, same week. Does any shift differ, and if so which? Overwrite the yellow block with your own four groups of eight.</t>
  </si>
  <si>
    <t xml:space="preserve">Shift B (ml)</t>
  </si>
  <si>
    <t xml:space="preserve">Shift D (ml)</t>
  </si>
  <si>
    <t xml:space="preserve">Statistic</t>
  </si>
  <si>
    <t xml:space="preserve">Shift A</t>
  </si>
  <si>
    <t xml:space="preserve">Shift B</t>
  </si>
  <si>
    <t xml:space="preserve">Shift C</t>
  </si>
  <si>
    <t xml:space="preserve">Shift D</t>
  </si>
  <si>
    <t xml:space="preserve">Mean (ml)</t>
  </si>
  <si>
    <t xml:space="preserve">Variance</t>
  </si>
  <si>
    <t xml:space="preserve">StDev (ml)</t>
  </si>
  <si>
    <t xml:space="preserve">Grand mean (ml)</t>
  </si>
  <si>
    <t xml:space="preserve">Total N</t>
  </si>
  <si>
    <t xml:space="preserve">Number of groups  k</t>
  </si>
  <si>
    <t xml:space="preserve">ANOVA TABLE</t>
  </si>
  <si>
    <t xml:space="preserve">Source</t>
  </si>
  <si>
    <t xml:space="preserve">SS</t>
  </si>
  <si>
    <t xml:space="preserve">MS</t>
  </si>
  <si>
    <t xml:space="preserve">Between groups (factor)</t>
  </si>
  <si>
    <t xml:space="preserve">Within groups (error)</t>
  </si>
  <si>
    <t xml:space="preserve">Total</t>
  </si>
  <si>
    <t xml:space="preserve">Cross-check: DEVSQ of all data</t>
  </si>
  <si>
    <t xml:space="preserve">Critical F</t>
  </si>
  <si>
    <t xml:space="preserve">Eta squared (variation explained)</t>
  </si>
  <si>
    <t xml:space="preserve">Omega squared (less biased)</t>
  </si>
  <si>
    <t xml:space="preserve">STUDENTISED RANGE q  (alpha = 0.05)  -  REFERENCE TABLE</t>
  </si>
  <si>
    <t xml:space="preserve">df within</t>
  </si>
  <si>
    <t xml:space="preserve">k = 2</t>
  </si>
  <si>
    <t xml:space="preserve">k = 3</t>
  </si>
  <si>
    <t xml:space="preserve">k = 4</t>
  </si>
  <si>
    <t xml:space="preserve">k = 5</t>
  </si>
  <si>
    <t xml:space="preserve">k = 6</t>
  </si>
  <si>
    <t xml:space="preserve">Reference values, not calculated cells. The lookup takes the largest tabulated df not exceeding your own, which makes the comparison slightly conservative.</t>
  </si>
  <si>
    <t xml:space="preserve">q for this design</t>
  </si>
  <si>
    <t xml:space="preserve">Observations per group (balanced)</t>
  </si>
  <si>
    <t xml:space="preserve">Tukey HSD critical difference (ml)</t>
  </si>
  <si>
    <t xml:space="preserve">TUKEY HSD - ALL PAIRWISE COMPARISONS</t>
  </si>
  <si>
    <t xml:space="preserve">Pair</t>
  </si>
  <si>
    <t xml:space="preserve">Difference of means (ml)</t>
  </si>
  <si>
    <t xml:space="preserve">|Difference|</t>
  </si>
  <si>
    <t xml:space="preserve">HSD</t>
  </si>
  <si>
    <t xml:space="preserve">Verdict</t>
  </si>
  <si>
    <t xml:space="preserve">A vs B</t>
  </si>
  <si>
    <t xml:space="preserve">A vs C</t>
  </si>
  <si>
    <t xml:space="preserve">A vs D</t>
  </si>
  <si>
    <t xml:space="preserve">B vs C</t>
  </si>
  <si>
    <t xml:space="preserve">B vs D</t>
  </si>
  <si>
    <t xml:space="preserve">C vs D</t>
  </si>
  <si>
    <t xml:space="preserve">DISTRIBUTION BY GROUP  (box plot approximation)</t>
  </si>
  <si>
    <t xml:space="preserve">Group</t>
  </si>
  <si>
    <t xml:space="preserve">Base (min)</t>
  </si>
  <si>
    <t xml:space="preserve">Min to Q1</t>
  </si>
  <si>
    <t xml:space="preserve">Q1 to median</t>
  </si>
  <si>
    <t xml:space="preserve">Median to Q3</t>
  </si>
  <si>
    <t xml:space="preserve">Q3 to max</t>
  </si>
  <si>
    <t xml:space="preserve">The first series is the minimum and is drawn with no fill, so the visible stack runs from the minimum to the maximum with the quartile boundaries marked.</t>
  </si>
  <si>
    <t xml:space="preserve">F and p</t>
  </si>
  <si>
    <t xml:space="preserve">At least one group mean differs from the others</t>
  </si>
  <si>
    <t xml:space="preserve">Eta squared</t>
  </si>
  <si>
    <t xml:space="preserve">0.01 small, 0.06 medium, 0.14 large</t>
  </si>
  <si>
    <t xml:space="preserve">How much of the variation the factor explains</t>
  </si>
  <si>
    <t xml:space="preserve">Tukey HSD</t>
  </si>
  <si>
    <t xml:space="preserve">|difference| &gt; HSD</t>
  </si>
  <si>
    <t xml:space="preserve">That specific pair differs at the family-wise alpha</t>
  </si>
  <si>
    <t xml:space="preserve">Variance ratio between groups</t>
  </si>
  <si>
    <t xml:space="preserve">Below about 3</t>
  </si>
  <si>
    <t xml:space="preserve">ANOVA tolerates this much heterogeneity when balanced</t>
  </si>
  <si>
    <t xml:space="preserve">•  Running six two-sample t-tests instead of ANOVA, which inflates the family-wise error rate to about 26 per cent.</t>
  </si>
  <si>
    <t xml:space="preserve">•  Reading the Tukey comparisons when the overall F is not significant. The pairwise step is only licensed once the omnibus test has rejected.</t>
  </si>
  <si>
    <t xml:space="preserve">•  Checking normality on the raw data rather than on the residuals.</t>
  </si>
  <si>
    <t xml:space="preserve">•  Concluding from a significant F which group is highest. F says only that they are not all equal.</t>
  </si>
  <si>
    <t xml:space="preserve">•  Ignoring that eta squared can be large while the practical difference is trivial. Take it to E-21.</t>
  </si>
  <si>
    <t xml:space="preserve">Q1.  Why does ANOVA compare variances in order to answer a question about means?</t>
  </si>
  <si>
    <t xml:space="preserve">A1.  Because if all group means were equal, the observed spread between the group averages would be entirely explained by the within-group noise. Comparing the between-group mean square with the within-group mean square therefore tests whether the group means are further apart than chance allows.</t>
  </si>
  <si>
    <t xml:space="preserve">Q2.  Your F test is significant and Tukey shows only shift C differs from the others. What does eta squared add?</t>
  </si>
  <si>
    <t xml:space="preserve">A2.  It quantifies how much of the total variation the shift factor explains. A significant F with eta squared of 4 per cent means the effect is real but small, and 96 per cent of the variation still comes from elsewhere, which changes where you would spend improvement effort.</t>
  </si>
  <si>
    <t xml:space="preserve">Q3.  Why not just run six t-tests and apply a Bonferroni correction?</t>
  </si>
  <si>
    <t xml:space="preserve">A3.  You can, and it is valid, but it is conservative: dividing alpha by six makes each comparison much harder to detect. Tukey HSD is designed specifically for all pairwise comparisons and holds the family-wise rate with more power than Bonferroni.</t>
  </si>
  <si>
    <t xml:space="preserve">E-27 — Two-Way ANOVA and Interactions</t>
  </si>
  <si>
    <t xml:space="preserve">Phase: ANALYZE   |   Data required: Continuous Y, two categorical X   |   Min. sample: 24   |   Complexity: 5/5   |   Typical output: Two-way ANOVA table and interaction plot</t>
  </si>
  <si>
    <t xml:space="preserve">Do two factors each matter, and does their effect depend on each other?</t>
  </si>
  <si>
    <t xml:space="preserve">One continuous Y and two categorical X factors, with replication.</t>
  </si>
  <si>
    <t xml:space="preserve">A two-way ANOVA table with both main effects and the interaction.</t>
  </si>
  <si>
    <t xml:space="preserve">Two-way ANOVA answers three questions from one data set, and the third is the reason it exists.</t>
  </si>
  <si>
    <t xml:space="preserve">Does factor A matter on average? Does factor B matter on average? And does the effect of A depend on the</t>
  </si>
  <si>
    <t xml:space="preserve">level of B? That last question is the interaction, and it cannot be answered by running two separate one-way ANOVAs no matter how carefully you do it.</t>
  </si>
  <si>
    <t xml:space="preserve">An interaction on a packaging line is not an abstraction. Suppose shift C fills slightly high on most valve groups but dramatically high on valve group 3. The shift main effect is modest, the valve main effect is modest, and the real problem lives entirely in the combination. Analyse the factors separately and you will conclude that neither matters much, and you will be wrong.</t>
  </si>
  <si>
    <t xml:space="preserve">The practical rule: read the interaction FIRST. If the interaction is significant, the main effects are misleading on their own, because the effect of one factor genuinely differs depending on the other, and any single average across levels hides that.</t>
  </si>
  <si>
    <t xml:space="preserve">This design also needs replication. Without at least two observations per cell there is no error term and the interaction cannot be separated from noise.</t>
  </si>
  <si>
    <t xml:space="preserve">✓  Two categorical factors suspected of acting together: shift and SKU, valve and speed.</t>
  </si>
  <si>
    <t xml:space="preserve">✗  Not without replication: at least two observations per combination.</t>
  </si>
  <si>
    <t xml:space="preserve">✓  When a one-way ANOVA found nothing but the problem persists.</t>
  </si>
  <si>
    <t xml:space="preserve">✗  Not for continuous factors: use regression on E-38.</t>
  </si>
  <si>
    <t xml:space="preserve">✓  As the analysis behind a two-factor designed experiment.</t>
  </si>
  <si>
    <t xml:space="preserve">✗  Unbalanced designs need adjusted sums of squares; this sheet assumes a balanced design.</t>
  </si>
  <si>
    <t xml:space="preserve">✓  Whenever an operator says 'it only happens when we run X on machine Y'.</t>
  </si>
  <si>
    <t xml:space="preserve">The design is balanced with equal replication per cell</t>
  </si>
  <si>
    <t xml:space="preserve">Confirm every cell has the same number of observations</t>
  </si>
  <si>
    <t xml:space="preserve">An unbalanced design needs Type III sums of squares, not covered here</t>
  </si>
  <si>
    <t xml:space="preserve">Residuals are approximately normal with constant variance</t>
  </si>
  <si>
    <t xml:space="preserve">Probability plot the residuals on E-32; compare cell variances</t>
  </si>
  <si>
    <t xml:space="preserve">Transform on E-33, or use a nonparametric approach</t>
  </si>
  <si>
    <t xml:space="preserve">Each cell has at least two observations</t>
  </si>
  <si>
    <t xml:space="preserve">Count the values in every cell</t>
  </si>
  <si>
    <t xml:space="preserve">Without replication the interaction is confounded with the error term</t>
  </si>
  <si>
    <t xml:space="preserve">E-41  DOE Fundamentals and Terminology</t>
  </si>
  <si>
    <t xml:space="preserve">For factor A with a levels, factor B with b levels, and n replicates per cell:</t>
  </si>
  <si>
    <t xml:space="preserve">SSA  = b*n * SUM over i of  (Ai - G)^2                        dfA  = a - 1 SSB  = a*n * SUM over j of  (Bj - G)^2                        dfB  = b - 1 SSAB = n * SUM over i,j of  (cell_ij - Ai - Bj + G)^2         dfAB = (a-1)(b-1) SSE  = SUM over all observations of  (x - cell mean)^2        dfE  = a*b*(n-1) SST  = SSA + SSB + SSAB + SSE                                 dfT  = a*b*n - 1</t>
  </si>
  <si>
    <t xml:space="preserve">Each effect is then tested against the same error term:</t>
  </si>
  <si>
    <t xml:space="preserve">   F = MS(effect) / MSE          p = FDIST(F, df effect, dfE)</t>
  </si>
  <si>
    <t xml:space="preserve">Reading order: interaction first, then main effects.</t>
  </si>
  <si>
    <t xml:space="preserve">AVERAGE(cell_range)</t>
  </si>
  <si>
    <t xml:space="preserve">Cell means, row means, column means and the grand mean</t>
  </si>
  <si>
    <t xml:space="preserve">DEVSQ(range)</t>
  </si>
  <si>
    <t xml:space="preserve">Sum of squared deviations within a cell, summed to give SSE</t>
  </si>
  <si>
    <t xml:space="preserve">SUMPRODUCT((means - grand)^2)</t>
  </si>
  <si>
    <t xml:space="preserve">Main effect sums of squares without helper columns</t>
  </si>
  <si>
    <t xml:space="preserve">FDIST / FINV</t>
  </si>
  <si>
    <t xml:space="preserve">p-value and critical value for each effect</t>
  </si>
  <si>
    <t xml:space="preserve">Replicates per cell, which drives every multiplier</t>
  </si>
  <si>
    <t xml:space="preserve">Fill volume by shift (A and C) and valve group (1, 2 and 3), with four bottles measured in every combination. Shift C is suspected of running high, but only on one valve group.</t>
  </si>
  <si>
    <t xml:space="preserve">A-V1</t>
  </si>
  <si>
    <t xml:space="preserve">A-V2</t>
  </si>
  <si>
    <t xml:space="preserve">A-V3</t>
  </si>
  <si>
    <t xml:space="preserve">C-V1</t>
  </si>
  <si>
    <t xml:space="preserve">C-V2</t>
  </si>
  <si>
    <t xml:space="preserve">C-V3</t>
  </si>
  <si>
    <t xml:space="preserve">Columns are the six shift x valve combinations. Rows are the four replicates in each cell.</t>
  </si>
  <si>
    <t xml:space="preserve">CELL MEANS</t>
  </si>
  <si>
    <t xml:space="preserve">Valve 1</t>
  </si>
  <si>
    <t xml:space="preserve">Valve 2</t>
  </si>
  <si>
    <t xml:space="preserve">Valve 3</t>
  </si>
  <si>
    <t xml:space="preserve">Shift mean</t>
  </si>
  <si>
    <t xml:space="preserve">Valve mean</t>
  </si>
  <si>
    <t xml:space="preserve">Levels of factor A (shift)</t>
  </si>
  <si>
    <t xml:space="preserve">Levels of factor B (valve)</t>
  </si>
  <si>
    <t xml:space="preserve">Replicates per cell  n</t>
  </si>
  <si>
    <t xml:space="preserve">Total observations</t>
  </si>
  <si>
    <t xml:space="preserve">TWO-WAY ANOVA TABLE</t>
  </si>
  <si>
    <t xml:space="preserve">A - Shift</t>
  </si>
  <si>
    <t xml:space="preserve">B - Valve group</t>
  </si>
  <si>
    <t xml:space="preserve">A x B - Interaction</t>
  </si>
  <si>
    <t xml:space="preserve">Error (within cells)</t>
  </si>
  <si>
    <t xml:space="preserve">Eta squared - shift</t>
  </si>
  <si>
    <t xml:space="preserve">Eta squared - valve group</t>
  </si>
  <si>
    <t xml:space="preserve">Eta squared - interaction</t>
  </si>
  <si>
    <t xml:space="preserve">Interaction p-value</t>
  </si>
  <si>
    <t xml:space="preserve">Read it FIRST</t>
  </si>
  <si>
    <t xml:space="preserve">A significant interaction makes the main effects misleading</t>
  </si>
  <si>
    <t xml:space="preserve">Main effect p-value</t>
  </si>
  <si>
    <t xml:space="preserve">Only if no interaction</t>
  </si>
  <si>
    <t xml:space="preserve">Otherwise the average across levels hides the pattern</t>
  </si>
  <si>
    <t xml:space="preserve">Replicates per cell</t>
  </si>
  <si>
    <t xml:space="preserve">At least 2, ideally 3 to 5</t>
  </si>
  <si>
    <t xml:space="preserve">Without replication there is no error term</t>
  </si>
  <si>
    <t xml:space="preserve">Eta squared per source</t>
  </si>
  <si>
    <t xml:space="preserve">Compare the three</t>
  </si>
  <si>
    <t xml:space="preserve">Shows where the variation actually lives</t>
  </si>
  <si>
    <t xml:space="preserve">•  Reading the main effects when the interaction is significant. The average effect of shift does not exist if shift behaves differently on each valve group.</t>
  </si>
  <si>
    <t xml:space="preserve">•  Running two separate one-way ANOVAs instead. That design cannot detect an interaction at all.</t>
  </si>
  <si>
    <t xml:space="preserve">•  Collecting one observation per cell, which leaves the interaction confounded with the error.</t>
  </si>
  <si>
    <t xml:space="preserve">•  Using an unbalanced design and the sums of squares on this sheet, which assume balance.</t>
  </si>
  <si>
    <t xml:space="preserve">•  Concluding a factor is unimportant from a small eta squared without checking whether the effect is nonetheless commercially material on E-21.</t>
  </si>
  <si>
    <t xml:space="preserve">Q1.  Why must the interaction be read before the main effects?</t>
  </si>
  <si>
    <t xml:space="preserve">A1.  Because a significant interaction means the effect of one factor changes depending on the level of the other. The main effect is an average across those levels, and if the underlying effects point in different directions that average describes a situation that never occurs.</t>
  </si>
  <si>
    <t xml:space="preserve">Q2.  What goes wrong if you collect only one observation per shift and valve combination?</t>
  </si>
  <si>
    <t xml:space="preserve">A2.  The interaction sum of squares and the error sum of squares become indistinguishable, because with one value per cell the cell mean equals the observation and the within-cell deviation is zero. There is then no error term to test anything against.</t>
  </si>
  <si>
    <t xml:space="preserve">Q3.  Both main effects are non-significant but the interaction is highly significant. Is the study a failure?</t>
  </si>
  <si>
    <t xml:space="preserve">A3.  Not at all: it is the most actionable outcome available. It means neither factor matters on its own but a specific combination does, which points directly at one shift working on one valve group. Read the cell mean table and target that cell.</t>
  </si>
  <si>
    <t xml:space="preserve">Designed experiment version</t>
  </si>
  <si>
    <t xml:space="preserve">E-28 — Tests for Variance: F, Levene, Bartlett</t>
  </si>
  <si>
    <t xml:space="preserve">Phase: ANALYZE   |   Data required: Two or more samples   |   Min. sample: 10   |   Complexity: 3/5   |   Typical output: F, Levene, Bartlett statistics and verdict</t>
  </si>
  <si>
    <t xml:space="preserve">When consistency, not the average, is the problem.</t>
  </si>
  <si>
    <t xml:space="preserve">F, Levene and Bartlett tests with a recommendation on which to trust.</t>
  </si>
  <si>
    <t xml:space="preserve">On a packaging line the mean is usually the easy problem. A filler running 0.5 ml high is adjusted in a minute. A filler that is twice as variable as it should be is a project, and no adjustment fixes it.</t>
  </si>
  <si>
    <t xml:space="preserve">So tests for equality of variance matter in their own right, not only as a check before a t-test.</t>
  </si>
  <si>
    <t xml:space="preserve">Three tests are offered here and they are not interchangeable.</t>
  </si>
  <si>
    <t xml:space="preserve">The F test compares exactly two variances. It is exact under normality and notoriously fragile without it:</t>
  </si>
  <si>
    <t xml:space="preserve">a mild departure from normality can turn a non-significant result into a significant one. Use it only when normality has been confirmed.</t>
  </si>
  <si>
    <t xml:space="preserve">Bartlett's test extends to any number of groups and is powerful, but it inherits the same sensitivity to non-normality.</t>
  </si>
  <si>
    <t xml:space="preserve">Levene's test, in the Brown-Forsythe form used here, works on the absolute deviations from each group's MEDIAN and then runs a one-way ANOVA on those. Using the median rather than the mean makes it robust, and it is the test to report when you are not certain about normality - which is most of the time.</t>
  </si>
  <si>
    <t xml:space="preserve">✓  Comparing the consistency of shifts, machines, cavities or suppliers.</t>
  </si>
  <si>
    <t xml:space="preserve">✗  Do not use the F test when normality is doubtful.</t>
  </si>
  <si>
    <t xml:space="preserve">✓  Before choosing between the pooled and Welch t-test on E-24.</t>
  </si>
  <si>
    <t xml:space="preserve">✗  Not a test of means; a group can be more variable with the same average.</t>
  </si>
  <si>
    <t xml:space="preserve">✓  Before a one-way ANOVA, to confirm the equal variance assumption.</t>
  </si>
  <si>
    <t xml:space="preserve">✗  Not valid on unstable processes; special causes inflate variance artificially.</t>
  </si>
  <si>
    <t xml:space="preserve">✓  When a Cp is acceptable on one machine and poor on another.</t>
  </si>
  <si>
    <t xml:space="preserve">The data is normal (F and Bartlett only)</t>
  </si>
  <si>
    <t xml:space="preserve">Probability plot each group on E-32</t>
  </si>
  <si>
    <t xml:space="preserve">Report Levene, which does not require normality</t>
  </si>
  <si>
    <t xml:space="preserve">Groups are independent</t>
  </si>
  <si>
    <t xml:space="preserve">Confirm no unit contributed to two groups</t>
  </si>
  <si>
    <t xml:space="preserve">Use a paired design and compare the differences instead</t>
  </si>
  <si>
    <t xml:space="preserve">Each group is stable over the collection period</t>
  </si>
  <si>
    <t xml:space="preserve">Control chart each group separately</t>
  </si>
  <si>
    <t xml:space="preserve">A single special cause can double the apparent variance</t>
  </si>
  <si>
    <t xml:space="preserve">F test (two groups only):</t>
  </si>
  <si>
    <t xml:space="preserve">F = s_larger^2 / s_smaller^2       df1 = n_larger - 1,  df2 = n_smaller - 1 p = 2 * FDIST(F, df1, df2)        (two-sided)</t>
  </si>
  <si>
    <t xml:space="preserve">Levene / Brown-Forsythe (k groups, robust):</t>
  </si>
  <si>
    <t xml:space="preserve">   zij = ABS( xij - median of group j )</t>
  </si>
  <si>
    <t xml:space="preserve">W = ((N - k)/(k - 1)) * SUM nj*(zbar_j - zbar)^2  /  SUM SUM (zij - zbar_j)^2 p = FDIST(W, k-1, N-k)</t>
  </si>
  <si>
    <t xml:space="preserve">Bartlett (k groups, powerful but not robust):</t>
  </si>
  <si>
    <t xml:space="preserve">   sp^2 = SUM (nj-1)*sj^2 / (N - k)</t>
  </si>
  <si>
    <t xml:space="preserve">   T = ( (N-k)*LN(sp^2) - SUM (nj-1)*LN(sj^2) ) / C</t>
  </si>
  <si>
    <t xml:space="preserve">   C = 1 + ( SUM 1/(nj-1) - 1/(N-k) ) / (3*(k-1))</t>
  </si>
  <si>
    <t xml:space="preserve">   p = CHIDIST(T, k-1)</t>
  </si>
  <si>
    <t xml:space="preserve">VAR / STDEV</t>
  </si>
  <si>
    <t xml:space="preserve">Group variances</t>
  </si>
  <si>
    <t xml:space="preserve">MEDIAN</t>
  </si>
  <si>
    <t xml:space="preserve">MEDIAN(range)</t>
  </si>
  <si>
    <t xml:space="preserve">Centre used by the robust Brown-Forsythe version of Levene</t>
  </si>
  <si>
    <t xml:space="preserve">ABS(x - median)</t>
  </si>
  <si>
    <t xml:space="preserve">Builds the deviation column that Levene analyses</t>
  </si>
  <si>
    <t xml:space="preserve">Within-group sum of squares of the Levene deviations</t>
  </si>
  <si>
    <t xml:space="preserve">p-value for the F and Levene statistics</t>
  </si>
  <si>
    <t xml:space="preserve">CHIDIST(T, df)</t>
  </si>
  <si>
    <t xml:space="preserve">p-value for Bartlett's statistic</t>
  </si>
  <si>
    <t xml:space="preserve">Bartlett's statistic is built from log variances</t>
  </si>
  <si>
    <t xml:space="preserve">Ten fill volumes from each of three filling valves. Valve 3 is suspected of being less consistent, although its average is fine. All three tests are computed so you can compare them.</t>
  </si>
  <si>
    <t xml:space="preserve">Valve 1 (ml)</t>
  </si>
  <si>
    <t xml:space="preserve">Valve 2 (ml)</t>
  </si>
  <si>
    <t xml:space="preserve">Valve 3 (ml)</t>
  </si>
  <si>
    <t xml:space="preserve">TEST 1 - F TEST  (two groups only, requires normality)</t>
  </si>
  <si>
    <t xml:space="preserve">F = larger variance / smaller variance</t>
  </si>
  <si>
    <t xml:space="preserve">p-value (two-sided, valves 1 and 2)</t>
  </si>
  <si>
    <t xml:space="preserve">Cross-check with FTEST</t>
  </si>
  <si>
    <t xml:space="preserve">TEST 2 - LEVENE / BROWN-FORSYTHE  (robust, k groups)</t>
  </si>
  <si>
    <t xml:space="preserve">Absolute deviations from each group's median. This is the column Levene actually analyses.</t>
  </si>
  <si>
    <t xml:space="preserve">|dev| Valve 1</t>
  </si>
  <si>
    <t xml:space="preserve">|dev| Valve 2</t>
  </si>
  <si>
    <t xml:space="preserve">|dev| Valve 3</t>
  </si>
  <si>
    <t xml:space="preserve">Grand mean of the deviations</t>
  </si>
  <si>
    <t xml:space="preserve">Between-group term</t>
  </si>
  <si>
    <t xml:space="preserve">Within-group term</t>
  </si>
  <si>
    <t xml:space="preserve">Levene statistic  W</t>
  </si>
  <si>
    <t xml:space="preserve">p-value (Levene)</t>
  </si>
  <si>
    <t xml:space="preserve">TEST 3 - BARTLETT  (powerful, k groups, requires normality)</t>
  </si>
  <si>
    <t xml:space="preserve">Pooled variance</t>
  </si>
  <si>
    <t xml:space="preserve">Correction factor  C</t>
  </si>
  <si>
    <t xml:space="preserve">Bartlett statistic  T</t>
  </si>
  <si>
    <t xml:space="preserve">p-value (Bartlett)</t>
  </si>
  <si>
    <t xml:space="preserve">Largest / smallest variance ratio</t>
  </si>
  <si>
    <t xml:space="preserve">Most variable group</t>
  </si>
  <si>
    <t xml:space="preserve">Which test to report</t>
  </si>
  <si>
    <t xml:space="preserve">Levene</t>
  </si>
  <si>
    <t xml:space="preserve">Robust to non-normality; the F test is not</t>
  </si>
  <si>
    <t xml:space="preserve">Below 3 with balanced groups</t>
  </si>
  <si>
    <t xml:space="preserve">ANOVA tolerates this much heterogeneity</t>
  </si>
  <si>
    <t xml:space="preserve">F test</t>
  </si>
  <si>
    <t xml:space="preserve">Only with confirmed normality</t>
  </si>
  <si>
    <t xml:space="preserve">Otherwise its p-value is unreliable</t>
  </si>
  <si>
    <t xml:space="preserve">Bartlett versus Levene disagreeing</t>
  </si>
  <si>
    <t xml:space="preserve">Trust Levene</t>
  </si>
  <si>
    <t xml:space="preserve">Disagreement is itself evidence of non-normality</t>
  </si>
  <si>
    <t xml:space="preserve">•  Using the F test on data whose normality was never checked. It is the least robust test on this sheet.</t>
  </si>
  <si>
    <t xml:space="preserve">•  Testing variance equality and then choosing the t-test on that basis. The two-stage procedure distorts the overall error rate; use Welch and move on.</t>
  </si>
  <si>
    <t xml:space="preserve">•  Concluding a machine is fine because its mean is on target while its variance is twice everyone else's.</t>
  </si>
  <si>
    <t xml:space="preserve">•  Comparing variances of groups that contain special causes. Stabilise first on E-49.</t>
  </si>
  <si>
    <t xml:space="preserve">•  Comparing the StDev of a 500 ml SKU with that of a 1,500 ml SKU without converting to a coefficient of variation.</t>
  </si>
  <si>
    <t xml:space="preserve">Q1.  Why does Levene's test use deviations from the median rather than from the mean?</t>
  </si>
  <si>
    <t xml:space="preserve">A1.  Because the median is not pulled by outliers or by skew, so the deviation column keeps its meaning when the data is not normal. This Brown-Forsythe modification is what makes Levene robust, which is why it is the version to report when normality is uncertain.</t>
  </si>
  <si>
    <t xml:space="preserve">Q2.  Bartlett gives p = 0.01 and Levene gives p = 0.28 on the same data. What do you conclude?</t>
  </si>
  <si>
    <t xml:space="preserve">A2.  Most likely that the data is not normal. Bartlett is highly sensitive to departures from normality and will reject on skew alone. Trust Levene, and take the disagreement itself as a signal to run a normality check on E-32.</t>
  </si>
  <si>
    <t xml:space="preserve">Q3.  Two valves have identical mean fill but valve 3 has twice the variance. Why is that the more serious problem?</t>
  </si>
  <si>
    <t xml:space="preserve">A3.  Because a mean offset is corrected by a setpoint change in minutes, while variance determines Cp and therefore how much of the distribution falls outside specification. Doubling sigma halves Cp and can multiply the out-of-specification rate by orders of magnitude.</t>
  </si>
  <si>
    <t xml:space="preserve">E-29 — One and Two Proportion Tests</t>
  </si>
  <si>
    <t xml:space="preserve">Phase: ANALYZE   |   Data required: x and n per group   |   Min. sample: 30   |   Complexity: 3/5   |   Typical output: Z statistic, p-value, CI on difference</t>
  </si>
  <si>
    <t xml:space="preserve">Has my defect rate really changed, or does it just look different?</t>
  </si>
  <si>
    <t xml:space="preserve">Pass or fail data, one sample against a target or two samples against each other.</t>
  </si>
  <si>
    <t xml:space="preserve">Z statistics, p-values and a confidence interval on the difference in proportions.</t>
  </si>
  <si>
    <t xml:space="preserve">Proportions feel precise because they are quoted to a decimal place, and they are not. Eighteen rejects in 1,200 bottles is 1.5 per cent, but the interval around that figure is wide, and last month's 1.9 per cent usually sits comfortably inside it.</t>
  </si>
  <si>
    <t xml:space="preserve">The one-proportion test compares an observed rate with a fixed target: a contractual limit, an internal standard, or last year's baseline agreed as a reference. The two-proportion test compares two observed rates, and it is the correct tool for 'did the improvement work' or 'is shift C worse'.</t>
  </si>
  <si>
    <t xml:space="preserve">The arithmetic detail that matters: for the TEST, the standard error is computed from the pooled proportion, because under the null hypothesis both groups share one rate. For the CONFIDENCE INTERVAL, it is computed from the two separate proportions, because you are no longer assuming they are equal. Using the same standard error for both is a common and subtle error.</t>
  </si>
  <si>
    <t xml:space="preserve">The normal approximation used by both tests needs a reasonable number of events. With very few defectives, use the exact binomial p-value that this sheet also computes.</t>
  </si>
  <si>
    <t xml:space="preserve">✓  Comparing a rejection rate before and after an improvement.</t>
  </si>
  <si>
    <t xml:space="preserve">✗  Not for counts where one unit can carry several defects: use E-11.</t>
  </si>
  <si>
    <t xml:space="preserve">✓  Comparing the defect rate of two shifts, two suppliers or two machines.</t>
  </si>
  <si>
    <t xml:space="preserve">✗  Not for three or more groups: use the chi-square test on E-30.</t>
  </si>
  <si>
    <t xml:space="preserve">✓  Testing an observed rate against a contractual or internal limit.</t>
  </si>
  <si>
    <t xml:space="preserve">✗  Not valid when the rate drifted during the collection period.</t>
  </si>
  <si>
    <t xml:space="preserve">✓  Validating that a poka-yoke actually reduced the defect rate.</t>
  </si>
  <si>
    <t xml:space="preserve">Units are independent and the rate is constant</t>
  </si>
  <si>
    <t xml:space="preserve">p chart the rate over the period on E-52</t>
  </si>
  <si>
    <t xml:space="preserve">If the rate drifts, no single proportion describes it</t>
  </si>
  <si>
    <t xml:space="preserve">Enough events for the normal approximation</t>
  </si>
  <si>
    <t xml:space="preserve">At least 5, preferably 10, defectives and non-defectives in each group</t>
  </si>
  <si>
    <t xml:space="preserve">Use the exact binomial p-value computed on this sheet</t>
  </si>
  <si>
    <t xml:space="preserve">The inspection definition is identical in both groups</t>
  </si>
  <si>
    <t xml:space="preserve">Confirm the same operational definition and the same inspector standard</t>
  </si>
  <si>
    <t xml:space="preserve">Differences in definition masquerade as differences in rate</t>
  </si>
  <si>
    <t xml:space="preserve">One proportion against a target p0:</t>
  </si>
  <si>
    <t xml:space="preserve">   Z = (p_hat - p0) / SQRT( p0*(1 - p0) / n )</t>
  </si>
  <si>
    <t xml:space="preserve">   p = 2 * (1 - NORMSDIST(ABS(Z)))</t>
  </si>
  <si>
    <t xml:space="preserve">Two proportions - the TEST uses the pooled rate:</t>
  </si>
  <si>
    <t xml:space="preserve">   p_pool = (x1 + x2) / (n1 + n2)</t>
  </si>
  <si>
    <t xml:space="preserve">SE     = SQRT( p_pool*(1 - p_pool) * (1/n1 + 1/n2) ) Z      = (p1 - p2) / SE</t>
  </si>
  <si>
    <t xml:space="preserve">Two proportions - the CONFIDENCE INTERVAL uses the separate rates:</t>
  </si>
  <si>
    <t xml:space="preserve">   SE_ci = SQRT( p1*(1-p1)/n1 + p2*(1-p2)/n2 )</t>
  </si>
  <si>
    <t xml:space="preserve">   CI    = (p1 - p2)  +/-  Z(alpha/2) * SE_ci</t>
  </si>
  <si>
    <t xml:space="preserve">Exact alternative when events are few:</t>
  </si>
  <si>
    <t xml:space="preserve">   two-sided exact p from the binomial distribution</t>
  </si>
  <si>
    <t xml:space="preserve">Converts the Z statistic into a tail probability</t>
  </si>
  <si>
    <t xml:space="preserve">Z multiplier for the confidence interval</t>
  </si>
  <si>
    <t xml:space="preserve">BINOMDIST(x, n, p0, TRUE)</t>
  </si>
  <si>
    <t xml:space="preserve">Exact cumulative probability when the normal approximation fails</t>
  </si>
  <si>
    <t xml:space="preserve">MIN</t>
  </si>
  <si>
    <t xml:space="preserve">MIN(a, b)</t>
  </si>
  <si>
    <t xml:space="preserve">Selects the smaller tail before doubling it for the exact test</t>
  </si>
  <si>
    <t xml:space="preserve">Every standard error on this sheet</t>
  </si>
  <si>
    <t xml:space="preserve">Before the labeller upgrade the Innocheck rejected 42 bottles out of 1,500 inspected. After the upgrade it rejected 18 out of 1,200. Did the rate genuinely fall, and by how much?</t>
  </si>
  <si>
    <t xml:space="preserve">PART 1 - ONE PROPORTION AGAINST A TARGET</t>
  </si>
  <si>
    <t xml:space="preserve">Defectives observed  x</t>
  </si>
  <si>
    <t xml:space="preserve">Units inspected  n</t>
  </si>
  <si>
    <t xml:space="preserve">Target proportion  p0</t>
  </si>
  <si>
    <t xml:space="preserve">p-value (two-sided, normal approximation)</t>
  </si>
  <si>
    <t xml:space="preserve">Exact binomial p-value (two-sided)</t>
  </si>
  <si>
    <t xml:space="preserve">PART 2 - TWO PROPORTIONS COMPARED</t>
  </si>
  <si>
    <t xml:space="preserve">Group 1 - defectives  x1</t>
  </si>
  <si>
    <t xml:space="preserve">Group 1 - inspected  n1</t>
  </si>
  <si>
    <t xml:space="preserve">Group 2 - defectives  x2</t>
  </si>
  <si>
    <t xml:space="preserve">Group 2 - inspected  n2</t>
  </si>
  <si>
    <t xml:space="preserve">p1</t>
  </si>
  <si>
    <t xml:space="preserve">p2</t>
  </si>
  <si>
    <t xml:space="preserve">Difference  p1 - p2</t>
  </si>
  <si>
    <t xml:space="preserve">Pooled proportion (used by the TEST)</t>
  </si>
  <si>
    <t xml:space="preserve">Standard error for the test</t>
  </si>
  <si>
    <t xml:space="preserve">Standard error for the INTERVAL (unpooled)</t>
  </si>
  <si>
    <t xml:space="preserve">Lower limit on the difference</t>
  </si>
  <si>
    <t xml:space="preserve">Upper limit on the difference</t>
  </si>
  <si>
    <t xml:space="preserve">Relative reduction</t>
  </si>
  <si>
    <t xml:space="preserve">Difference in PPM</t>
  </si>
  <si>
    <t xml:space="preserve">The two rates differ by more than sampling noise</t>
  </si>
  <si>
    <t xml:space="preserve">Equivalent to a significant test</t>
  </si>
  <si>
    <t xml:space="preserve">n*p and n*(1-p) both &gt;= 5</t>
  </si>
  <si>
    <t xml:space="preserve">Otherwise report the exact binomial p-value</t>
  </si>
  <si>
    <t xml:space="preserve">Pooled for the test, unpooled for the interval</t>
  </si>
  <si>
    <t xml:space="preserve">They are not the same quantity</t>
  </si>
  <si>
    <t xml:space="preserve">•  Using the pooled standard error for the confidence interval. Under the alternative hypothesis the two proportions are not assumed equal, so the interval must use them separately.</t>
  </si>
  <si>
    <t xml:space="preserve">•  Declaring an improvement from a drop in the point estimate without testing it.</t>
  </si>
  <si>
    <t xml:space="preserve">•  Comparing rates measured under different inspection definitions or by different inspectors.</t>
  </si>
  <si>
    <t xml:space="preserve">•  Applying the normal approximation with three defectives in the sample.</t>
  </si>
  <si>
    <t xml:space="preserve">•  Reporting only the relative reduction. A 50 per cent reduction from 4 PPM to 2 PPM is rarely worth a project; always show the absolute change as well.</t>
  </si>
  <si>
    <t xml:space="preserve">Q1.  Why does the test use a pooled proportion while the confidence interval does not?</t>
  </si>
  <si>
    <t xml:space="preserve">A1.  The test is computed under the null hypothesis that both groups share the same rate, so the best estimate of that common rate is the pooled proportion. The interval makes no such assumption; it estimates the difference between two genuinely distinct rates, so each contributes its own variance.</t>
  </si>
  <si>
    <t xml:space="preserve">Q2.  Your rate fell from 2.8 per cent to 1.5 per cent with p = 0.02. Is the project a success?</t>
  </si>
  <si>
    <t xml:space="preserve">A2.  Statistically yes, and the confidence interval will show the plausible range of the improvement. Whether it is a success commercially depends on the value of those 13,000 PPM, which belongs on G-02, and on whether the improvement is sustained on a p chart at E-52.</t>
  </si>
  <si>
    <t xml:space="preserve">Q3.  You inspected 300 bottles and found 2 defectives. Can you use the Z test?</t>
  </si>
  <si>
    <t xml:space="preserve">A3.  No. With n times p around 2, the normal approximation is unsafe: the binomial distribution is strongly skewed at that point. Report the exact binomial p-value, which this sheet computes, and the Wilson interval from E-16.</t>
  </si>
  <si>
    <t xml:space="preserve">E-30 — Chi-Square Tests and Fisher Exact</t>
  </si>
  <si>
    <t xml:space="preserve">Phase: ANALYZE   |   Data required: Contingency table   |   Min. sample: 20   |   Complexity: 3/5   |   Typical output: Chi-square, p-value, expected counts</t>
  </si>
  <si>
    <t xml:space="preserve">A contingency table: defect type by shift, failure mode by machine, outcome by supplier.</t>
  </si>
  <si>
    <t xml:space="preserve">A chi-square statistic, expected counts, contribution by cell, and Fisher's exact test.</t>
  </si>
  <si>
    <t xml:space="preserve">The chi-square test of independence asks whether the pattern of counts in a table could plausibly have arisen if the row variable and the column variable were unrelated.</t>
  </si>
  <si>
    <t xml:space="preserve">The mechanism is simple and worth understanding, because it tells you where to look afterwards. If the two variables were independent, the expected count in any cell would be the row total times the column total, divided by the grand total. The statistic then adds up the squared gap between what was observed and what was expected, scaled by the expected count.</t>
  </si>
  <si>
    <t xml:space="preserve">That last point is what makes the test useful in practice. The cell contributions are not equal, and the one or two cells that dominate the statistic are exactly where your problem lives. A significant chi-square on a defect-type by shift table is only mildly interesting; knowing that 70 per cent of the statistic comes from label defects on shift C is a finding you can act on this afternoon.</t>
  </si>
  <si>
    <t xml:space="preserve">The test has one real requirement: expected counts must not be too small. When they are, the chi-square approximation breaks down and Fisher's exact test is the correct alternative for a two by two table.</t>
  </si>
  <si>
    <t xml:space="preserve">✓  Defect type against shift, machine, SKU or supplier.</t>
  </si>
  <si>
    <t xml:space="preserve">✗  Not for continuous data, even if you have binned it into categories unnecessarily.</t>
  </si>
  <si>
    <t xml:space="preserve">✓  Pass or fail against three or more groups.</t>
  </si>
  <si>
    <t xml:space="preserve">✗  Not valid when expected counts are small: use Fisher's exact test.</t>
  </si>
  <si>
    <t xml:space="preserve">✓  Any table of counts where you suspect the categories are related.</t>
  </si>
  <si>
    <t xml:space="preserve">✗  It detects association, not causation, and not direction. See E-35.</t>
  </si>
  <si>
    <t xml:space="preserve">✓  Following a Pareto on H-06, to test whether the pattern differs by stratum.</t>
  </si>
  <si>
    <t xml:space="preserve">Expected counts are large enough</t>
  </si>
  <si>
    <t xml:space="preserve">All expected counts at least 5, or at least 80 per cent of them</t>
  </si>
  <si>
    <t xml:space="preserve">Combine categories, collect more data, or use Fisher's exact test</t>
  </si>
  <si>
    <t xml:space="preserve">Each unit appears in exactly one cell</t>
  </si>
  <si>
    <t xml:space="preserve">Repeated measurements on the same unit need a different model</t>
  </si>
  <si>
    <t xml:space="preserve">Counts are raw counts, not percentages</t>
  </si>
  <si>
    <t xml:space="preserve">Check that the table contains whole numbers of units</t>
  </si>
  <si>
    <t xml:space="preserve">Convert back to counts; the test is driven by sample size</t>
  </si>
  <si>
    <t xml:space="preserve">Expected count under independence:</t>
  </si>
  <si>
    <t xml:space="preserve">   Eij = (row total i * column total j) / grand total</t>
  </si>
  <si>
    <t xml:space="preserve">The statistic:</t>
  </si>
  <si>
    <t xml:space="preserve">   chi2 = SUM over all cells of  (Oij - Eij)^2 / Eij</t>
  </si>
  <si>
    <t xml:space="preserve">   df = (rows - 1) * (columns - 1)</t>
  </si>
  <si>
    <t xml:space="preserve">   p = CHIDIST(chi2, df)</t>
  </si>
  <si>
    <t xml:space="preserve">Effect size (Cramer's V):</t>
  </si>
  <si>
    <t xml:space="preserve">   V = SQRT( chi2 / (N * (min(rows, cols) - 1)) )</t>
  </si>
  <si>
    <t xml:space="preserve">   0.1 small     0.3 medium     0.5 large</t>
  </si>
  <si>
    <t xml:space="preserve">Fisher's exact test for a 2 x 2 table, one tail:</t>
  </si>
  <si>
    <t xml:space="preserve">   p = SUM of HYPGEOMDIST(k, row1 total, col1 total, N) for k from a upwards</t>
  </si>
  <si>
    <t xml:space="preserve">CHITEST</t>
  </si>
  <si>
    <t xml:space="preserve">CHITEST(actual_range, expected_range)</t>
  </si>
  <si>
    <t xml:space="preserve">Returns the p-value directly; used as a cross-check</t>
  </si>
  <si>
    <t xml:space="preserve">CHIDIST(chi2, df)</t>
  </si>
  <si>
    <t xml:space="preserve">Right tail probability from the statistic computed by hand</t>
  </si>
  <si>
    <t xml:space="preserve">CHIINV(alpha, df)</t>
  </si>
  <si>
    <t xml:space="preserve">Critical value at the chosen alpha</t>
  </si>
  <si>
    <t xml:space="preserve">SUM</t>
  </si>
  <si>
    <t xml:space="preserve">SUM(range)</t>
  </si>
  <si>
    <t xml:space="preserve">Row, column and grand totals</t>
  </si>
  <si>
    <t xml:space="preserve">HYPGEOMDIST</t>
  </si>
  <si>
    <t xml:space="preserve">HYPGEOMDIST(k, n_sample, n_success, N)</t>
  </si>
  <si>
    <t xml:space="preserve">Each term of Fisher's exact test</t>
  </si>
  <si>
    <t xml:space="preserve">COUNTIF(expected_range, "&lt;5")</t>
  </si>
  <si>
    <t xml:space="preserve">Checks the small expected count condition automatically</t>
  </si>
  <si>
    <t xml:space="preserve">Rejected bottles over one week, classified by defect type and by shift. Is the mix of defect types the same on every shift, or does one shift have a distinctive problem?</t>
  </si>
  <si>
    <t xml:space="preserve">OBSERVED COUNTS</t>
  </si>
  <si>
    <t xml:space="preserve">Defect type</t>
  </si>
  <si>
    <t xml:space="preserve">Row total</t>
  </si>
  <si>
    <t xml:space="preserve">Label misplaced</t>
  </si>
  <si>
    <t xml:space="preserve">Underfill</t>
  </si>
  <si>
    <t xml:space="preserve">Cap defect</t>
  </si>
  <si>
    <t xml:space="preserve">Column total</t>
  </si>
  <si>
    <t xml:space="preserve">EXPECTED COUNTS UNDER INDEPENDENCE</t>
  </si>
  <si>
    <t xml:space="preserve">CONTRIBUTION TO CHI-SQUARE BY CELL</t>
  </si>
  <si>
    <t xml:space="preserve">Row share</t>
  </si>
  <si>
    <t xml:space="preserve">Chi-square statistic</t>
  </si>
  <si>
    <t xml:space="preserve">Cross-check with CHITEST</t>
  </si>
  <si>
    <t xml:space="preserve">Critical chi-square</t>
  </si>
  <si>
    <t xml:space="preserve">Cramer's V (effect size)</t>
  </si>
  <si>
    <t xml:space="preserve">Cells with an expected count below 5</t>
  </si>
  <si>
    <t xml:space="preserve">Largest single cell contribution</t>
  </si>
  <si>
    <t xml:space="preserve">FISHER'S EXACT TEST  (2 x 2 tables only)</t>
  </si>
  <si>
    <t xml:space="preserve">Cell a</t>
  </si>
  <si>
    <t xml:space="preserve">Cell b</t>
  </si>
  <si>
    <t xml:space="preserve">Cell c</t>
  </si>
  <si>
    <t xml:space="preserve">Cell d</t>
  </si>
  <si>
    <t xml:space="preserve">Row 1 total  (a + b)</t>
  </si>
  <si>
    <t xml:space="preserve">Column 1 total  (a + c)</t>
  </si>
  <si>
    <t xml:space="preserve">Each row below is one term of the exact one-tailed probability, summed from the observed cell a upwards to the largest value the margins allow.</t>
  </si>
  <si>
    <t xml:space="preserve">k</t>
  </si>
  <si>
    <t xml:space="preserve">P(a = k)</t>
  </si>
  <si>
    <t xml:space="preserve">Include?</t>
  </si>
  <si>
    <t xml:space="preserve">One-tailed exact p-value</t>
  </si>
  <si>
    <t xml:space="preserve">Two-tailed exact p-value (doubled, conservative)</t>
  </si>
  <si>
    <t xml:space="preserve">Expected counts</t>
  </si>
  <si>
    <t xml:space="preserve">All at least 5</t>
  </si>
  <si>
    <t xml:space="preserve">Below this the chi-square approximation is unreliable</t>
  </si>
  <si>
    <t xml:space="preserve">The two categorical variables are associated</t>
  </si>
  <si>
    <t xml:space="preserve">Cramer's V</t>
  </si>
  <si>
    <t xml:space="preserve">0.1 small, 0.3 medium, 0.5 large</t>
  </si>
  <si>
    <t xml:space="preserve">Association strength, independent of sample size</t>
  </si>
  <si>
    <t xml:space="preserve">Largest cell contribution</t>
  </si>
  <si>
    <t xml:space="preserve">Look at it always</t>
  </si>
  <si>
    <t xml:space="preserve">It names the specific combination driving the result</t>
  </si>
  <si>
    <t xml:space="preserve">•  Running the test on percentages rather than counts. The statistic scales with sample size, so percentages give a meaningless answer.</t>
  </si>
  <si>
    <t xml:space="preserve">•  Stopping at the p-value. The cell contribution table is where the actionable finding is.</t>
  </si>
  <si>
    <t xml:space="preserve">•  Ignoring small expected counts, which inflates the statistic and produces false positives.</t>
  </si>
  <si>
    <t xml:space="preserve">•  Concluding causation from association. A shift effect may really be an SKU effect if shifts run different products; see E-35.</t>
  </si>
  <si>
    <t xml:space="preserve">•  Applying the test to repeated measurements on the same units, which breaks independence.</t>
  </si>
  <si>
    <t xml:space="preserve">Q1.  Where does the expected count in a cell come from?</t>
  </si>
  <si>
    <t xml:space="preserve">A1.  From the assumption of independence. If the row and column variables were unrelated, the proportion in each column would be the same for every row, so the expected count is the row total times the column total divided by the grand total.</t>
  </si>
  <si>
    <t xml:space="preserve">Q2.  Your chi-square is significant. What is the next thing to look at, and why?</t>
  </si>
  <si>
    <t xml:space="preserve">A2.  The cell contribution table. The statistic is a sum over cells and it is almost never spread evenly. The one or two cells with the largest contribution identify the specific defect type and shift combination that drives the association, which is what you can actually act on.</t>
  </si>
  <si>
    <t xml:space="preserve">Q3.  Two of your nine expected counts are 3 and 4. What should you do?</t>
  </si>
  <si>
    <t xml:space="preserve">A3.  Do not report the chi-square p-value as it stands. Either combine adjacent categories so that every expected count reaches 5, collect more data, or if the table can be reduced to two by two, use Fisher's exact test, which makes no large-sample approximation.</t>
  </si>
  <si>
    <t xml:space="preserve">Stratify further</t>
  </si>
  <si>
    <t xml:space="preserve">E-31 — Nonparametric Tests</t>
  </si>
  <si>
    <t xml:space="preserve">Phase: ANALYZE   |   Data required: Ordinal or non-normal data   |   Min. sample: 10   |   Complexity: 4/5   |   Typical output: Mann-Whitney, Kruskal-Wallis, sign test</t>
  </si>
  <si>
    <t xml:space="preserve">What do I run when normality fails, or when my data is only ranked?</t>
  </si>
  <si>
    <t xml:space="preserve">Skewed data, ordinal scores, small samples, or data with outliers you cannot delete.</t>
  </si>
  <si>
    <t xml:space="preserve">Mann-Whitney and Kruskal-Wallis with live rank calculations, plus the sign test.</t>
  </si>
  <si>
    <t xml:space="preserve">Nonparametric tests replace the values with their ranks and then work on the ranks. That single step buys two things: freedom from the normality assumption, and immunity to outliers, because the largest value becomes rank n whether it is 12 minutes or 12 hours.</t>
  </si>
  <si>
    <t xml:space="preserve">Mann-Whitney is the rank equivalent of the two-sample t-test. Rank all observations from both groups together, sum the ranks belonging to group 1, and ask whether that sum is further from its expected value than chance allows. If the two groups came from the same distribution, their ranks should be interleaved.</t>
  </si>
  <si>
    <t xml:space="preserve">Kruskal-Wallis extends the same idea to three or more groups and is the rank equivalent of one-way ANOVA.</t>
  </si>
  <si>
    <t xml:space="preserve">The price is modest. When the data really is normal, these tests have about 95 per cent of the power of their parametric equivalents - a small loss for a large gain in safety. When the data is not normal, they are frequently more powerful, not less.</t>
  </si>
  <si>
    <t xml:space="preserve">One caution that is often missed: Mann-Whitney does not test means. It tests whether one distribution tends to produce larger values than the other. If the two groups have very different spreads, a significant result may reflect that difference in shape rather than a shift in location.</t>
  </si>
  <si>
    <t xml:space="preserve">✓  Normality failed on E-32 and transformation on E-33 did not fix it.</t>
  </si>
  <si>
    <t xml:space="preserve">✗  Not preferred when the data is genuinely normal: the parametric test is slightly more powerful.</t>
  </si>
  <si>
    <t xml:space="preserve">✓  The data is ordinal: panel scores, severity ranks, condition grades.</t>
  </si>
  <si>
    <t xml:space="preserve">✗  Do not use it to compare means; it compares distributions.</t>
  </si>
  <si>
    <t xml:space="preserve">✓  Downtime durations, repair times and other strongly skewed data.</t>
  </si>
  <si>
    <t xml:space="preserve">✗  Ties reduce the power and need the tie correction, which is not applied here.</t>
  </si>
  <si>
    <t xml:space="preserve">✓  Small samples where normality cannot be assessed at all.</t>
  </si>
  <si>
    <t xml:space="preserve">Check the sampling plan</t>
  </si>
  <si>
    <t xml:space="preserve">Use the paired nonparametric alternative instead</t>
  </si>
  <si>
    <t xml:space="preserve">The distributions have similar shape (for a location interpretation)</t>
  </si>
  <si>
    <t xml:space="preserve">Compare the box plots on E-26 or the histograms on H-07</t>
  </si>
  <si>
    <t xml:space="preserve">Interpret the result as a difference in distribution, not in median</t>
  </si>
  <si>
    <t xml:space="preserve">Sample sizes are large enough for the normal approximation</t>
  </si>
  <si>
    <t xml:space="preserve">At least 8 per group for Mann-Whitney, 5 per group for Kruskal-Wallis</t>
  </si>
  <si>
    <t xml:space="preserve">Use exact tables for very small samples</t>
  </si>
  <si>
    <t xml:space="preserve">Ranking with ties handled by the average rank:</t>
  </si>
  <si>
    <t xml:space="preserve">   rank(x) = RANK(x, all_data, 1) + (COUNTIF(all_data, x) - 1) / 2</t>
  </si>
  <si>
    <t xml:space="preserve">Mann-Whitney:</t>
  </si>
  <si>
    <t xml:space="preserve">   R1 = sum of the ranks belonging to group 1</t>
  </si>
  <si>
    <t xml:space="preserve">U1 = R1 - n1*(n1 + 1)/2            U2 = n1*n2 - U1        U = MIN(U1, U2) mean(U)  = n1*n2/2</t>
  </si>
  <si>
    <t xml:space="preserve">   sd(U)    = SQRT( n1*n2*(n1 + n2 + 1) / 12 )</t>
  </si>
  <si>
    <t xml:space="preserve">   Z = (U - mean(U)) / sd(U)          p = 2*(1 - NORMSDIST(ABS(Z)))</t>
  </si>
  <si>
    <t xml:space="preserve">Kruskal-Wallis for k groups, N observations in total:</t>
  </si>
  <si>
    <t xml:space="preserve">H = 12/(N*(N+1)) * SUM over groups of  Rj^2 / nj   -  3*(N + 1) p = CHIDIST(H, k - 1)</t>
  </si>
  <si>
    <t xml:space="preserve">Sign test for paired data:</t>
  </si>
  <si>
    <t xml:space="preserve">   count the positive differences; p from the binomial with p = 0.5</t>
  </si>
  <si>
    <t xml:space="preserve">Ascending rank across the COMBINED data of all groups</t>
  </si>
  <si>
    <t xml:space="preserve">COUNTIF(range, value)</t>
  </si>
  <si>
    <t xml:space="preserve">Detects ties so the average rank can be applied</t>
  </si>
  <si>
    <t xml:space="preserve">SUMPRODUCT((range&lt;&gt;"")*rank_range)</t>
  </si>
  <si>
    <t xml:space="preserve">Sums the ranks belonging to one group without a helper column</t>
  </si>
  <si>
    <t xml:space="preserve">Normal approximation p-value for Mann-Whitney</t>
  </si>
  <si>
    <t xml:space="preserve">CHIDIST(H, k-1)</t>
  </si>
  <si>
    <t xml:space="preserve">p-value for Kruskal-Wallis</t>
  </si>
  <si>
    <t xml:space="preserve">BINOMDIST(x, n, 0.5, TRUE)</t>
  </si>
  <si>
    <t xml:space="preserve">Exact p-value for the sign test</t>
  </si>
  <si>
    <t xml:space="preserve">Downtime durations in minutes for two wrapper configurations, ten stops each. The data is strongly right skewed, so the t-test is not defensible. Ranks are computed live in the grey columns.</t>
  </si>
  <si>
    <t xml:space="preserve">PART 1 - MANN-WHITNEY  (two groups)</t>
  </si>
  <si>
    <t xml:space="preserve">Config 1 (min)</t>
  </si>
  <si>
    <t xml:space="preserve">Config 2 (min)</t>
  </si>
  <si>
    <t xml:space="preserve">Rank 1</t>
  </si>
  <si>
    <t xml:space="preserve">Rank 2</t>
  </si>
  <si>
    <t xml:space="preserve">n1</t>
  </si>
  <si>
    <t xml:space="preserve">n2</t>
  </si>
  <si>
    <t xml:space="preserve">Sum of ranks, group 1  R1</t>
  </si>
  <si>
    <t xml:space="preserve">Sum of ranks, group 2  R2</t>
  </si>
  <si>
    <t xml:space="preserve">Check: R1 + R2 must equal N(N+1)/2</t>
  </si>
  <si>
    <t xml:space="preserve">U1</t>
  </si>
  <si>
    <t xml:space="preserve">U2</t>
  </si>
  <si>
    <t xml:space="preserve">U statistic (the smaller)</t>
  </si>
  <si>
    <t xml:space="preserve">Expected U under H0</t>
  </si>
  <si>
    <t xml:space="preserve">StDev of U</t>
  </si>
  <si>
    <t xml:space="preserve">Median, group 1 (min)</t>
  </si>
  <si>
    <t xml:space="preserve">Median, group 2 (min)</t>
  </si>
  <si>
    <t xml:space="preserve">PART 2 - KRUSKAL-WALLIS  (three or more groups)</t>
  </si>
  <si>
    <t xml:space="preserve">The four shift columns from E-26, ranked across all 32 observations together.</t>
  </si>
  <si>
    <t xml:space="preserve">Rk A</t>
  </si>
  <si>
    <t xml:space="preserve">Rk B</t>
  </si>
  <si>
    <t xml:space="preserve">Rk C</t>
  </si>
  <si>
    <t xml:space="preserve">Rk D</t>
  </si>
  <si>
    <t xml:space="preserve">SUM of Rj squared / nj</t>
  </si>
  <si>
    <t xml:space="preserve">Kruskal-Wallis  H</t>
  </si>
  <si>
    <t xml:space="preserve">PART 3 - SIGN TEST  (paired data, the simplest nonparametric test)</t>
  </si>
  <si>
    <t xml:space="preserve">Number of positive differences</t>
  </si>
  <si>
    <t xml:space="preserve">Number of non-zero differences</t>
  </si>
  <si>
    <t xml:space="preserve">Exact two-sided p-value</t>
  </si>
  <si>
    <t xml:space="preserve">Mann-Whitney p</t>
  </si>
  <si>
    <t xml:space="preserve">One group tends to produce larger values than the other</t>
  </si>
  <si>
    <t xml:space="preserve">Kruskal-Wallis p</t>
  </si>
  <si>
    <t xml:space="preserve">At least one of the three or more groups differs</t>
  </si>
  <si>
    <t xml:space="preserve">Rank sum check</t>
  </si>
  <si>
    <t xml:space="preserve">R1 + R2 = N(N+1)/2</t>
  </si>
  <si>
    <t xml:space="preserve">If this fails, the ranking is wrong; fix it before reading anything</t>
  </si>
  <si>
    <t xml:space="preserve">Relative efficiency</t>
  </si>
  <si>
    <t xml:space="preserve">About 95% of the t-test under normality</t>
  </si>
  <si>
    <t xml:space="preserve">A small price for freedom from the assumption</t>
  </si>
  <si>
    <t xml:space="preserve">•  Reporting Mann-Whitney as a test of means. It compares distributions; quote the medians.</t>
  </si>
  <si>
    <t xml:space="preserve">•  Ranking each group separately. The ranking must be done across the combined data.</t>
  </si>
  <si>
    <t xml:space="preserve">•  Ignoring ties. With many repeated values the tie correction matters and the p-value here is approximate.</t>
  </si>
  <si>
    <t xml:space="preserve">•  Using a nonparametric test as a first resort. If the data is normal, the parametric test is better.</t>
  </si>
  <si>
    <t xml:space="preserve">•  Interpreting a significant result as a location shift when the two groups have very different spreads.</t>
  </si>
  <si>
    <t xml:space="preserve">Q1.  Why must the ranking be done across the combined data rather than within each group?</t>
  </si>
  <si>
    <t xml:space="preserve">A1.  Because the test asks whether the two groups interleave. If you rank within groups, both groups produce the ranks 1 to n regardless of their values, and all the information about which group has the larger values is destroyed.</t>
  </si>
  <si>
    <t xml:space="preserve">Q2.  Mann-Whitney is significant but the two medians are nearly identical. What might be happening?</t>
  </si>
  <si>
    <t xml:space="preserve">A2.  The groups probably differ in spread or shape rather than in location. Mann-Whitney tests whether one distribution tends to produce larger values, which a difference in variance can also cause. Compare the box plots and run a variance test on E-28 before interpreting it as a location shift.</t>
  </si>
  <si>
    <t xml:space="preserve">Q3.  Your data is normal. Should you still prefer the nonparametric test to be safe?</t>
  </si>
  <si>
    <t xml:space="preserve">A3.  No. Under normality Mann-Whitney has about 95 per cent of the power of the t-test, so you would be discarding real sensitivity for no benefit. Nonparametric tests are the correct choice when the assumption fails, not a universal precaution.</t>
  </si>
  <si>
    <t xml:space="preserve">E-32 — Normality Testing and Probability Plots</t>
  </si>
  <si>
    <t xml:space="preserve">Phase: ANALYZE   |   Data required: Continuous measurements   |   Min. sample: 20   |   Complexity: 3/5   |   Typical output: Anderson-Darling style verdict and probability plot</t>
  </si>
  <si>
    <t xml:space="preserve">Can I assume normality, and how badly is the assumption broken if not?</t>
  </si>
  <si>
    <t xml:space="preserve">Before any capability study, t-test or ANOVA on continuous data.</t>
  </si>
  <si>
    <t xml:space="preserve">An Anderson-Darling statistic with its p-value and a normal probability plot.</t>
  </si>
  <si>
    <t xml:space="preserve">Normality is assumed far more often than it is checked, and the consequences differ enormously depending on what you are about to do with the data.</t>
  </si>
  <si>
    <t xml:space="preserve">For a t-test on means, normality barely matters once n passes about 30, because the Central Limit Theorem on E-08 protects the sample mean. For a capability study it matters enormously, because Cpk converts a distance into a tail probability, and the tail is exactly where distributions differ.</t>
  </si>
  <si>
    <t xml:space="preserve">Two tools are used together here. The normal probability plot is the honest one: it plots each ordered observation against the value a normal distribution would have put there. A straight line means normal; a curve at one end means skew; an S shape means heavy or light tails. It shows you HOW the assumption fails.</t>
  </si>
  <si>
    <t xml:space="preserve">The Anderson-Darling test then puts a number on it. It is preferred to alternatives because it weights the tails more heavily, which is precisely the region that capability depends on.</t>
  </si>
  <si>
    <t xml:space="preserve">One warning that reverses the usual intuition: with a very large sample almost any real process will fail a normality test, because no physical process is exactly normal. Look at the plot and ask whether the departure is large enough to change your decision, rather than reading the p-value alone.</t>
  </si>
  <si>
    <t xml:space="preserve">✓  Before computing Cp, Cpk, Pp or Ppk on E-57.</t>
  </si>
  <si>
    <t xml:space="preserve">✗  Not needed before an Xbar chart with n of 4 or 5: the CLT covers it.</t>
  </si>
  <si>
    <t xml:space="preserve">✓  Before an Individuals chart on E-49, which has no CLT protection.</t>
  </si>
  <si>
    <t xml:space="preserve">✗  Do not test the raw data before an ANOVA; test the residuals.</t>
  </si>
  <si>
    <t xml:space="preserve">✓  Before a t-test or ANOVA when the sample is small.</t>
  </si>
  <si>
    <t xml:space="preserve">✗  Not meaningful below about 15 observations: the test has almost no power.</t>
  </si>
  <si>
    <t xml:space="preserve">✓  Whenever a histogram looks lopsided and you need evidence.</t>
  </si>
  <si>
    <t xml:space="preserve">Stratify by shift, cavity, SKU and machine on H-09</t>
  </si>
  <si>
    <t xml:space="preserve">A mixture of two normal streams fails the test; split it rather than transforming</t>
  </si>
  <si>
    <t xml:space="preserve">Control chart the data in time order first</t>
  </si>
  <si>
    <t xml:space="preserve">One special cause is enough to fail the test; find it on E-47</t>
  </si>
  <si>
    <t xml:space="preserve">The measurement resolution is adequate</t>
  </si>
  <si>
    <t xml:space="preserve">Count the distinct values; heavy rounding creates artificial steps</t>
  </si>
  <si>
    <t xml:space="preserve">Improve the gauge resolution; see the ndc criterion on E-59</t>
  </si>
  <si>
    <t xml:space="preserve">Normal probability plot, using Blom plotting positions:</t>
  </si>
  <si>
    <t xml:space="preserve">   for the i-th ordered value x(i) of n observations</t>
  </si>
  <si>
    <t xml:space="preserve">   plotting position = (i - 0.375) / (n + 0.25)</t>
  </si>
  <si>
    <t xml:space="preserve">   normal score      = NORMSINV(plotting position)</t>
  </si>
  <si>
    <t xml:space="preserve">   a straight line of x(i) against the normal score means the data is normal</t>
  </si>
  <si>
    <t xml:space="preserve">Anderson-Darling statistic:</t>
  </si>
  <si>
    <t xml:space="preserve">   F(i) = NORMDIST( x(i), xbar, s, TRUE )</t>
  </si>
  <si>
    <t xml:space="preserve">   A^2  = -n - (1/n) * SUM over i of (2i - 1) * [ LN F(i) + LN( 1 - F(n+1-i) ) ]</t>
  </si>
  <si>
    <t xml:space="preserve">Small sample adjustment and p-value approximation (Stephens):</t>
  </si>
  <si>
    <t xml:space="preserve">   AD* = A^2 * (1 + 0.75/n + 2.25/n^2)</t>
  </si>
  <si>
    <t xml:space="preserve">   the p-value follows a four-branch exponential approximation in AD*</t>
  </si>
  <si>
    <t xml:space="preserve">Interpreting the plot shape:</t>
  </si>
  <si>
    <t xml:space="preserve">   curve up at both ends      -&gt; heavy tails</t>
  </si>
  <si>
    <t xml:space="preserve">   curve at one end only      -&gt; skew in that direction</t>
  </si>
  <si>
    <t xml:space="preserve">   step pattern               -&gt; insufficient measurement resolution</t>
  </si>
  <si>
    <t xml:space="preserve">SMALL</t>
  </si>
  <si>
    <t xml:space="preserve">SMALL(range, k)</t>
  </si>
  <si>
    <t xml:space="preserve">Returns the k-th smallest value, so the data need not be sorted by hand</t>
  </si>
  <si>
    <t xml:space="preserve">NORMDIST(x, mean, sd, TRUE)</t>
  </si>
  <si>
    <t xml:space="preserve">Cumulative probability F(x) used by Anderson-Darling</t>
  </si>
  <si>
    <t xml:space="preserve">Normal score for the probability plot</t>
  </si>
  <si>
    <t xml:space="preserve">Both logarithms inside the Anderson-Darling summation</t>
  </si>
  <si>
    <t xml:space="preserve">CORREL(x_sorted, normal_score)</t>
  </si>
  <si>
    <t xml:space="preserve">Straightness of the probability plot</t>
  </si>
  <si>
    <t xml:space="preserve">Nested IF on AD*</t>
  </si>
  <si>
    <t xml:space="preserve">Implements the four-branch p-value approximation</t>
  </si>
  <si>
    <t xml:space="preserve">The thirty fill volumes from E-03. Overwrite the yellow column with your own data; the sorting, the plot and the Anderson-Darling statistic all follow automatically.</t>
  </si>
  <si>
    <t xml:space="preserve">The table below sorts the data, builds the plot and computes the statistic.</t>
  </si>
  <si>
    <t xml:space="preserve">Value (yellow = your data)</t>
  </si>
  <si>
    <t xml:space="preserve">i</t>
  </si>
  <si>
    <t xml:space="preserve">x sorted</t>
  </si>
  <si>
    <t xml:space="preserve">F(x i)</t>
  </si>
  <si>
    <t xml:space="preserve">1 - F(x n+1-i)</t>
  </si>
  <si>
    <t xml:space="preserve">AD term</t>
  </si>
  <si>
    <t xml:space="preserve">Anderson-Darling  A squared</t>
  </si>
  <si>
    <t xml:space="preserve">Adjusted  AD*</t>
  </si>
  <si>
    <t xml:space="preserve">p-value (Stephens approximation)</t>
  </si>
  <si>
    <t xml:space="preserve">Probability plot correlation</t>
  </si>
  <si>
    <t xml:space="preserve">Anderson-Darling p</t>
  </si>
  <si>
    <t xml:space="preserve">p &gt;= 0.05</t>
  </si>
  <si>
    <t xml:space="preserve">No evidence against normality</t>
  </si>
  <si>
    <t xml:space="preserve">&gt;= 0.98 at n = 30</t>
  </si>
  <si>
    <t xml:space="preserve">The probability plot is acceptably straight</t>
  </si>
  <si>
    <t xml:space="preserve">Distinct values</t>
  </si>
  <si>
    <t xml:space="preserve">At least 10</t>
  </si>
  <si>
    <t xml:space="preserve">Fewer means the gauge resolution, not the process, is the problem</t>
  </si>
  <si>
    <t xml:space="preserve">Large samples</t>
  </si>
  <si>
    <t xml:space="preserve">n above about 200</t>
  </si>
  <si>
    <t xml:space="preserve">Almost anything fails; judge the plot, not the p-value</t>
  </si>
  <si>
    <t xml:space="preserve">•  Testing the raw data before an ANOVA. The assumption applies to the residuals, not to the observations.</t>
  </si>
  <si>
    <t xml:space="preserve">•  Transforming data that failed the test without first checking whether two process streams are mixed.</t>
  </si>
  <si>
    <t xml:space="preserve">•  Rejecting normality on a large sample and abandoning a perfectly usable analysis. Ask whether the departure is large enough to change the decision.</t>
  </si>
  <si>
    <t xml:space="preserve">•  Assuming normality for a capability study because the t-test 'would have been fine'. The two have completely different sensitivity to shape.</t>
  </si>
  <si>
    <t xml:space="preserve">•  Ignoring a step pattern in the plot, which signals rounding or inadequate gauge resolution rather than a distributional problem.</t>
  </si>
  <si>
    <t xml:space="preserve">Q1.  Why does normality matter far more for a capability study than for a t-test?</t>
  </si>
  <si>
    <t xml:space="preserve">A1.  A t-test concerns the sample mean, which the Central Limit Theorem drives towards normality whatever the raw shape. A capability index converts a distance from the specification into a tail probability using the assumed distribution, and tails are exactly where distributions differ most.</t>
  </si>
  <si>
    <t xml:space="preserve">Q2.  Your probability plot curves upwards at the right-hand end only. What does that indicate?</t>
  </si>
  <si>
    <t xml:space="preserve">A2.  A long right tail: the largest observations are further above the mean than a normal distribution would place them. That is positive skew, which is typical of fill volume when a valve occasionally sticks open, and it will make the normal model under-estimate the upper tail defect rate.</t>
  </si>
  <si>
    <t xml:space="preserve">Q3.  With n = 400 the Anderson-Darling test returns p = 0.01. Should you abandon normal methods?</t>
  </si>
  <si>
    <t xml:space="preserve">A3.  Not automatically. At that sample size the test detects departures far too small to matter. Look at the probability plot and at the skewness and kurtosis: if the plot is essentially straight, the practical consequence for your decision is negligible.</t>
  </si>
  <si>
    <t xml:space="preserve">E-33 — When Assumptions Fail: Transformations and Alternatives</t>
  </si>
  <si>
    <t xml:space="preserve">Phase: ANALYZE   |   Data required: The failing dataset   |   Min. sample: 20   |   Complexity: 4/5   |   Typical output: Box-Cox lambda and alternative test route</t>
  </si>
  <si>
    <t xml:space="preserve">My assumptions failed - what do I do now?</t>
  </si>
  <si>
    <t xml:space="preserve">After a failed normality or equal-variance check.</t>
  </si>
  <si>
    <t xml:space="preserve">BOX-COX GRID - 17 lambdas across, 30 transformed values down</t>
  </si>
  <si>
    <t xml:space="preserve">A live Box-Cox lambda search and a routing table to the correct alternative.</t>
  </si>
  <si>
    <t xml:space="preserve">SUM LN(x)</t>
  </si>
  <si>
    <t xml:space="preserve">A failed assumption is not the end of the analysis. There are four routes, and they should be tried in order.</t>
  </si>
  <si>
    <t xml:space="preserve">ROUTE 1 - find the real cause. Most normality failures on a packaging line are not distributional at all.</t>
  </si>
  <si>
    <t xml:space="preserve">They are a mixture of two shifts, a special cause event sitting in the data, or a gauge with too few distinct</t>
  </si>
  <si>
    <t xml:space="preserve">values. Stratify on H-09 and control chart on E-49 before touching a transformation. A transformation applied</t>
  </si>
  <si>
    <t xml:space="preserve">to a mixture hides the very finding you were looking for.</t>
  </si>
  <si>
    <t xml:space="preserve">ROUTE 2 - transform. Box-Cox searches a family of power transformations for the one that makes the data most</t>
  </si>
  <si>
    <t xml:space="preserve">nearly normal. Lambda 0.5 is the square root, lambda 0 is the logarithm, lambda -1 is the reciprocal.</t>
  </si>
  <si>
    <t xml:space="preserve">The cost is interpretability: nobody on the floor thinks in log minutes, so every result must be transformed back.</t>
  </si>
  <si>
    <t xml:space="preserve">ROUTE 3 - use a distribution that fits. Identify it on E-13 and compute capability against it on E-58.</t>
  </si>
  <si>
    <t xml:space="preserve">ROUTE 4 - use a method that assumes nothing. The nonparametric tests on E-31 need no distributional</t>
  </si>
  <si>
    <t xml:space="preserve">assumption at all, and cost only about five per cent of the power when the data was normal anyway.</t>
  </si>
  <si>
    <t xml:space="preserve">✓  Anderson-Darling on E-32 rejected normality.</t>
  </si>
  <si>
    <t xml:space="preserve">✗  Do not transform before checking for mixed streams or special causes.</t>
  </si>
  <si>
    <t xml:space="preserve">✓  Levene on E-28 found unequal variances that a transformation might stabilise.</t>
  </si>
  <si>
    <t xml:space="preserve">✗  Do not transform data containing zeros or negatives without shifting it first.</t>
  </si>
  <si>
    <t xml:space="preserve">✓  Residuals on E-37 show a funnel shape, which usually means a variance that grows with the mean.</t>
  </si>
  <si>
    <t xml:space="preserve">✗  Do not transform simply to obtain a better looking Cpk.</t>
  </si>
  <si>
    <t xml:space="preserve">✓  Before forcing a capability index onto clearly skewed data.</t>
  </si>
  <si>
    <t xml:space="preserve">Check the minimum of the data</t>
  </si>
  <si>
    <t xml:space="preserve">Add a constant to every value and record the shift used</t>
  </si>
  <si>
    <t xml:space="preserve">The data is one stream, not a mixture</t>
  </si>
  <si>
    <t xml:space="preserve">Stratify on H-09 and look for two peaks</t>
  </si>
  <si>
    <t xml:space="preserve">Split the data; transformation would conceal the real finding</t>
  </si>
  <si>
    <t xml:space="preserve">The transformed result will be reported back on the original scale</t>
  </si>
  <si>
    <t xml:space="preserve">Confirm the reverse transformation before publishing anything</t>
  </si>
  <si>
    <t xml:space="preserve">Report medians on the original scale, which back-transform correctly</t>
  </si>
  <si>
    <t xml:space="preserve">Box-Cox family:</t>
  </si>
  <si>
    <t xml:space="preserve">   y(lambda) = (x^lambda - 1) / lambda        for lambda &lt;&gt; 0</t>
  </si>
  <si>
    <t xml:space="preserve">   y(0)      = LN(x)                          for lambda = 0</t>
  </si>
  <si>
    <t xml:space="preserve">The log-likelihood that Box-Cox maximises, for a sample of n values:</t>
  </si>
  <si>
    <t xml:space="preserve">VARP</t>
  </si>
  <si>
    <t xml:space="preserve">   LL(lambda) = -(n/2) * LN( variance of y(lambda) )  +  (lambda - 1) * SUM LN(xi)</t>
  </si>
  <si>
    <t xml:space="preserve">Log-likelihood</t>
  </si>
  <si>
    <t xml:space="preserve">   the best lambda is the one with the highest LL</t>
  </si>
  <si>
    <t xml:space="preserve">Common lambdas and their meaning:</t>
  </si>
  <si>
    <t xml:space="preserve">   lambda =  1     no transformation needed</t>
  </si>
  <si>
    <t xml:space="preserve">lambda =  0.5   square root      typical of count data lambda =  0     logarithm        typical of repair times and downtime lambda = -0.5   reciprocal root</t>
  </si>
  <si>
    <t xml:space="preserve">   lambda = -1     reciprocal       typical of rates</t>
  </si>
  <si>
    <t xml:space="preserve">Always round the fitted lambda to the nearest practical value before using it.</t>
  </si>
  <si>
    <t xml:space="preserve">VARP(range)</t>
  </si>
  <si>
    <t xml:space="preserve">Population variance of the transformed column, as the likelihood requires</t>
  </si>
  <si>
    <t xml:space="preserve">Both the lambda = 0 case and the likelihood term</t>
  </si>
  <si>
    <t xml:space="preserve">Quick check that the transformation actually removed the asymmetry</t>
  </si>
  <si>
    <t xml:space="preserve">INDEX(lambda_row, MATCH(MAX(LL_row), LL_row, 0))</t>
  </si>
  <si>
    <t xml:space="preserve">Picks the maximising lambda</t>
  </si>
  <si>
    <t xml:space="preserve">MAX / LARGE</t>
  </si>
  <si>
    <t xml:space="preserve">Best log-likelihood, and the margin over the runner-up</t>
  </si>
  <si>
    <t xml:space="preserve">^</t>
  </si>
  <si>
    <t xml:space="preserve">x^lambda</t>
  </si>
  <si>
    <t xml:space="preserve">The power transformation itself</t>
  </si>
  <si>
    <t xml:space="preserve">Thirty downtime durations in minutes from the Robopac wrapper - strongly right skewed, the shape that always fails a normality test. The grid searches 17 values of lambda from -2 to 2 and reports the best.</t>
  </si>
  <si>
    <t xml:space="preserve">Lambda grid - start</t>
  </si>
  <si>
    <t xml:space="preserve">Lambda grid - step</t>
  </si>
  <si>
    <t xml:space="preserve">Significance level for the normality check</t>
  </si>
  <si>
    <t xml:space="preserve">Downtime (min) - yellow = your data</t>
  </si>
  <si>
    <t xml:space="preserve">The 17-column search grid sits to the right, from column P. Row 8 holds each lambda, row 40 the log-likelihood and row 41 the resulting skewness.</t>
  </si>
  <si>
    <t xml:space="preserve">Best lambda (maximises the log-likelihood)</t>
  </si>
  <si>
    <t xml:space="preserve">Maximum log-likelihood</t>
  </si>
  <si>
    <t xml:space="preserve">Rounded practical lambda</t>
  </si>
  <si>
    <t xml:space="preserve">Transformation to use</t>
  </si>
  <si>
    <t xml:space="preserve">Skewness before (raw data)</t>
  </si>
  <si>
    <t xml:space="preserve">Skewness after the best lambda</t>
  </si>
  <si>
    <t xml:space="preserve">Minimum value in the data</t>
  </si>
  <si>
    <t xml:space="preserve">Is Box-Cox applicable?</t>
  </si>
  <si>
    <t xml:space="preserve">IF TRANSFORMATION IS NOT THE ANSWER - THE OTHER THREE ROUTES</t>
  </si>
  <si>
    <t xml:space="preserve">Do this instead</t>
  </si>
  <si>
    <t xml:space="preserve">The histogram has two peaks</t>
  </si>
  <si>
    <t xml:space="preserve">Stratify: you have two process streams, not one distribution</t>
  </si>
  <si>
    <t xml:space="preserve">A few extreme values dominate</t>
  </si>
  <si>
    <t xml:space="preserve">Investigate them as special causes before any transformation</t>
  </si>
  <si>
    <t xml:space="preserve">Comparing two groups</t>
  </si>
  <si>
    <t xml:space="preserve">Mann-Whitney instead of the two-sample t-test</t>
  </si>
  <si>
    <t xml:space="preserve">Comparing three or more groups</t>
  </si>
  <si>
    <t xml:space="preserve">Kruskal-Wallis instead of one-way ANOVA</t>
  </si>
  <si>
    <t xml:space="preserve">Unequal variances between groups</t>
  </si>
  <si>
    <t xml:space="preserve">Welch, which needs no equal variance assumption</t>
  </si>
  <si>
    <t xml:space="preserve">Capability on skewed data</t>
  </si>
  <si>
    <t xml:space="preserve">Fit the real distribution and use Z-bench</t>
  </si>
  <si>
    <t xml:space="preserve">Time to failure data</t>
  </si>
  <si>
    <t xml:space="preserve">Weibull rather than a transformation</t>
  </si>
  <si>
    <t xml:space="preserve">Very few distinct values</t>
  </si>
  <si>
    <t xml:space="preserve">Fix the gauge resolution; the problem is measurement, not shape</t>
  </si>
  <si>
    <t xml:space="preserve">Best lambda near 1</t>
  </si>
  <si>
    <t xml:space="preserve">0.75 to 1.25</t>
  </si>
  <si>
    <t xml:space="preserve">No transformation is needed</t>
  </si>
  <si>
    <t xml:space="preserve">Best lambda near 0</t>
  </si>
  <si>
    <t xml:space="preserve">-0.25 to 0.25</t>
  </si>
  <si>
    <t xml:space="preserve">Use the natural logarithm</t>
  </si>
  <si>
    <t xml:space="preserve">Skewness reduction</t>
  </si>
  <si>
    <t xml:space="preserve">Above 70%</t>
  </si>
  <si>
    <t xml:space="preserve">The transformation has done its job</t>
  </si>
  <si>
    <t xml:space="preserve">Below 30%</t>
  </si>
  <si>
    <t xml:space="preserve">Transformation is not the answer; look for a mixture instead</t>
  </si>
  <si>
    <t xml:space="preserve">•  Transforming before checking for mixed streams. The transformation will hide the finding.</t>
  </si>
  <si>
    <t xml:space="preserve">•  Reporting a mean on the transformed scale. Back-transforming a mean does not give the original mean; back-transforming a median does give the original median.</t>
  </si>
  <si>
    <t xml:space="preserve">•  Using the fitted lambda to three decimals. Round it to a value with a physical meaning.</t>
  </si>
  <si>
    <t xml:space="preserve">•  Transforming only to make a capability index look better, without stating the transformation.</t>
  </si>
  <si>
    <t xml:space="preserve">•  Forgetting that the specification limits must be transformed too, using exactly the same lambda.</t>
  </si>
  <si>
    <t xml:space="preserve">Q1.  Box-Cox returns lambda = 0.07. Which transformation do you use, and why not 0.07 exactly?</t>
  </si>
  <si>
    <t xml:space="preserve">A1.  The natural logarithm, because lambda rounds to 0. A fitted lambda is an estimate with its own uncertainty, and 0.07 has no physical interpretation while the logarithm does. Rounding to a meaningful value also keeps the analysis reproducible by anyone else.</t>
  </si>
  <si>
    <t xml:space="preserve">Q2.  Why must the specification limits be transformed as well?</t>
  </si>
  <si>
    <t xml:space="preserve">A2.  Because capability compares the data with the limits on the same scale. If you transform the measurements but not the limits, you are comparing two different quantities and the resulting index is meaningless.</t>
  </si>
  <si>
    <t xml:space="preserve">Q3.  Your data is bimodal and Box-Cox produces only a 15 per cent reduction in skewness. What now?</t>
  </si>
  <si>
    <t xml:space="preserve">A3.  Stop transforming. A bimodal distribution is almost always two process streams pooled together - two shifts, two cavities, two SKUs. Stratify on H-09 and analyse each stream separately. No power transformation can turn two peaks into one.</t>
  </si>
  <si>
    <t xml:space="preserve">E-34 — Scatter Plots and Correlation</t>
  </si>
  <si>
    <t xml:space="preserve">Phase: ANALYZE   |   Data required: Paired continuous data   |   Min. sample: 25   |   Complexity: 2/5   |   Typical output: Pearson r, Spearman rho, p-value, scatter</t>
  </si>
  <si>
    <t xml:space="preserve">Do these two variables move together, and how strongly?</t>
  </si>
  <si>
    <t xml:space="preserve">Two continuous variables measured on the same units.</t>
  </si>
  <si>
    <t xml:space="preserve">Pearson r, Spearman rho, a p-value, a confidence interval and a scatter plot.</t>
  </si>
  <si>
    <t xml:space="preserve">Correlation measures how tightly two variables move together on a straight line, on a scale from -1 to +1.</t>
  </si>
  <si>
    <t xml:space="preserve">The scatter plot comes first, always, and the coefficient second. A single number cannot tell you that the relationship is curved, that one outlier created it, or that two separate clusters produced it. Anscombe's famous four data sets all share r = 0.816 and look nothing alike.</t>
  </si>
  <si>
    <t xml:space="preserve">Pearson r measures LINEAR association only. A perfect parabola has r near zero, and reporting that as 'no relationship' is one of the most expensive mistakes available on this sheet, because curved relationships are common in packaging: oven temperature against wall thickness has an optimum, not a slope.</t>
  </si>
  <si>
    <t xml:space="preserve">Spearman rho ranks the data first, so it captures any monotonic relationship and shrugs off outliers. When Pearson and Spearman differ markedly, that difference is itself the finding: either the relationship is curved, or a small number of extreme points is doing all the work.</t>
  </si>
  <si>
    <t xml:space="preserve">Finally, r squared is the share of variation in one variable that the other accounts for. An r of 0.7 sounds strong and explains only half the variation.</t>
  </si>
  <si>
    <t xml:space="preserve">✓  Screening which process inputs relate to a key output.</t>
  </si>
  <si>
    <t xml:space="preserve">✗  Not a test of causation: see E-35 before drawing any conclusion.</t>
  </si>
  <si>
    <t xml:space="preserve">✓  Before fitting a regression on E-36.</t>
  </si>
  <si>
    <t xml:space="preserve">✗  Not appropriate for a curved relationship; the plot will show it.</t>
  </si>
  <si>
    <t xml:space="preserve">✓  Checking whether two gauges track each other.</t>
  </si>
  <si>
    <t xml:space="preserve">✗  Not meaningful when the range of X was deliberately restricted.</t>
  </si>
  <si>
    <t xml:space="preserve">✓  Testing whether a suspected driver actually moves with the response.</t>
  </si>
  <si>
    <t xml:space="preserve">The relationship is linear</t>
  </si>
  <si>
    <t xml:space="preserve">Look at the scatter plot before reading r</t>
  </si>
  <si>
    <t xml:space="preserve">Transform on E-33, or fit a curve on E-46</t>
  </si>
  <si>
    <t xml:space="preserve">E-46  Response Surface Methods and Optimisation</t>
  </si>
  <si>
    <t xml:space="preserve">No influential outliers</t>
  </si>
  <si>
    <t xml:space="preserve">Compare Pearson with Spearman; a large gap signals outliers</t>
  </si>
  <si>
    <t xml:space="preserve">Investigate the extreme points as special causes</t>
  </si>
  <si>
    <t xml:space="preserve">The range of X is representative</t>
  </si>
  <si>
    <t xml:space="preserve">Compare the sampled range with the operating range</t>
  </si>
  <si>
    <t xml:space="preserve">A restricted range attenuates r towards zero</t>
  </si>
  <si>
    <t xml:space="preserve">Pearson correlation:</t>
  </si>
  <si>
    <t xml:space="preserve">   r = SUM( (xi - xbar)(yi - ybar) ) / SQRT( SUM(xi - xbar)^2 * SUM(yi - ybar)^2 )</t>
  </si>
  <si>
    <t xml:space="preserve">Test that the true correlation is zero:</t>
  </si>
  <si>
    <t xml:space="preserve">t = r * SQRT( (n - 2) / (1 - r^2) )        df = n - 2 p = TDIST(ABS(t), n-2, 2)</t>
  </si>
  <si>
    <t xml:space="preserve">Confidence interval, via Fisher's z transformation:</t>
  </si>
  <si>
    <t xml:space="preserve">z  = FISHER(r) = 0.5 * LN( (1+r)/(1-r) )        SE(z) = 1 / SQRT(n - 3) interval on z  -&gt;  back-transform with FISHERINV</t>
  </si>
  <si>
    <t xml:space="preserve">Spearman rank correlation:</t>
  </si>
  <si>
    <t xml:space="preserve">   Pearson r computed on the ranks of x and of y</t>
  </si>
  <si>
    <t xml:space="preserve">Coefficient of determination:</t>
  </si>
  <si>
    <t xml:space="preserve">   r^2 = share of the variation in y linearly associated with x</t>
  </si>
  <si>
    <t xml:space="preserve">Pearson correlation coefficient</t>
  </si>
  <si>
    <t xml:space="preserve">RSQ</t>
  </si>
  <si>
    <t xml:space="preserve">RSQ(known_y, known_x)</t>
  </si>
  <si>
    <t xml:space="preserve">The square of Pearson r, given directly</t>
  </si>
  <si>
    <t xml:space="preserve">Builds the rank columns that Spearman needs</t>
  </si>
  <si>
    <t xml:space="preserve">FISHER / FISHERINV</t>
  </si>
  <si>
    <t xml:space="preserve">FISHER(r)</t>
  </si>
  <si>
    <t xml:space="preserve">Transformation used to build the confidence interval on r</t>
  </si>
  <si>
    <t xml:space="preserve">TDIST(ABS(t), n-2, 2)</t>
  </si>
  <si>
    <t xml:space="preserve">p-value for the test that the correlation is zero</t>
  </si>
  <si>
    <t xml:space="preserve">Z multiplier applied on the Fisher z scale</t>
  </si>
  <si>
    <t xml:space="preserve">Twenty-five bottles from the Blomax: oven temperature at the moment of blowing, against the measured sidewall thickness. Does thickness genuinely track temperature?</t>
  </si>
  <si>
    <t xml:space="preserve">Oven temperature (C)</t>
  </si>
  <si>
    <t xml:space="preserve">Wall thickness (mm)</t>
  </si>
  <si>
    <t xml:space="preserve">Rank X</t>
  </si>
  <si>
    <t xml:space="preserve">Rank Y</t>
  </si>
  <si>
    <t xml:space="preserve">Pearson r</t>
  </si>
  <si>
    <t xml:space="preserve">r squared</t>
  </si>
  <si>
    <t xml:space="preserve">Spearman rho (rank correlation)</t>
  </si>
  <si>
    <t xml:space="preserve">|Pearson - Spearman|</t>
  </si>
  <si>
    <t xml:space="preserve">Fisher z</t>
  </si>
  <si>
    <t xml:space="preserve">Standard error of z</t>
  </si>
  <si>
    <t xml:space="preserve">Lower confidence limit on r</t>
  </si>
  <si>
    <t xml:space="preserve">Upper confidence limit on r</t>
  </si>
  <si>
    <t xml:space="preserve">Critical r at this alpha and n</t>
  </si>
  <si>
    <t xml:space="preserve">|r|</t>
  </si>
  <si>
    <t xml:space="preserve">Above the critical r shown</t>
  </si>
  <si>
    <t xml:space="preserve">The correlation is significantly different from zero</t>
  </si>
  <si>
    <t xml:space="preserve">The share of variation explained</t>
  </si>
  <si>
    <t xml:space="preserve">r = 0.7 explains only 49 per cent</t>
  </si>
  <si>
    <t xml:space="preserve">Below 0.1</t>
  </si>
  <si>
    <t xml:space="preserve">The relationship is monotonic and roughly linear</t>
  </si>
  <si>
    <t xml:space="preserve">Confidence interval on r</t>
  </si>
  <si>
    <t xml:space="preserve">•  Reading r without looking at the scatter plot. A curve, an outlier or two clusters all produce misleading coefficients.</t>
  </si>
  <si>
    <t xml:space="preserve">•  Concluding no relationship from r near zero when the plot shows a clear curve.</t>
  </si>
  <si>
    <t xml:space="preserve">•  Treating correlation as causation. The next sheet exists for exactly this reason.</t>
  </si>
  <si>
    <t xml:space="preserve">•  Correlating variables measured over time and forgetting that both may simply be trending.</t>
  </si>
  <si>
    <t xml:space="preserve">•  Restricting the range of X during data collection, which attenuates r towards zero and hides a real relationship.</t>
  </si>
  <si>
    <t xml:space="preserve">Q1.  Pearson r is 0.15 and Spearman rho is 0.72 on the same data. What is going on?</t>
  </si>
  <si>
    <t xml:space="preserve">A1.  The relationship is monotonic but not linear, or a few extreme points are distorting Pearson. Spearman works on ranks, so it captures any consistently increasing relationship and ignores how far apart the values are. Look at the scatter plot and consider a transformation on E-33.</t>
  </si>
  <si>
    <t xml:space="preserve">Q2.  Your correlation between oven temperature and wall thickness is r = 0.7. How much of the variation in thickness does temperature account for?</t>
  </si>
  <si>
    <t xml:space="preserve">A2.  About 49 per cent, since r squared is 0.49. More than half the variation still comes from other sources, which is a useful corrective to the impression that 0.7 gives.</t>
  </si>
  <si>
    <t xml:space="preserve">Q3.  Why can a restricted range of X make a real relationship disappear?</t>
  </si>
  <si>
    <t xml:space="preserve">A3.  Correlation compares the variation explained by the relationship with the total variation. If you sample only a narrow band of X, the explained part shrinks while the measurement noise does not, so r falls towards zero even though the underlying relationship is unchanged.</t>
  </si>
  <si>
    <t xml:space="preserve">E-35  Correlation, Causation and Confounding</t>
  </si>
  <si>
    <t xml:space="preserve">E-35 — Correlation, Causation and Confounding</t>
  </si>
  <si>
    <t xml:space="preserve">Phase: ANALYZE   |   Data required: Correlation result and context   |   Min. sample: n/a   |   Complexity: 2/5   |   Typical output: Causality checklist and confounder list</t>
  </si>
  <si>
    <t xml:space="preserve">Does X actually cause Y, or is something else driving both?</t>
  </si>
  <si>
    <t xml:space="preserve">After any significant correlation, before acting on it.</t>
  </si>
  <si>
    <t xml:space="preserve">A partial correlation calculator and a structured causality checklist.</t>
  </si>
  <si>
    <t xml:space="preserve">A correlation has four possible explanations, and only one of them justifies changing your process.</t>
  </si>
  <si>
    <t xml:space="preserve">First, X causes Y - the case you hope for. Second, Y causes X, the reverse direction, which is more common than people expect: does the higher speed cause the defects, or does the operator raise the speed when the product is running well and defect-free?</t>
  </si>
  <si>
    <t xml:space="preserve">Third, a confounder Z causes both. Ice cream sales correlate with drownings because both follow temperature.</t>
  </si>
  <si>
    <t xml:space="preserve">On a packaging line the classic confounder is the SKU: shift C looks worse than shift A because shift C runs the difficult 1.5 litre format, not because of the people.</t>
  </si>
  <si>
    <t xml:space="preserve">Fourth, coincidence. Test twenty unrelated variable pairs at alpha 0.05 and one will look significant.</t>
  </si>
  <si>
    <t xml:space="preserve">The partial correlation below is the cheapest available test for a confounder. It computes the correlation between X and Y after removing the influence of Z. If a strong correlation collapses towards zero once Z is held constant, Z was doing the work and X is a passenger.</t>
  </si>
  <si>
    <t xml:space="preserve">The only conclusive proof of causation is to change X deliberately and see whether Y moves - which is what a designed experiment on E-42 does, and why a DOE is worth its cost.</t>
  </si>
  <si>
    <t xml:space="preserve">✓  Before proposing a change based on an observed correlation.</t>
  </si>
  <si>
    <t xml:space="preserve">✗  It does not prove causation; nothing observational does.</t>
  </si>
  <si>
    <t xml:space="preserve">✓  When a shift, machine or operator effect might really be an SKU or speed effect.</t>
  </si>
  <si>
    <t xml:space="preserve">✗  Partial correlation only tests the confounders you thought of.</t>
  </si>
  <si>
    <t xml:space="preserve">✓  When reviewing an analysis that jumped from correlation to a countermeasure.</t>
  </si>
  <si>
    <t xml:space="preserve">✗  Not a substitute for a designed experiment when the stakes are high.</t>
  </si>
  <si>
    <t xml:space="preserve">✓  Before writing a business case that assumes a causal relationship.</t>
  </si>
  <si>
    <t xml:space="preserve">The suspected confounder was actually measured</t>
  </si>
  <si>
    <t xml:space="preserve">Check the data collection plan for the stratification fields</t>
  </si>
  <si>
    <t xml:space="preserve">You cannot control for something you did not record; see E-06</t>
  </si>
  <si>
    <t xml:space="preserve">The relationships involved are approximately linear</t>
  </si>
  <si>
    <t xml:space="preserve">Scatter plot each pair on E-34</t>
  </si>
  <si>
    <t xml:space="preserve">Partial correlation assumes linearity throughout</t>
  </si>
  <si>
    <t xml:space="preserve">The direction of causation is physically plausible</t>
  </si>
  <si>
    <t xml:space="preserve">Ask whether X precedes Y in time and in mechanism</t>
  </si>
  <si>
    <t xml:space="preserve">State the mechanism explicitly, or treat the finding as a hypothesis</t>
  </si>
  <si>
    <t xml:space="preserve">Partial correlation of X and Y, controlling for Z:</t>
  </si>
  <si>
    <t xml:space="preserve">   r(xy.z) = ( r(xy) - r(xz)*r(zy) )  /  SQRT( (1 - r(xz)^2) * (1 - r(zy)^2) )</t>
  </si>
  <si>
    <t xml:space="preserve">Significance of the partial correlation:</t>
  </si>
  <si>
    <t xml:space="preserve">   t = r(xy.z) * SQRT( (n - 3) / (1 - r(xy.z)^2) )        df = n - 3</t>
  </si>
  <si>
    <t xml:space="preserve">How much of the raw correlation the confounder explains:</t>
  </si>
  <si>
    <t xml:space="preserve">   share explained by Z = 1 - ABS( r(xy.z) ) / ABS( r(xy) )</t>
  </si>
  <si>
    <t xml:space="preserve">The four explanations of any correlation:</t>
  </si>
  <si>
    <t xml:space="preserve">   1. X causes Y      2. Y causes X      3. Z causes both      4. coincidence</t>
  </si>
  <si>
    <t xml:space="preserve">The three pairwise correlations the formula needs</t>
  </si>
  <si>
    <t xml:space="preserve">The denominator of the partial correlation</t>
  </si>
  <si>
    <t xml:space="preserve">TDIST(ABS(t), n-3, 2)</t>
  </si>
  <si>
    <t xml:space="preserve">Significance of the partial correlation</t>
  </si>
  <si>
    <t xml:space="preserve">Compares the magnitudes before and after controlling for Z</t>
  </si>
  <si>
    <t xml:space="preserve">Scores the causality checklist</t>
  </si>
  <si>
    <t xml:space="preserve">Line speed correlates with the label defect rate at r = 0.68, and the obvious conclusion is to slow the line down. But the faster speeds are only ever run on the 0.5 litre SKU. Enter the three pairwise correlations and see what remains once the SKU is held constant.</t>
  </si>
  <si>
    <t xml:space="preserve">r(X, Y)   speed vs defect rate</t>
  </si>
  <si>
    <t xml:space="preserve">r(X, Z)   speed vs SKU indicator</t>
  </si>
  <si>
    <t xml:space="preserve">r(Z, Y)   SKU indicator vs defect rate</t>
  </si>
  <si>
    <t xml:space="preserve">Number of observations  n</t>
  </si>
  <si>
    <t xml:space="preserve">Partial correlation  r(XY.Z)</t>
  </si>
  <si>
    <t xml:space="preserve">t statistic for the partial correlation</t>
  </si>
  <si>
    <t xml:space="preserve">Share of the raw correlation explained by Z</t>
  </si>
  <si>
    <t xml:space="preserve">Variation explained before controlling for Z</t>
  </si>
  <si>
    <t xml:space="preserve">Variation explained after controlling for Z</t>
  </si>
  <si>
    <t xml:space="preserve">CAUSALITY CHECKLIST  -  adapted from the Bradford Hill criteria</t>
  </si>
  <si>
    <t xml:space="preserve">What it means on a packaging line</t>
  </si>
  <si>
    <t xml:space="preserve">Temporality</t>
  </si>
  <si>
    <t xml:space="preserve">The change in X reliably precedes the change in Y, never the reverse</t>
  </si>
  <si>
    <t xml:space="preserve">Strength</t>
  </si>
  <si>
    <t xml:space="preserve">The association is strong, not a marginal correlation of 0.2</t>
  </si>
  <si>
    <t xml:space="preserve">Dose response</t>
  </si>
  <si>
    <t xml:space="preserve">More X gives more Y in a consistent, graded way</t>
  </si>
  <si>
    <t xml:space="preserve">Mechanism</t>
  </si>
  <si>
    <t xml:space="preserve">There is a physical explanation an engineer would accept</t>
  </si>
  <si>
    <t xml:space="preserve">Consistency</t>
  </si>
  <si>
    <t xml:space="preserve">The same relationship appears on other shifts, lines or periods</t>
  </si>
  <si>
    <t xml:space="preserve">Experiment</t>
  </si>
  <si>
    <t xml:space="preserve">Deliberately changing X moved Y - the only conclusive evidence</t>
  </si>
  <si>
    <t xml:space="preserve">No plausible confounder</t>
  </si>
  <si>
    <t xml:space="preserve">Every candidate Z has been measured and controlled for</t>
  </si>
  <si>
    <t xml:space="preserve">Causality score</t>
  </si>
  <si>
    <t xml:space="preserve">Was the experiment criterion met?</t>
  </si>
  <si>
    <t xml:space="preserve">CONFOUNDER REGISTER  -  fill this in before proposing any countermeasure</t>
  </si>
  <si>
    <t xml:space="preserve">Candidate confounder Z</t>
  </si>
  <si>
    <t xml:space="preserve">Was it recorded with the data?</t>
  </si>
  <si>
    <t xml:space="preserve">Controlled for how?</t>
  </si>
  <si>
    <t xml:space="preserve">SKU or format being run</t>
  </si>
  <si>
    <t xml:space="preserve">Line speed</t>
  </si>
  <si>
    <t xml:space="preserve">Preform supplier or lot</t>
  </si>
  <si>
    <t xml:space="preserve">Ambient temperature and humidity</t>
  </si>
  <si>
    <t xml:space="preserve">Time since the last changeover</t>
  </si>
  <si>
    <t xml:space="preserve">Operator or crew</t>
  </si>
  <si>
    <t xml:space="preserve">Maintenance state of the machine</t>
  </si>
  <si>
    <t xml:space="preserve">Share explained by Z</t>
  </si>
  <si>
    <t xml:space="preserve">Above 50%</t>
  </si>
  <si>
    <t xml:space="preserve">The confounder, not X, is driving the correlation</t>
  </si>
  <si>
    <t xml:space="preserve">Partial correlation p</t>
  </si>
  <si>
    <t xml:space="preserve">The association survives controlling for that one confounder</t>
  </si>
  <si>
    <t xml:space="preserve">All seven Yes</t>
  </si>
  <si>
    <t xml:space="preserve">As strong as observational evidence can be</t>
  </si>
  <si>
    <t xml:space="preserve">Experiment criterion</t>
  </si>
  <si>
    <t xml:space="preserve">The decisive one</t>
  </si>
  <si>
    <t xml:space="preserve">Only a deliberate change proves direction</t>
  </si>
  <si>
    <t xml:space="preserve">•  Acting on a correlation without asking what else changed at the same time.</t>
  </si>
  <si>
    <t xml:space="preserve">•  Blaming a shift for a difference that is really an SKU difference, because the shifts run different products.</t>
  </si>
  <si>
    <t xml:space="preserve">•  Testing many variable pairs and reporting only the significant one, without adjusting for multiplicity.</t>
  </si>
  <si>
    <t xml:space="preserve">•  Assuming the direction of causation because it is the convenient one for your project.</t>
  </si>
  <si>
    <t xml:space="preserve">•  Believing that a large sample turns correlation into causation. It only makes the correlation more precise.</t>
  </si>
  <si>
    <t xml:space="preserve">Q1.  Line speed correlates with defects at r = 0.68, but the fast speeds are only run on one SKU. What does a partial correlation near zero tell you?</t>
  </si>
  <si>
    <t xml:space="preserve">A1.  That once the SKU is held constant, speed and defects are essentially unrelated. The SKU was driving both: it is run faster AND it is harder to label. Slowing the line would cost throughput and fix nothing; the real work is on the SKU.</t>
  </si>
  <si>
    <t xml:space="preserve">Q2.  Which of the seven criteria is the only conclusive one, and why?</t>
  </si>
  <si>
    <t xml:space="preserve">A2.  The experiment. Every other criterion is consistent with an unmeasured confounder, because observational data cannot rule out a variable you never recorded. Deliberately setting X and observing Y breaks that link, which is exactly what a designed experiment on E-42 does.</t>
  </si>
  <si>
    <t xml:space="preserve">Q3.  Why is 'Y causes X' a serious possibility on a production line rather than a textbook curiosity?</t>
  </si>
  <si>
    <t xml:space="preserve">A3.  Because operators react to what they see. If the line is running cleanly they push the speed up, so good product causes high speed rather than the reverse. Any variable an operator adjusts in response to performance is a candidate for reversed causation.</t>
  </si>
  <si>
    <t xml:space="preserve">Prove it with an experiment</t>
  </si>
  <si>
    <t xml:space="preserve">E-36 — Simple Linear Regression</t>
  </si>
  <si>
    <t xml:space="preserve">Phase: ANALYZE   |   Data required: Paired continuous data   |   Min. sample: 25   |   Complexity: 3/5   |   Typical output: Slope, intercept, R-squared, prediction</t>
  </si>
  <si>
    <t xml:space="preserve">How much does Y change when X changes, and how well can I predict it?</t>
  </si>
  <si>
    <t xml:space="preserve">One continuous response and one continuous predictor with a plausible mechanism.</t>
  </si>
  <si>
    <t xml:space="preserve">Slope, intercept, R squared, a significance test, and prediction with its interval.</t>
  </si>
  <si>
    <t xml:space="preserve">Regression goes one step beyond correlation. Correlation says the two variables move together; regression gives you the equation, which is what lets you set a target, predict an outcome, or quantify the cost of a one degree change in oven temperature.</t>
  </si>
  <si>
    <t xml:space="preserve">The line is fitted by least squares: the slope and intercept are chosen so that the sum of the squared vertical distances between the points and the line is as small as possible. Squaring is what makes large misses count disproportionately, and it is also why a single outlier can drag the whole line towards itself.</t>
  </si>
  <si>
    <t xml:space="preserve">Three numbers carry the meaning. The SLOPE is the engineering result: how many millimetres of wall thickness per degree of oven temperature. R SQUARED is how much of the variation the line accounts for. The STANDARD ERROR OF THE ESTIMATE is the typical vertical miss, and it is the honest measure of predictive accuracy - far more useful in practice than R squared, because it is in the units of the response.</t>
  </si>
  <si>
    <t xml:space="preserve">Two intervals must not be confused. The confidence interval bounds the average response at a given X; the prediction interval bounds the next individual bottle, and it is always much wider. Quote the prediction interval when the question is about a single unit.</t>
  </si>
  <si>
    <t xml:space="preserve">✓  Quantifying how a setpoint affects an output.</t>
  </si>
  <si>
    <t xml:space="preserve">✗  Not for curved relationships without transforming first.</t>
  </si>
  <si>
    <t xml:space="preserve">✓  Predicting an output from a measured input.</t>
  </si>
  <si>
    <t xml:space="preserve">✗  Not for extrapolating outside the range of X actually observed.</t>
  </si>
  <si>
    <t xml:space="preserve">✓  Converting a process change into an expected effect for a business case.</t>
  </si>
  <si>
    <t xml:space="preserve">✗  Not for categorical predictors: use ANOVA on E-26.</t>
  </si>
  <si>
    <t xml:space="preserve">✓  As the model whose residuals are then diagnosed on E-37.</t>
  </si>
  <si>
    <t xml:space="preserve">Scatter plot on E-34 and residuals versus fitted on E-37</t>
  </si>
  <si>
    <t xml:space="preserve">E-37  Residual Analysis and Model Diagnostics</t>
  </si>
  <si>
    <t xml:space="preserve">Residuals have constant variance</t>
  </si>
  <si>
    <t xml:space="preserve">Look for a funnel shape in the residual plot on E-37</t>
  </si>
  <si>
    <t xml:space="preserve">Transform Y, or use weighted least squares</t>
  </si>
  <si>
    <t xml:space="preserve">Residuals are independent and approximately normal</t>
  </si>
  <si>
    <t xml:space="preserve">Durbin-Watson and the normal plot on E-37</t>
  </si>
  <si>
    <t xml:space="preserve">Time-ordered data may need a time series model</t>
  </si>
  <si>
    <t xml:space="preserve">The fitted line:</t>
  </si>
  <si>
    <t xml:space="preserve">   y = b0 + b1*x</t>
  </si>
  <si>
    <t xml:space="preserve">   b1 = SUM((xi - xbar)(yi - ybar)) / SUM((xi - xbar)^2)          b0 = ybar - b1*xbar</t>
  </si>
  <si>
    <t xml:space="preserve">Goodness of fit:</t>
  </si>
  <si>
    <t xml:space="preserve">   R^2  = 1 - SSE/SST        SE(estimate) = SQRT( SSE / (n - 2) )</t>
  </si>
  <si>
    <t xml:space="preserve">Test that the slope is zero:</t>
  </si>
  <si>
    <t xml:space="preserve">   SE(b1) = SE(estimate) / SQRT( SUM(xi - xbar)^2 )</t>
  </si>
  <si>
    <t xml:space="preserve">   t = b1 / SE(b1)           df = n - 2          p = TDIST(ABS(t), n-2, 2)</t>
  </si>
  <si>
    <t xml:space="preserve">Confidence interval for the MEAN response at x0:</t>
  </si>
  <si>
    <t xml:space="preserve">   yhat  +/-  t * SE(est) * SQRT( 1/n + (x0 - xbar)^2 / SUM(xi - xbar)^2 )</t>
  </si>
  <si>
    <t xml:space="preserve">Prediction interval for a SINGLE new observation at x0 - note the extra 1:</t>
  </si>
  <si>
    <t xml:space="preserve">   yhat  +/-  t * SE(est) * SQRT( 1 + 1/n + (x0 - xbar)^2 / SUM(xi - xbar)^2 )</t>
  </si>
  <si>
    <t xml:space="preserve">LINEST</t>
  </si>
  <si>
    <t xml:space="preserve">LINEST(y, x, TRUE, TRUE)</t>
  </si>
  <si>
    <t xml:space="preserve">ARRAY formula returning a 2 by 5 block: slope and intercept, their standard errors, R squared and SE, F and df, then the regression and residual sums of squares</t>
  </si>
  <si>
    <t xml:space="preserve">SLOPE(y, x)</t>
  </si>
  <si>
    <t xml:space="preserve">The same coefficients as single values</t>
  </si>
  <si>
    <t xml:space="preserve">RSQ / STEYX</t>
  </si>
  <si>
    <t xml:space="preserve">STEYX(y, x)</t>
  </si>
  <si>
    <t xml:space="preserve">R squared and the standard error of the estimate</t>
  </si>
  <si>
    <t xml:space="preserve">DEVSQ(x)</t>
  </si>
  <si>
    <t xml:space="preserve">Sum of squared deviations of x, needed by both intervals</t>
  </si>
  <si>
    <t xml:space="preserve">TINV / TDIST</t>
  </si>
  <si>
    <t xml:space="preserve">TINV(alpha, n-2)</t>
  </si>
  <si>
    <t xml:space="preserve">Critical value and p-value for the slope test</t>
  </si>
  <si>
    <t xml:space="preserve">FDIST(F, 1, n-2)</t>
  </si>
  <si>
    <t xml:space="preserve">Overall significance of the regression</t>
  </si>
  <si>
    <t xml:space="preserve">The same twenty-five Blomax bottles from E-34: oven temperature against sidewall thickness.</t>
  </si>
  <si>
    <t xml:space="preserve">The specification for thickness is 0.290 to 0.330 mm. What oven temperature centres the process?</t>
  </si>
  <si>
    <t xml:space="preserve">Oven temperature X (C)</t>
  </si>
  <si>
    <t xml:space="preserve">Wall thickness Y (mm)</t>
  </si>
  <si>
    <t xml:space="preserve">Confidence level for the intervals</t>
  </si>
  <si>
    <t xml:space="preserve">Predict at oven temperature  x0 (C)</t>
  </si>
  <si>
    <t xml:space="preserve">Target wall thickness (mm)</t>
  </si>
  <si>
    <t xml:space="preserve">FITTED MODEL</t>
  </si>
  <si>
    <t xml:space="preserve">Slope  b1 (mm per degree C)</t>
  </si>
  <si>
    <t xml:space="preserve">Intercept  b0 (mm)</t>
  </si>
  <si>
    <t xml:space="preserve">R squared</t>
  </si>
  <si>
    <t xml:space="preserve">Standard error of the estimate (mm)</t>
  </si>
  <si>
    <t xml:space="preserve">DEVSQ of X</t>
  </si>
  <si>
    <t xml:space="preserve">Standard error of the slope</t>
  </si>
  <si>
    <t xml:space="preserve">t statistic for the slope</t>
  </si>
  <si>
    <t xml:space="preserve">p-value for the slope</t>
  </si>
  <si>
    <t xml:space="preserve">Overall F statistic</t>
  </si>
  <si>
    <t xml:space="preserve">Overall p-value</t>
  </si>
  <si>
    <t xml:space="preserve">Lower confidence limit on the slope</t>
  </si>
  <si>
    <t xml:space="preserve">Upper confidence limit on the slope</t>
  </si>
  <si>
    <t xml:space="preserve">LINEST  -  THE FULL REGRESSION OUTPUT AS A LIVE ARRAY FORMULA</t>
  </si>
  <si>
    <t xml:space="preserve">Entered across C:D over five rows as a single array formula. Select the whole block to see it. Left column = slope, right column = intercept.</t>
  </si>
  <si>
    <t xml:space="preserve">Coefficient (slope | intercept)</t>
  </si>
  <si>
    <t xml:space="preserve">Standard error of each</t>
  </si>
  <si>
    <t xml:space="preserve">R squared | SE of the estimate</t>
  </si>
  <si>
    <t xml:space="preserve">F statistic | degrees of freedom</t>
  </si>
  <si>
    <t xml:space="preserve">Regression SS | Residual SS</t>
  </si>
  <si>
    <t xml:space="preserve">PREDICTION AT x0</t>
  </si>
  <si>
    <t xml:space="preserve">Mean of X</t>
  </si>
  <si>
    <t xml:space="preserve">Predicted thickness at x0 (mm)</t>
  </si>
  <si>
    <t xml:space="preserve">Half width - confidence interval on the MEAN</t>
  </si>
  <si>
    <t xml:space="preserve">Half width - prediction interval for ONE bottle</t>
  </si>
  <si>
    <t xml:space="preserve">Mean response - lower limit</t>
  </si>
  <si>
    <t xml:space="preserve">Mean response - upper limit</t>
  </si>
  <si>
    <t xml:space="preserve">Single bottle - lower limit</t>
  </si>
  <si>
    <t xml:space="preserve">Single bottle - upper limit</t>
  </si>
  <si>
    <t xml:space="preserve">Oven temperature that hits the target (C)</t>
  </si>
  <si>
    <t xml:space="preserve">Is that inside the range of X studied?</t>
  </si>
  <si>
    <t xml:space="preserve">The relationship is real, not sampling noise</t>
  </si>
  <si>
    <t xml:space="preserve">Judge against the process, not against 100 per cent</t>
  </si>
  <si>
    <t xml:space="preserve">SE of the estimate</t>
  </si>
  <si>
    <t xml:space="preserve">In the units of Y</t>
  </si>
  <si>
    <t xml:space="preserve">The honest measure of predictive accuracy</t>
  </si>
  <si>
    <t xml:space="preserve">Prediction versus confidence interval</t>
  </si>
  <si>
    <t xml:space="preserve">Prediction is always wider</t>
  </si>
  <si>
    <t xml:space="preserve">One bottle carries more uncertainty than the average</t>
  </si>
  <si>
    <t xml:space="preserve">•  Extrapolating beyond the range of X in the data. The line has no evidence outside that range.</t>
  </si>
  <si>
    <t xml:space="preserve">•  Reporting R squared without the standard error of the estimate. R squared can be high while the predictions are still too imprecise to use.</t>
  </si>
  <si>
    <t xml:space="preserve">•  Quoting the confidence interval when the question concerns a single unit. Use the prediction interval.</t>
  </si>
  <si>
    <t xml:space="preserve">•  Fitting a straight line to a curve. Always look at the residual plot on E-37.</t>
  </si>
  <si>
    <t xml:space="preserve">•  Assuming a significant slope proves causation. It does not; see E-35.</t>
  </si>
  <si>
    <t xml:space="preserve">Q1.  Why is the prediction interval always wider than the confidence interval at the same x0?</t>
  </si>
  <si>
    <t xml:space="preserve">A1.  The confidence interval bounds only the uncertainty in the fitted mean. The prediction interval must also carry the scatter of individual observations about that mean, which is why an extra 1 appears under the square root. Predicting one bottle is inherently harder than predicting the average.</t>
  </si>
  <si>
    <t xml:space="preserve">Q2.  R squared is 0.71 and the standard error of the estimate is 0.008 mm on a specification width of 0.040 mm. Is the model useful for control?</t>
  </si>
  <si>
    <t xml:space="preserve">A2.  Marginally. The typical prediction miss of 0.008 mm is a fifth of the specification width, so setting the oven from this model still leaves substantial scatter. It is useful for choosing a setpoint, not for guaranteeing an individual bottle.</t>
  </si>
  <si>
    <t xml:space="preserve">Q3.  Why is extrapolation beyond the observed range of X so dangerous?</t>
  </si>
  <si>
    <t xml:space="preserve">A3.  Because the linear model was only ever tested inside that range. Physical processes almost always curve or saturate at their extremes - an oven does not keep thinning the wall indefinitely - and the data contains no information about where that happens.</t>
  </si>
  <si>
    <t xml:space="preserve">E-38  Multiple Regression and Multicollinearity</t>
  </si>
  <si>
    <t xml:space="preserve">E-37 — Residual Analysis and Model Diagnostics</t>
  </si>
  <si>
    <t xml:space="preserve">Phase: ANALYZE   |   Data required: Fitted model residuals   |   Min. sample: 25   |   Complexity: 4/5   |   Typical output: Four residual plots and diagnosis</t>
  </si>
  <si>
    <t xml:space="preserve">Is my regression model trustworthy?</t>
  </si>
  <si>
    <t xml:space="preserve">Immediately after fitting any regression on E-36 or E-38.</t>
  </si>
  <si>
    <t xml:space="preserve">Four residual plots, a Durbin-Watson statistic and a normality check on the residuals.</t>
  </si>
  <si>
    <t xml:space="preserve">A regression will return a slope, an R squared and a p-value for any data you feed it, including data where a straight line makes no sense at all. The residuals are what tell you whether the model deserves belief.</t>
  </si>
  <si>
    <t xml:space="preserve">A residual is the vertical miss: observed minus fitted. If the model has captured everything systematic, the residuals should be pure noise - no pattern, no trend, no funnel, no clusters.</t>
  </si>
  <si>
    <t xml:space="preserve">Four plots, each diagnosing a different failure.</t>
  </si>
  <si>
    <t xml:space="preserve">RESIDUALS AGAINST FITTED is the most informative single plot in regression. A curve means the relationship is not linear. A funnel widening to the right means the variance grows with the response, which invalidates every standard error on the sheet. Both are fixable, and neither is visible in R squared.</t>
  </si>
  <si>
    <t xml:space="preserve">NORMAL PROBABILITY OF RESIDUALS checks the assumption behind the p-values and intervals.</t>
  </si>
  <si>
    <t xml:space="preserve">HISTOGRAM OF RESIDUALS shows skew and outliers at a glance.</t>
  </si>
  <si>
    <t xml:space="preserve">RESIDUALS AGAINST ORDER is the one people skip and the one that catches drift. If consecutive residuals are correlated, something changed over time that the model does not contain, and the standard errors are wrong.</t>
  </si>
  <si>
    <t xml:space="preserve">The Durbin-Watson statistic puts a number on that last plot: about 2 means independent.</t>
  </si>
  <si>
    <t xml:space="preserve">✓  After every regression, before quoting any coefficient.</t>
  </si>
  <si>
    <t xml:space="preserve">✗  Not a substitute for physical understanding of the process.</t>
  </si>
  <si>
    <t xml:space="preserve">✓  When R squared is high but predictions in practice are poor.</t>
  </si>
  <si>
    <t xml:space="preserve">✗  A small sample makes every residual plot hard to read; do not over-interpret 10 points.</t>
  </si>
  <si>
    <t xml:space="preserve">✓  When you suspect the relationship is curved rather than straight.</t>
  </si>
  <si>
    <t xml:space="preserve">✗  Does not detect a missing predictor directly; it only shows the symptom.</t>
  </si>
  <si>
    <t xml:space="preserve">✓  When the data was collected in time order, which is almost always on a line.</t>
  </si>
  <si>
    <t xml:space="preserve">Residuals show no pattern against fitted values</t>
  </si>
  <si>
    <t xml:space="preserve">Look at plot 1 for curves and funnels</t>
  </si>
  <si>
    <t xml:space="preserve">Transform Y on E-33, add a quadratic term, or use E-46</t>
  </si>
  <si>
    <t xml:space="preserve">Plot 2 and the Anderson-Darling test on E-32</t>
  </si>
  <si>
    <t xml:space="preserve">Transform, or rely on the large-sample robustness of the coefficients</t>
  </si>
  <si>
    <t xml:space="preserve">Residuals are independent</t>
  </si>
  <si>
    <t xml:space="preserve">Plot 4 and the Durbin-Watson statistic</t>
  </si>
  <si>
    <t xml:space="preserve">A time series model is needed; the standard errors here are too small</t>
  </si>
  <si>
    <t xml:space="preserve">E-55  CUSUM and EWMA Charts</t>
  </si>
  <si>
    <t xml:space="preserve">Residual and standardised residual:</t>
  </si>
  <si>
    <t xml:space="preserve">   ei = yi - yhat_i          standardised = ei / SE(estimate)</t>
  </si>
  <si>
    <t xml:space="preserve">Leverage of observation i (how far its x is from the centre):</t>
  </si>
  <si>
    <t xml:space="preserve">   hi = 1/n + (xi - xbar)^2 / DEVSQ(x)</t>
  </si>
  <si>
    <t xml:space="preserve">Durbin-Watson statistic for independence:</t>
  </si>
  <si>
    <t xml:space="preserve">   DW = SUM (ei - ei-1)^2 / SUM ei^2</t>
  </si>
  <si>
    <t xml:space="preserve">   DW near 2  -&gt; independent</t>
  </si>
  <si>
    <t xml:space="preserve">DW below 1.5 -&gt; positive autocorrelation, the usual case with time-ordered process data DW above 2.5 -&gt; negative autocorrelation, often caused by over-adjustment</t>
  </si>
  <si>
    <t xml:space="preserve">What each plot diagnoses:</t>
  </si>
  <si>
    <t xml:space="preserve">residual vs fitted   -&gt; nonlinearity and non-constant variance normal plot          -&gt; non-normal errors</t>
  </si>
  <si>
    <t xml:space="preserve">   histogram            -&gt; skew and outliers</t>
  </si>
  <si>
    <t xml:space="preserve">   residual vs order    -&gt; drift and autocorrelation</t>
  </si>
  <si>
    <t xml:space="preserve">Coefficients used to compute the fitted values</t>
  </si>
  <si>
    <t xml:space="preserve">STEYX</t>
  </si>
  <si>
    <t xml:space="preserve">Standard error of the estimate, used to standardise the residuals</t>
  </si>
  <si>
    <t xml:space="preserve">SUMXMY2</t>
  </si>
  <si>
    <t xml:space="preserve">SUMXMY2(range1, range2)</t>
  </si>
  <si>
    <t xml:space="preserve">Sum of squared differences, the numerator of Durbin-Watson</t>
  </si>
  <si>
    <t xml:space="preserve">SUMSQ</t>
  </si>
  <si>
    <t xml:space="preserve">SUMSQ(range)</t>
  </si>
  <si>
    <t xml:space="preserve">Sum of squared residuals, the denominator of Durbin-Watson</t>
  </si>
  <si>
    <t xml:space="preserve">Sorts the residuals for the normal probability plot</t>
  </si>
  <si>
    <t xml:space="preserve">COUNTIFS(range, "&gt;="&amp;lo, range, "&lt;"&amp;hi)</t>
  </si>
  <si>
    <t xml:space="preserve">Builds the residual histogram</t>
  </si>
  <si>
    <t xml:space="preserve">The same twenty-five bottles, with the model refitted here so this sheet stands alone. The four plots appear to the right; read residuals against fitted first.</t>
  </si>
  <si>
    <t xml:space="preserve">Slope</t>
  </si>
  <si>
    <t xml:space="preserve">Intercept</t>
  </si>
  <si>
    <t xml:space="preserve">X - oven temp (C)</t>
  </si>
  <si>
    <t xml:space="preserve">Y - thickness (mm)</t>
  </si>
  <si>
    <t xml:space="preserve">Order</t>
  </si>
  <si>
    <t xml:space="preserve">Fitted</t>
  </si>
  <si>
    <t xml:space="preserve">Residual</t>
  </si>
  <si>
    <t xml:space="preserve">Std residual</t>
  </si>
  <si>
    <t xml:space="preserve">Leverage</t>
  </si>
  <si>
    <t xml:space="preserve">Sorted resid</t>
  </si>
  <si>
    <t xml:space="preserve">3. HISTOGRAM OF RESIDUALS</t>
  </si>
  <si>
    <t xml:space="preserve">DIAGNOSTIC STATISTICS</t>
  </si>
  <si>
    <t xml:space="preserve">Mean of the residuals (must be zero)</t>
  </si>
  <si>
    <t xml:space="preserve">Standard error of the estimate</t>
  </si>
  <si>
    <t xml:space="preserve">Durbin-Watson statistic</t>
  </si>
  <si>
    <t xml:space="preserve">Skewness of the residuals</t>
  </si>
  <si>
    <t xml:space="preserve">Excess kurtosis of the residuals</t>
  </si>
  <si>
    <t xml:space="preserve">Normal plot correlation of the residuals</t>
  </si>
  <si>
    <t xml:space="preserve">Curvature check: correlation of residual with fitted squared</t>
  </si>
  <si>
    <t xml:space="preserve">Funnel check: correlation of |residual| with fitted</t>
  </si>
  <si>
    <t xml:space="preserve">Highest leverage</t>
  </si>
  <si>
    <t xml:space="preserve">Leverage warning threshold  (2*2/n)</t>
  </si>
  <si>
    <t xml:space="preserve">Standardised residuals beyond +/- 2</t>
  </si>
  <si>
    <t xml:space="preserve">Mean of residuals</t>
  </si>
  <si>
    <t xml:space="preserve">Exactly zero</t>
  </si>
  <si>
    <t xml:space="preserve">If not, the fit is wrong; least squares forces this</t>
  </si>
  <si>
    <t xml:space="preserve">Durbin-Watson</t>
  </si>
  <si>
    <t xml:space="preserve">Between 1.5 and 2.5</t>
  </si>
  <si>
    <t xml:space="preserve">Funnel correlation</t>
  </si>
  <si>
    <t xml:space="preserve">|value| below 0.4</t>
  </si>
  <si>
    <t xml:space="preserve">Variance is reasonably constant</t>
  </si>
  <si>
    <t xml:space="preserve">Standardised residual</t>
  </si>
  <si>
    <t xml:space="preserve">Within +/- 2</t>
  </si>
  <si>
    <t xml:space="preserve">Beyond +/- 3 is an outlier worth investigating</t>
  </si>
  <si>
    <t xml:space="preserve">Below 4/n</t>
  </si>
  <si>
    <t xml:space="preserve">A high-leverage point can dictate the slope on its own</t>
  </si>
  <si>
    <t xml:space="preserve">•  Skipping the residual plots because R squared looked good. R squared cannot see a curve or a funnel.</t>
  </si>
  <si>
    <t xml:space="preserve">•  Deleting an outlier because it spoils the fit. Investigate it: a high-leverage point is often the most informative observation in the data set.</t>
  </si>
  <si>
    <t xml:space="preserve">•  Ignoring the residuals against order plot on data collected over a shift. Drift is extremely common and it makes every standard error too small.</t>
  </si>
  <si>
    <t xml:space="preserve">•  Confusing a large residual with a high leverage point. A point can be far from the line, far from the centre of X, or both, and the consequences differ.</t>
  </si>
  <si>
    <t xml:space="preserve">•  Fixing non-constant variance by adding predictors. The usual cure is a transformation of Y.</t>
  </si>
  <si>
    <t xml:space="preserve">Q1.  Your residuals against fitted plot shows a clear U shape. What is wrong and what do you do?</t>
  </si>
  <si>
    <t xml:space="preserve">A1.  The relationship is curved, not linear, so the straight line systematically under-predicts at both ends and over-predicts in the middle. Add a quadratic term, transform the predictor, or move to a response surface model on E-46. R squared may still look respectable, which is why the plot matters.</t>
  </si>
  <si>
    <t xml:space="preserve">Q2.  Durbin-Watson comes out at 0.8. What does that mean on a production line?</t>
  </si>
  <si>
    <t xml:space="preserve">A2.  Strong positive autocorrelation: each residual resembles the one before it. Something drifted over the collection period - temperature, tool wear, a mould warming up - that the model does not include. The coefficients may still be roughly right, but the standard errors are far too small, so every p-value is optimistic.</t>
  </si>
  <si>
    <t xml:space="preserve">Q3.  What is the difference between a large residual and a high leverage point?</t>
  </si>
  <si>
    <t xml:space="preserve">A3.  A large residual is far from the fitted line in Y. A high leverage point sits far from the centre of the X values, so it exerts disproportionate pull on the slope even if its residual is small. The dangerous case is a point with both, which can single-handedly determine the model.</t>
  </si>
  <si>
    <t xml:space="preserve">E-38 — Multiple Regression and Multicollinearity</t>
  </si>
  <si>
    <t xml:space="preserve">Phase: ANALYZE   |   Data required: Y plus several continuous X   |   Min. sample: 40   |   Complexity: 5/5   |   Typical output: Coefficients, adjusted R-squared, VIF</t>
  </si>
  <si>
    <t xml:space="preserve">Which of several inputs really drive my output, once the others are accounted for?</t>
  </si>
  <si>
    <t xml:space="preserve">One continuous response and several continuous predictors.</t>
  </si>
  <si>
    <t xml:space="preserve">Coefficients with their t tests, adjusted R squared, and a VIF for every predictor.</t>
  </si>
  <si>
    <t xml:space="preserve">Multiple regression estimates the effect of each predictor while HOLDING THE OTHERS CONSTANT. That phrase is the whole point and it is also the source of every difficulty on this sheet.</t>
  </si>
  <si>
    <t xml:space="preserve">A coefficient in multiple regression rarely equals the slope you would get from a simple regression on the same predictor. If oven temperature and line speed move together in your data, the model must somehow split the credit between them, and the answer depends on how much independent information each one carries.</t>
  </si>
  <si>
    <t xml:space="preserve">When predictors are strongly related to each other, that split becomes unstable. This is multicollinearity, and its symptoms are distinctive: a high R squared with no individually significant predictor, coefficients that change sign when another variable is added, and enormous standard errors.</t>
  </si>
  <si>
    <t xml:space="preserve">The variance inflation factor measures it directly. VIF for a predictor is 1/(1 - R squared) from regressing that predictor on all the others. A VIF of 5 means its standard error is more than twice what it would be if the predictor were independent.</t>
  </si>
  <si>
    <t xml:space="preserve">Multicollinearity does not damage prediction - the model still forecasts well. It destroys interpretation, which is exactly what you wanted the model for. Use adjusted R squared rather than R squared, because R squared can only rise as predictors are added, even when they are pure noise.</t>
  </si>
  <si>
    <t xml:space="preserve">✓  Several process inputs plausibly drive one output.</t>
  </si>
  <si>
    <t xml:space="preserve">✗  Not for categorical predictors without coding them first.</t>
  </si>
  <si>
    <t xml:space="preserve">✓  After a cause and effect matrix on H-12 has narrowed the candidate list.</t>
  </si>
  <si>
    <t xml:space="preserve">✗  Not with fewer than about ten observations per predictor.</t>
  </si>
  <si>
    <t xml:space="preserve">✓  When a simple regression on E-36 left most of the variation unexplained.</t>
  </si>
  <si>
    <t xml:space="preserve">✗  Not for causal claims from observational data: see E-35.</t>
  </si>
  <si>
    <t xml:space="preserve">✓  Before a designed experiment, to prioritise which factors to include.</t>
  </si>
  <si>
    <t xml:space="preserve">Predictors are not strongly interrelated</t>
  </si>
  <si>
    <t xml:space="preserve">Compute the VIF for each one on this sheet</t>
  </si>
  <si>
    <t xml:space="preserve">Drop one of the pair, combine them, or run a designed experiment on E-42</t>
  </si>
  <si>
    <t xml:space="preserve">Enough observations per predictor</t>
  </si>
  <si>
    <t xml:space="preserve">At least 10, ideally 15 per predictor</t>
  </si>
  <si>
    <t xml:space="preserve">Reduce the predictor list first using H-12</t>
  </si>
  <si>
    <t xml:space="preserve">Residuals behave</t>
  </si>
  <si>
    <t xml:space="preserve">All four diagnostic plots on E-37</t>
  </si>
  <si>
    <t xml:space="preserve">Transform, or add the missing term the residuals are pointing to</t>
  </si>
  <si>
    <t xml:space="preserve">The model:</t>
  </si>
  <si>
    <t xml:space="preserve">   y = b0 + b1*x1 + b2*x2 + b3*x3 + error</t>
  </si>
  <si>
    <t xml:space="preserve">LINEST returns the coefficients in REVERSE order:</t>
  </si>
  <si>
    <t xml:space="preserve">   column 1 = b3,  column 2 = b2,  column 3 = b1,  column 4 = b0</t>
  </si>
  <si>
    <t xml:space="preserve">Adjusted R squared, which penalises useless predictors:</t>
  </si>
  <si>
    <t xml:space="preserve">   adj R^2 = 1 - (1 - R^2) * (n - 1) / (n - k - 1)        k = number of predictors</t>
  </si>
  <si>
    <t xml:space="preserve">Variance inflation factor for predictor i:</t>
  </si>
  <si>
    <t xml:space="preserve">VIF(i) = 1 / (1 - R^2 of xi regressed on all the other predictors) with exactly two other predictors this has a closed form in the pairwise correlations:</t>
  </si>
  <si>
    <t xml:space="preserve">   R^2(1) = ( r12^2 + r13^2 - 2*r12*r13*r23 ) / ( 1 - r23^2 )</t>
  </si>
  <si>
    <t xml:space="preserve">Test on each coefficient:</t>
  </si>
  <si>
    <t xml:space="preserve">   t = bi / SE(bi)          df = n - k - 1</t>
  </si>
  <si>
    <t xml:space="preserve">LINEST(y, x1:x3, TRUE, TRUE)</t>
  </si>
  <si>
    <t xml:space="preserve">ARRAY formula over a 4 by 5 block. Coefficients come back in reverse order</t>
  </si>
  <si>
    <t xml:space="preserve">INDEX(linest_block, row, column)</t>
  </si>
  <si>
    <t xml:space="preserve">Pulls each coefficient and standard error out of the block</t>
  </si>
  <si>
    <t xml:space="preserve">CORREL(x_i, x_j)</t>
  </si>
  <si>
    <t xml:space="preserve">The three pairwise correlations that feed the closed-form VIF</t>
  </si>
  <si>
    <t xml:space="preserve">TDIST(ABS(t), n-k-1, 2)</t>
  </si>
  <si>
    <t xml:space="preserve">p-value for each coefficient</t>
  </si>
  <si>
    <t xml:space="preserve">FDIST(F, k, n-k-1)</t>
  </si>
  <si>
    <t xml:space="preserve">Overall significance of the model</t>
  </si>
  <si>
    <t xml:space="preserve">Thirty bottles from the Blomax. Wall thickness against oven temperature, blow pressure and line speed.</t>
  </si>
  <si>
    <t xml:space="preserve">Temperature and speed were deliberately allowed to move together, as they do in reality - watch the VIF.</t>
  </si>
  <si>
    <t xml:space="preserve">Y thickness (mm)</t>
  </si>
  <si>
    <t xml:space="preserve">X1 oven temp (C)</t>
  </si>
  <si>
    <t xml:space="preserve">X2 blow pressure (bar)</t>
  </si>
  <si>
    <t xml:space="preserve">X3 line speed (BPH)</t>
  </si>
  <si>
    <t xml:space="preserve">Number of predictors  k</t>
  </si>
  <si>
    <t xml:space="preserve">LINEST OUTPUT  -  LIVE ARRAY FORMULA, 4 COLUMNS BY 5 ROWS</t>
  </si>
  <si>
    <t xml:space="preserve">Column order is REVERSE: X3, X2, X1, intercept. This trips up almost everyone the first time.</t>
  </si>
  <si>
    <t xml:space="preserve">b3 (X3 speed)</t>
  </si>
  <si>
    <t xml:space="preserve">b2 (X2 pressure)</t>
  </si>
  <si>
    <t xml:space="preserve">b1 (X1 temp)</t>
  </si>
  <si>
    <t xml:space="preserve">b0 (intercept)</t>
  </si>
  <si>
    <t xml:space="preserve">Coefficient</t>
  </si>
  <si>
    <t xml:space="preserve">Rows 3 to 5 of the LINEST block are read out individually below. With three predictors those rows are only two cells wide, so pulling them with INDEX keeps the sheet clean.</t>
  </si>
  <si>
    <t xml:space="preserve">Residual degrees of freedom</t>
  </si>
  <si>
    <t xml:space="preserve">Regression sum of squares</t>
  </si>
  <si>
    <t xml:space="preserve">Residual sum of squares</t>
  </si>
  <si>
    <t xml:space="preserve">COEFFICIENTS, TESTED</t>
  </si>
  <si>
    <t xml:space="preserve">Predictor</t>
  </si>
  <si>
    <t xml:space="preserve">t</t>
  </si>
  <si>
    <t xml:space="preserve">X1 oven temperature (C)</t>
  </si>
  <si>
    <t xml:space="preserve">Adjusted R squared</t>
  </si>
  <si>
    <t xml:space="preserve">MULTICOLLINEARITY  -  VARIANCE INFLATION FACTORS</t>
  </si>
  <si>
    <t xml:space="preserve">r(X1, X2)</t>
  </si>
  <si>
    <t xml:space="preserve">r(X1, X3)</t>
  </si>
  <si>
    <t xml:space="preserve">r(X2, X3)</t>
  </si>
  <si>
    <t xml:space="preserve">R squared on the others</t>
  </si>
  <si>
    <t xml:space="preserve">VIF</t>
  </si>
  <si>
    <t xml:space="preserve">X1 oven temperature</t>
  </si>
  <si>
    <t xml:space="preserve">X2 blow pressure</t>
  </si>
  <si>
    <t xml:space="preserve">X3 line speed</t>
  </si>
  <si>
    <t xml:space="preserve">Highest VIF</t>
  </si>
  <si>
    <t xml:space="preserve">Predictors that are individually significant</t>
  </si>
  <si>
    <t xml:space="preserve">VIF below 5</t>
  </si>
  <si>
    <t xml:space="preserve">Acceptable</t>
  </si>
  <si>
    <t xml:space="preserve">Coefficients can be interpreted separately</t>
  </si>
  <si>
    <t xml:space="preserve">VIF 5 to 10</t>
  </si>
  <si>
    <t xml:space="preserve">Moderate</t>
  </si>
  <si>
    <t xml:space="preserve">Standard errors inflated two to three times; interpret with care</t>
  </si>
  <si>
    <t xml:space="preserve">VIF above 10</t>
  </si>
  <si>
    <t xml:space="preserve">Severe</t>
  </si>
  <si>
    <t xml:space="preserve">Do not interpret individual coefficients at all</t>
  </si>
  <si>
    <t xml:space="preserve">Use instead of R squared</t>
  </si>
  <si>
    <t xml:space="preserve">R squared rises even when noise is added</t>
  </si>
  <si>
    <t xml:space="preserve">•  Reading the LINEST columns left to right as X1, X2, X3. They come back in reverse order.</t>
  </si>
  <si>
    <t xml:space="preserve">•  Adding predictors until R squared looks impressive. Adjusted R squared is the honest measure.</t>
  </si>
  <si>
    <t xml:space="preserve">•  Interpreting a coefficient with a VIF of 15 as the effect of that variable.</t>
  </si>
  <si>
    <t xml:space="preserve">•  Concluding a predictor does not matter because its p-value is high, when collinearity has inflated its standard error.</t>
  </si>
  <si>
    <t xml:space="preserve">•  Treating regression coefficients from observational data as causal effects. Only a designed experiment establishes that; see E-35 and E-42.</t>
  </si>
  <si>
    <t xml:space="preserve">Q1.  Your model has R squared of 0.86 and an overall p below 0.001, yet none of the three predictors is individually significant. What is happening?</t>
  </si>
  <si>
    <t xml:space="preserve">A1.  That is the textbook signature of multicollinearity. The predictors jointly explain the response well, but because they move together the model cannot decide which one deserves the credit, so each standard error is inflated and each individual t test fails. Check the VIF values.</t>
  </si>
  <si>
    <t xml:space="preserve">Q2.  Why is adjusted R squared preferred to R squared in multiple regression?</t>
  </si>
  <si>
    <t xml:space="preserve">A2.  R squared can only increase when a predictor is added, even a column of random numbers, because least squares will always find some fit. Adjusted R squared subtracts a penalty for each predictor and can fall, so it actually tells you whether the addition was worth it.</t>
  </si>
  <si>
    <t xml:space="preserve">Q3.  Multicollinearity is severe but you only need to predict wall thickness, not explain it. Is the model still usable?</t>
  </si>
  <si>
    <t xml:space="preserve">A3.  Yes. Collinearity damages the interpretation of individual coefficients, not the predictive power of the model as a whole, provided you predict within the range and the correlation structure of the original data. It becomes dangerous the moment someone reads a coefficient as an effect.</t>
  </si>
  <si>
    <t xml:space="preserve">E-39  Binary Logistic Regression</t>
  </si>
  <si>
    <t xml:space="preserve">E-39 — Binary Logistic Regression</t>
  </si>
  <si>
    <t xml:space="preserve">Phase: ANALYZE   |   Data required: Binary Y plus continuous X   |   Min. sample: 50   |   Complexity: 5/5   |   Typical output: Odds ratios and fitted probabilities</t>
  </si>
  <si>
    <t xml:space="preserve">What drives a pass or fail outcome?</t>
  </si>
  <si>
    <t xml:space="preserve">A binary response with one continuous predictor, grouped into levels.</t>
  </si>
  <si>
    <t xml:space="preserve">A fitted logistic curve, an odds ratio, and the predictor value at any target failure rate.</t>
  </si>
  <si>
    <t xml:space="preserve">When the response is pass or fail, ordinary regression fails in a very visible way: it will happily predict a failure probability of minus 8 per cent at low speed and 140 per cent at high speed. Probabilities are bounded and the straight line is not.</t>
  </si>
  <si>
    <t xml:space="preserve">Logistic regression solves this by modelling the LOG ODDS instead of the probability. Odds are p/(1-p), which runs from zero to infinity, and the logarithm of the odds runs from minus infinity to plus infinity - so a straight line is now legitimate. Transforming back gives an S-shaped curve that can never leave 0 and 1.</t>
  </si>
  <si>
    <t xml:space="preserve">The coefficient is read as an odds ratio. EXP(b) is the factor by which the odds of failure multiply for a one unit increase in the predictor. An odds ratio of 1.0 means no effect; 2.0 means the odds double.</t>
  </si>
  <si>
    <t xml:space="preserve">Note the word odds, not probability: at low failure rates the two are close, but at high rates they diverge.</t>
  </si>
  <si>
    <t xml:space="preserve">This sheet fits the model by weighted least squares on the empirical logits of grouped data, which is exactly how logistic regression was done before iterative software, and which needs no macros. It is accurate when each group has a reasonable number of trials and no group is entirely free of failures.</t>
  </si>
  <si>
    <t xml:space="preserve">✓  Predicting the probability of a defect from a continuous setting.</t>
  </si>
  <si>
    <t xml:space="preserve">✗  Not for a continuous response: use E-36 or E-38.</t>
  </si>
  <si>
    <t xml:space="preserve">✓  Finding the line speed at which the failure rate crosses an acceptable limit.</t>
  </si>
  <si>
    <t xml:space="preserve">✗  Not reliable when a group has zero failures; the empirical logit is undefined.</t>
  </si>
  <si>
    <t xml:space="preserve">✓  Any pass or fail outcome with a measured driver.</t>
  </si>
  <si>
    <t xml:space="preserve">✗  Not a substitute for a designed experiment when you can set the predictor deliberately.</t>
  </si>
  <si>
    <t xml:space="preserve">✓  Converting an inspection result into a process window.</t>
  </si>
  <si>
    <t xml:space="preserve">Every group has at least one failure and one pass</t>
  </si>
  <si>
    <t xml:space="preserve">Check the counts before fitting</t>
  </si>
  <si>
    <t xml:space="preserve">Widen the bins, or add 0.5 to each count as a continuity correction</t>
  </si>
  <si>
    <t xml:space="preserve">Groups have enough trials each</t>
  </si>
  <si>
    <t xml:space="preserve">At least 30 trials per group, ideally 100</t>
  </si>
  <si>
    <t xml:space="preserve">Combine adjacent bins</t>
  </si>
  <si>
    <t xml:space="preserve">The log odds are approximately linear in the predictor</t>
  </si>
  <si>
    <t xml:space="preserve">Plot the empirical logit against the predictor</t>
  </si>
  <si>
    <t xml:space="preserve">Transform the predictor, or add a quadratic term</t>
  </si>
  <si>
    <t xml:space="preserve">   LN( p / (1 - p) ) = b0 + b1*x            p = 1 / (1 + EXP( -(b0 + b1*x) ))</t>
  </si>
  <si>
    <t xml:space="preserve">Empirical logit of a group with x failures out of n trials:</t>
  </si>
  <si>
    <t xml:space="preserve">   p = x/n            logit = LN( p / (1 - p) )</t>
  </si>
  <si>
    <t xml:space="preserve">Weighted least squares, with weight w = n*p*(1-p):</t>
  </si>
  <si>
    <t xml:space="preserve">   b1 = ( Sw*Swxy - Swx*Swy ) / ( Sw*Swxx - Swx^2 )</t>
  </si>
  <si>
    <t xml:space="preserve">   b0 = ( Swy - b1*Swx ) / Sw</t>
  </si>
  <si>
    <t xml:space="preserve">   where Sw = SUM w, Swx = SUM w*x, Swy = SUM w*logit, and so on</t>
  </si>
  <si>
    <t xml:space="preserve">Standard error and Wald test on the slope:</t>
  </si>
  <si>
    <t xml:space="preserve">   SE(b1) = SQRT( Sw / (Sw*Swxx - Swx^2) )      z = b1 / SE(b1)</t>
  </si>
  <si>
    <t xml:space="preserve">Odds ratio:</t>
  </si>
  <si>
    <t xml:space="preserve">   OR = EXP(b1)  per unit of x        EXP(b1 * d) for a change of d units</t>
  </si>
  <si>
    <t xml:space="preserve">Predictor value at a target probability p*:</t>
  </si>
  <si>
    <t xml:space="preserve">   x* = ( LN( p*/(1 - p*) ) - b0 ) / b1</t>
  </si>
  <si>
    <t xml:space="preserve">LN / EXP</t>
  </si>
  <si>
    <t xml:space="preserve">LN(p/(1-p))</t>
  </si>
  <si>
    <t xml:space="preserve">The logit transformation and its inverse</t>
  </si>
  <si>
    <t xml:space="preserve">SUMPRODUCT(w, x, y)</t>
  </si>
  <si>
    <t xml:space="preserve">Every weighted sum in the normal equations</t>
  </si>
  <si>
    <t xml:space="preserve">Total weight</t>
  </si>
  <si>
    <t xml:space="preserve">p-value for the Wald test on the slope</t>
  </si>
  <si>
    <t xml:space="preserve">Top-load failures on the 0.5 litre SKU, sampled in eight line-speed bands of 150 bottles each.</t>
  </si>
  <si>
    <t xml:space="preserve">At what speed does the failure rate cross 5 per cent?</t>
  </si>
  <si>
    <t xml:space="preserve">Line speed (BPH)</t>
  </si>
  <si>
    <t xml:space="preserve">Trials n</t>
  </si>
  <si>
    <t xml:space="preserve">Failures x</t>
  </si>
  <si>
    <t xml:space="preserve">p observed</t>
  </si>
  <si>
    <t xml:space="preserve">logit</t>
  </si>
  <si>
    <t xml:space="preserve">weight w</t>
  </si>
  <si>
    <t xml:space="preserve">p fitted</t>
  </si>
  <si>
    <t xml:space="preserve">Sw   = SUM w</t>
  </si>
  <si>
    <t xml:space="preserve">Swx  = SUM w*x</t>
  </si>
  <si>
    <t xml:space="preserve">Swy  = SUM w*logit</t>
  </si>
  <si>
    <t xml:space="preserve">Swxx = SUM w*x*x</t>
  </si>
  <si>
    <t xml:space="preserve">Swxy = SUM w*x*logit</t>
  </si>
  <si>
    <t xml:space="preserve">Denominator  Sw*Swxx - Swx^2</t>
  </si>
  <si>
    <t xml:space="preserve">Slope  b1  (per BPH)</t>
  </si>
  <si>
    <t xml:space="preserve">Intercept  b0</t>
  </si>
  <si>
    <t xml:space="preserve">Standard error of b1</t>
  </si>
  <si>
    <t xml:space="preserve">Wald z</t>
  </si>
  <si>
    <t xml:space="preserve">Odds ratio per BPH</t>
  </si>
  <si>
    <t xml:space="preserve">Odds ratio per 1,000 BPH</t>
  </si>
  <si>
    <t xml:space="preserve">Target failure probability</t>
  </si>
  <si>
    <t xml:space="preserve">Predict at this line speed (BPH)</t>
  </si>
  <si>
    <t xml:space="preserve">Predicted failure probability at that speed</t>
  </si>
  <si>
    <t xml:space="preserve">Line speed at the target failure rate (BPH)</t>
  </si>
  <si>
    <t xml:space="preserve">Is that inside the range studied?</t>
  </si>
  <si>
    <t xml:space="preserve">Fit quality: correlation of observed with fitted probability</t>
  </si>
  <si>
    <t xml:space="preserve">Odds ratio</t>
  </si>
  <si>
    <t xml:space="preserve">1.0 means no effect</t>
  </si>
  <si>
    <t xml:space="preserve">Above 1 the odds rise with the predictor</t>
  </si>
  <si>
    <t xml:space="preserve">Wald p-value</t>
  </si>
  <si>
    <t xml:space="preserve">The predictor genuinely moves the failure rate</t>
  </si>
  <si>
    <t xml:space="preserve">Fit correlation</t>
  </si>
  <si>
    <t xml:space="preserve">Above 0.95</t>
  </si>
  <si>
    <t xml:space="preserve">The logistic curve tracks the observed proportions</t>
  </si>
  <si>
    <t xml:space="preserve">Extrapolation</t>
  </si>
  <si>
    <t xml:space="preserve">Stay inside the range studied</t>
  </si>
  <si>
    <t xml:space="preserve">The S curve is only evidenced where you have data</t>
  </si>
  <si>
    <t xml:space="preserve">•  Reading the odds ratio as a risk ratio. At high failure rates they are very different quantities.</t>
  </si>
  <si>
    <t xml:space="preserve">•  Fitting the model when one group has zero failures. The empirical logit is undefined; widen the bin.</t>
  </si>
  <si>
    <t xml:space="preserve">•  Using ordinary linear regression on a pass or fail response and predicting negative probabilities.</t>
  </si>
  <si>
    <t xml:space="preserve">•  Extrapolating the S curve far beyond the speeds actually run.</t>
  </si>
  <si>
    <t xml:space="preserve">•  Treating the fitted speed limit as a hard threshold. It is an estimate with uncertainty, and the curve is gradual, not a cliff.</t>
  </si>
  <si>
    <t xml:space="preserve">Q1.  Why model the log odds rather than the probability directly?</t>
  </si>
  <si>
    <t xml:space="preserve">A1.  Because probability is bounded between 0 and 1 while a straight line is not. A linear model on probability predicts impossible values at the extremes. The log odds runs from minus infinity to plus infinity, so a line is legitimate there, and transforming back gives an S curve that can never leave the valid range.</t>
  </si>
  <si>
    <t xml:space="preserve">Q2.  Your odds ratio per 1,000 BPH is 2.4. What does that mean in plain language?</t>
  </si>
  <si>
    <t xml:space="preserve">A2.  For every additional 1,000 bottles per hour, the odds of a top-load failure multiply by 2.4. If the odds were 1 in 50 before, they become roughly 1 in 21. Note that this is the odds, not the probability: at low failure rates they are close, but the distinction matters as the rate rises.</t>
  </si>
  <si>
    <t xml:space="preserve">Q3.  One of your speed bands recorded zero failures in 150 bottles. What is the problem and the fix?</t>
  </si>
  <si>
    <t xml:space="preserve">A3.  The empirical logit needs LN(p/(1-p)), which is undefined when p is zero. Either merge that band with the adjacent one so the combined group contains at least one failure, or apply a continuity correction by adding 0.5 to the failure and success counts before computing the logit.</t>
  </si>
  <si>
    <t xml:space="preserve">E-40 — Multi-Vari Analysis</t>
  </si>
  <si>
    <t xml:space="preserve">Phase: ANALYZE   |   Data required: Nested sampling data   |   Min. sample: 30   |   Complexity: 4/5   |   Typical output: Multi-vari chart and dominant family</t>
  </si>
  <si>
    <t xml:space="preserve">Where does my variation actually live: within a unit, between units, or over time?</t>
  </si>
  <si>
    <t xml:space="preserve">Before a designed experiment, to narrow the search from dozens of causes to one family.</t>
  </si>
  <si>
    <t xml:space="preserve">The three families of variation quantified and ranked, with a multi-vari chart.</t>
  </si>
  <si>
    <t xml:space="preserve">Multi-vari analysis is the cheapest and most under-used tool in the Analyze phase. It answers one question before you spend anything: which FAMILY of variation dominates?</t>
  </si>
  <si>
    <t xml:space="preserve">There are three families on a packaging line. WITHIN-UNIT variation is what you see between consecutive bottles from the same valve seconds apart - the irreducible short-term noise of the machine. BETWEEN-UNIT variation is the difference between valves, cavities or heads at the same moment. TEMPORAL variation is the drift from hour to hour or shift to shift.</t>
  </si>
  <si>
    <t xml:space="preserve">Each family points at a completely different investigation. Within-unit dominance means the mechanism itself is unstable: valve seating, flow control, the gauge. Between-unit dominance means a setup or wear difference between positions, which is usually the cheapest thing to fix. Temporal dominance means something is drifting:</t>
  </si>
  <si>
    <t xml:space="preserve">temperature, product level, tool wear, a shift practice.</t>
  </si>
  <si>
    <t xml:space="preserve">The economics are compelling. A study of 27 bottles taken in a structured pattern over a single shift can eliminate two thirds of the candidate causes before you design an experiment. Run it before E-42, not after.</t>
  </si>
  <si>
    <t xml:space="preserve">The chart matters as much as the numbers: parallel lines that are far apart mean a position effect; lines that cross mean an interaction between position and time.</t>
  </si>
  <si>
    <t xml:space="preserve">✓  At the start of Analyze on any variation problem.</t>
  </si>
  <si>
    <t xml:space="preserve">✗  Not a hypothesis test; it is a structured picture, though ANOVA can follow it.</t>
  </si>
  <si>
    <t xml:space="preserve">✓  Before designing an experiment, to choose which factors to include.</t>
  </si>
  <si>
    <t xml:space="preserve">✗  Not useful if the sampling pattern was not designed: the structure IS the method.</t>
  </si>
  <si>
    <t xml:space="preserve">✓  When a Gage R&amp;R has cleared the measurement system but the cause is still unknown.</t>
  </si>
  <si>
    <t xml:space="preserve">✗  Not a substitute for a designed experiment when you need to prove causation.</t>
  </si>
  <si>
    <t xml:space="preserve">✓  When an ANOVA on shifts found nothing and the variation is clearly there.</t>
  </si>
  <si>
    <t xml:space="preserve">Sampling captures all three families deliberately</t>
  </si>
  <si>
    <t xml:space="preserve">Consecutive units for within, all positions for between, several times for temporal</t>
  </si>
  <si>
    <t xml:space="preserve">Redesign the sampling; an unstructured sample cannot be decomposed</t>
  </si>
  <si>
    <t xml:space="preserve">Gage R&amp;R on E-59: gauge noise appears as within-unit variation</t>
  </si>
  <si>
    <t xml:space="preserve">Fix the gauge first, or you will chase it as a process cause</t>
  </si>
  <si>
    <t xml:space="preserve">The process is running normally during the study</t>
  </si>
  <si>
    <t xml:space="preserve">No changeovers, no interventions, no special causes</t>
  </si>
  <si>
    <t xml:space="preserve">Repeat the study; a single event dominates everything</t>
  </si>
  <si>
    <t xml:space="preserve">Sampling structure used here: 3 time periods x 3 valves x 3 consecutive bottles</t>
  </si>
  <si>
    <t xml:space="preserve">Within-unit (short term):</t>
  </si>
  <si>
    <t xml:space="preserve">   average of the ranges of the three consecutive bottles in each of the nine subgroups</t>
  </si>
  <si>
    <t xml:space="preserve">Between-unit (valve to valve):</t>
  </si>
  <si>
    <t xml:space="preserve">   at each time, the range of the three valve means; then average over the three times</t>
  </si>
  <si>
    <t xml:space="preserve">Temporal (time to time):</t>
  </si>
  <si>
    <t xml:space="preserve">   the range of the three time means</t>
  </si>
  <si>
    <t xml:space="preserve">Share of each family:</t>
  </si>
  <si>
    <t xml:space="preserve">   share = family range / (sum of the three family ranges)</t>
  </si>
  <si>
    <t xml:space="preserve">Converting a range into a sigma estimate, for a subgroup of 3:</t>
  </si>
  <si>
    <t xml:space="preserve">   sigma = R / d2   with d2 = 1.693        (see U-02 for other subgroup sizes)</t>
  </si>
  <si>
    <t xml:space="preserve">MAX(range) - MIN(range)</t>
  </si>
  <si>
    <t xml:space="preserve">Every range in the decomposition</t>
  </si>
  <si>
    <t xml:space="preserve">Subgroup, valve and time means</t>
  </si>
  <si>
    <t xml:space="preserve">LARGE / SMALL</t>
  </si>
  <si>
    <t xml:space="preserve">LARGE(range, 1)</t>
  </si>
  <si>
    <t xml:space="preserve">Range of a set of means held in separate cells</t>
  </si>
  <si>
    <t xml:space="preserve">INDEX(names, MATCH(MAX(shares), shares, 0))</t>
  </si>
  <si>
    <t xml:space="preserve">Names the dominant family</t>
  </si>
  <si>
    <t xml:space="preserve">IFERROR(value, 0)</t>
  </si>
  <si>
    <t xml:space="preserve">Guards the shares when the total range is zero</t>
  </si>
  <si>
    <t xml:space="preserve">Twenty-seven bottles from the Innofil: three valves sampled at three times during one shift, three consecutive bottles each time. Which family dominates, and therefore where do you look next?</t>
  </si>
  <si>
    <t xml:space="preserve">T1 V1</t>
  </si>
  <si>
    <t xml:space="preserve">T1 V2</t>
  </si>
  <si>
    <t xml:space="preserve">T1 V3</t>
  </si>
  <si>
    <t xml:space="preserve">T2 V1</t>
  </si>
  <si>
    <t xml:space="preserve">T2 V2</t>
  </si>
  <si>
    <t xml:space="preserve">T2 V3</t>
  </si>
  <si>
    <t xml:space="preserve">T3 V1</t>
  </si>
  <si>
    <t xml:space="preserve">T3 V2</t>
  </si>
  <si>
    <t xml:space="preserve">T3 V3</t>
  </si>
  <si>
    <t xml:space="preserve">Columns are the nine time-by-valve subgroups; rows are the three consecutive bottles.</t>
  </si>
  <si>
    <t xml:space="preserve">SUBGROUP MEANS AND RANGES</t>
  </si>
  <si>
    <t xml:space="preserve">Subgroup mean (ml)</t>
  </si>
  <si>
    <t xml:space="preserve">Subgroup range (ml)</t>
  </si>
  <si>
    <t xml:space="preserve">MEANS ARRANGED FOR THE MULTI-VARI CHART</t>
  </si>
  <si>
    <t xml:space="preserve">Valve</t>
  </si>
  <si>
    <t xml:space="preserve">Time 1</t>
  </si>
  <si>
    <t xml:space="preserve">Time 2</t>
  </si>
  <si>
    <t xml:space="preserve">Time 3</t>
  </si>
  <si>
    <t xml:space="preserve">DECOMPOSITION OF THE VARIATION</t>
  </si>
  <si>
    <t xml:space="preserve">WITHIN unit - average subgroup range (ml)</t>
  </si>
  <si>
    <t xml:space="preserve">BETWEEN valves - average range of valve means (ml)</t>
  </si>
  <si>
    <t xml:space="preserve">TEMPORAL - range of the three time means (ml)</t>
  </si>
  <si>
    <t xml:space="preserve">Sum of the three families</t>
  </si>
  <si>
    <t xml:space="preserve">Family</t>
  </si>
  <si>
    <t xml:space="preserve">Share</t>
  </si>
  <si>
    <t xml:space="preserve">Where to look next</t>
  </si>
  <si>
    <t xml:space="preserve">Within unit (short term)</t>
  </si>
  <si>
    <t xml:space="preserve">The mechanism itself: valve seating, flow control, and the gauge (E-59)</t>
  </si>
  <si>
    <t xml:space="preserve">Between valves (positional)</t>
  </si>
  <si>
    <t xml:space="preserve">Setup, wear or adjustment differences between positions - usually the cheapest fix</t>
  </si>
  <si>
    <t xml:space="preserve">Time to time (temporal)</t>
  </si>
  <si>
    <t xml:space="preserve">Drift: temperature, product level, tool wear, shift practice</t>
  </si>
  <si>
    <t xml:space="preserve">Dominant family</t>
  </si>
  <si>
    <t xml:space="preserve">Its share of the total</t>
  </si>
  <si>
    <t xml:space="preserve">Short-term sigma from the within range (R / d2, d2 = 1.693)</t>
  </si>
  <si>
    <t xml:space="preserve">Overall StDev of all 27 bottles (ml)</t>
  </si>
  <si>
    <t xml:space="preserve">Short-term sigma as a share of overall StDev</t>
  </si>
  <si>
    <t xml:space="preserve">One family above 50%</t>
  </si>
  <si>
    <t xml:space="preserve">Focus there</t>
  </si>
  <si>
    <t xml:space="preserve">Two thirds of the candidate causes are eliminated</t>
  </si>
  <si>
    <t xml:space="preserve">Between-unit dominant</t>
  </si>
  <si>
    <t xml:space="preserve">Positional</t>
  </si>
  <si>
    <t xml:space="preserve">Setup, wear, calibration; usually the cheapest to fix</t>
  </si>
  <si>
    <t xml:space="preserve">Temporal dominant</t>
  </si>
  <si>
    <t xml:space="preserve">Drift</t>
  </si>
  <si>
    <t xml:space="preserve">Chart it in time order before designing any experiment</t>
  </si>
  <si>
    <t xml:space="preserve">Within-unit dominant</t>
  </si>
  <si>
    <t xml:space="preserve">Check the gauge first</t>
  </si>
  <si>
    <t xml:space="preserve">Gauge repeatability appears inside this family</t>
  </si>
  <si>
    <t xml:space="preserve">Lines crossing on the chart</t>
  </si>
  <si>
    <t xml:space="preserve">Interaction</t>
  </si>
  <si>
    <t xml:space="preserve">The position effect changes over time; see E-27</t>
  </si>
  <si>
    <t xml:space="preserve">•  Running a designed experiment before knowing which family dominates, and including factors from the wrong family entirely.</t>
  </si>
  <si>
    <t xml:space="preserve">•  Interpreting within-unit variation as a process problem without first clearing the measurement system on E-59. Gauge noise lands squarely in this family.</t>
  </si>
  <si>
    <t xml:space="preserve">•  Sampling without a designed structure. Without deliberate nesting the variation cannot be decomposed.</t>
  </si>
  <si>
    <t xml:space="preserve">•  Ignoring crossing lines on the chart, which signal that the positional effect itself changes over time.</t>
  </si>
  <si>
    <t xml:space="preserve">•  Running the study across a changeover or a known upset, so one event dominates all three families.</t>
  </si>
  <si>
    <t xml:space="preserve">Q1.  Why run a multi-vari study before a designed experiment rather than after?</t>
  </si>
  <si>
    <t xml:space="preserve">A1.  Because it eliminates whole families of causes for the price of 27 bottles. If the variation is almost entirely positional, an experiment on temperature and pressure settings will find nothing, and you will have spent weeks proving it. The multi-vari tells you which factors are even worth putting in the design.</t>
  </si>
  <si>
    <t xml:space="preserve">Q2.  Within-unit variation dominates your study. What must you check before investigating the machine?</t>
  </si>
  <si>
    <t xml:space="preserve">A2.  The measurement system. Gauge repeatability is measured on the same unit under the same conditions, so it appears inside the within-unit family and is indistinguishable from genuine short-term process noise. Run a Gage R&amp;R on E-59 first; if the gauge is the problem, no machine work will help.</t>
  </si>
  <si>
    <t xml:space="preserve">Q3.  The three valve lines on your chart are far apart but cross each other between time 2 and time 3. What does that tell you?</t>
  </si>
  <si>
    <t xml:space="preserve">A3.  There is both a positional effect and an interaction between position and time. The valves differ, but not consistently - one is drifting relative to the others. That points at a wear or fouling mechanism affecting one valve, and it can be tested formally with a two-way ANOVA on E-27.</t>
  </si>
  <si>
    <t xml:space="preserve">E-41 — DOE Fundamentals and Terminology</t>
  </si>
  <si>
    <t xml:space="preserve">IMPROVE</t>
  </si>
  <si>
    <t xml:space="preserve">Phase: IMPROVE   |   Data required: Factor list   |   Min. sample: n/a   |   Complexity: 3/5   |   Typical output: Design vocabulary and planning sheet</t>
  </si>
  <si>
    <t xml:space="preserve">What is Design of Experiments, and what must I decide before I run one?</t>
  </si>
  <si>
    <t xml:space="preserve">Before designing any structured experiment on the line, and as a reference glossary while reading E-42 to E-46.</t>
  </si>
  <si>
    <t xml:space="preserve">The vocabulary, the planning checklist and a comparison of the design families used later in this block.</t>
  </si>
  <si>
    <t xml:space="preserve">DOE means changing several factors deliberately and simultaneously, following a written plan, instead of the instinctive one-factor-at-a-time (OFAT) approach. OFAT cannot detect interactions - cases where the effect of one factor depends on the level of another - and it needs far more runs to reach the same precision.</t>
  </si>
  <si>
    <t xml:space="preserve">A factor is an input you control (blow pressure, oven temperature, line speed). A level is a specific setting of that factor. A response is the output you measure (wall thickness, fill weight, defect rate). A run is one combination of factor levels, executed once. Replication repeats a run to estimate experimental error;</t>
  </si>
  <si>
    <t xml:space="preserve">randomisation breaks the link between run order and hidden time trends; blocking removes a known nuisance factor (shift, batch of preform) from the comparison instead of letting it contaminate it.</t>
  </si>
  <si>
    <t xml:space="preserve">✓  Screening many candidate factors down to the few that matter (E-44).</t>
  </si>
  <si>
    <t xml:space="preserve">✗  The process is already stable and capable: fix special causes first with the control charts in E-49 to E-56.</t>
  </si>
  <si>
    <t xml:space="preserve">✓  Confirming and quantifying effects and interactions once the short list is known (E-42, E-43).</t>
  </si>
  <si>
    <t xml:space="preserve">✗  You need to change only one factor and can afford unlimited runs: OFAT is simpler, if slower.</t>
  </si>
  <si>
    <t xml:space="preserve">✓  Optimising a response once the important factors are known (E-46).</t>
  </si>
  <si>
    <t xml:space="preserve">✗  The factors cannot physically be set independently of each other.</t>
  </si>
  <si>
    <t xml:space="preserve">✓  Any time a multi-vari study on E-40 has pointed at two or more suspects at once.</t>
  </si>
  <si>
    <t xml:space="preserve">A response can actually be measured for every run</t>
  </si>
  <si>
    <t xml:space="preserve">Gage R&amp;R on E-59 before the study, not after</t>
  </si>
  <si>
    <t xml:space="preserve">Fix the measurement system first; a DOE built on noisy data wastes runs</t>
  </si>
  <si>
    <t xml:space="preserve">Factor levels are set far enough apart to move the response</t>
  </si>
  <si>
    <t xml:space="preserve">Use engineering knowledge and prior data, not the smallest adjustment possible</t>
  </si>
  <si>
    <t xml:space="preserve">Widen the range; a null result from a tiny range is uninformative</t>
  </si>
  <si>
    <t xml:space="preserve">Runs are randomised or blocked against time trends</t>
  </si>
  <si>
    <t xml:space="preserve">Review the run order log for shift or material-lot patterns</t>
  </si>
  <si>
    <t xml:space="preserve">Add blocking factors, or randomise the remaining runs</t>
  </si>
  <si>
    <t xml:space="preserve">No single formula: this sheet is the vocabulary and the planning checklist behind every DOE sheet that follows.</t>
  </si>
  <si>
    <t xml:space="preserve">The design size for a full factorial with k factors at 2 levels is  N = 2^k  runs per replicate.</t>
  </si>
  <si>
    <t xml:space="preserve">The number of effects estimable from N runs is  N - 1  (main effects plus every order of interaction).</t>
  </si>
  <si>
    <t xml:space="preserve">Resolution (fractional designs only) is the length of the shortest word in the defining relation - see E-43.</t>
  </si>
  <si>
    <t xml:space="preserve">IF / nested IF</t>
  </si>
  <si>
    <t xml:space="preserve">IF(condition,"result")</t>
  </si>
  <si>
    <t xml:space="preserve">Implements the design-family recommendation below</t>
  </si>
  <si>
    <t xml:space="preserve">COUNTIFS(range,criteria)</t>
  </si>
  <si>
    <t xml:space="preserve">Counts how many of your candidate factors are continuous vs categorical</t>
  </si>
  <si>
    <t xml:space="preserve">Answer the two yellow questions and get a recommended design family with a link to the sheet that runs it.</t>
  </si>
  <si>
    <t xml:space="preserve">How many candidate factors do you have?</t>
  </si>
  <si>
    <t xml:space="preserve">Do you already know which factors matter?</t>
  </si>
  <si>
    <t xml:space="preserve">RECOMMENDED DESIGN FAMILY</t>
  </si>
  <si>
    <t xml:space="preserve">Design family</t>
  </si>
  <si>
    <t xml:space="preserve">Runs needed</t>
  </si>
  <si>
    <t xml:space="preserve">When it earns its keep</t>
  </si>
  <si>
    <t xml:space="preserve">Full factorial 2^k</t>
  </si>
  <si>
    <t xml:space="preserve">2^k</t>
  </si>
  <si>
    <t xml:space="preserve">4 or fewer factors, all interactions matter</t>
  </si>
  <si>
    <t xml:space="preserve">E-42 Full Factorial</t>
  </si>
  <si>
    <t xml:space="preserve">Fractional factorial 2^(k-p)</t>
  </si>
  <si>
    <t xml:space="preserve">2^(k-p)</t>
  </si>
  <si>
    <t xml:space="preserve">5 to 8 factors, higher-order interactions assumed negligible</t>
  </si>
  <si>
    <t xml:space="preserve">E-43 Fractional Factorial</t>
  </si>
  <si>
    <t xml:space="preserve">Plackett-Burman screening</t>
  </si>
  <si>
    <t xml:space="preserve">12, 16, 20...</t>
  </si>
  <si>
    <t xml:space="preserve">8 or more candidate factors, main effects only</t>
  </si>
  <si>
    <t xml:space="preserve">E-44 Screening Designs</t>
  </si>
  <si>
    <t xml:space="preserve">Factorial + centre points</t>
  </si>
  <si>
    <t xml:space="preserve">2^k + 3 to 5</t>
  </si>
  <si>
    <t xml:space="preserve">Suspected curvature in the operating region</t>
  </si>
  <si>
    <t xml:space="preserve">E-45 Center Points Curvature</t>
  </si>
  <si>
    <t xml:space="preserve">Response surface (CCD / Box-Behnken)</t>
  </si>
  <si>
    <t xml:space="preserve">2^k + axial + centre</t>
  </si>
  <si>
    <t xml:space="preserve">Optimising, not just screening, 2-4 factors</t>
  </si>
  <si>
    <t xml:space="preserve">E-46 Response Surface</t>
  </si>
  <si>
    <t xml:space="preserve">Term</t>
  </si>
  <si>
    <t xml:space="preserve">Definition</t>
  </si>
  <si>
    <t xml:space="preserve">Coded units</t>
  </si>
  <si>
    <t xml:space="preserve">Factor levels rescaled to -1 (low) and +1 (high) so effects are comparable regardless of the original units.</t>
  </si>
  <si>
    <t xml:space="preserve">Effect</t>
  </si>
  <si>
    <t xml:space="preserve">The average change in the response when a factor moves from low to high, holding the design's balance.</t>
  </si>
  <si>
    <t xml:space="preserve">The effect of one factor depends on the level of another; main effects alone then mis-describe the process.</t>
  </si>
  <si>
    <t xml:space="preserve">Confounding / aliasing</t>
  </si>
  <si>
    <t xml:space="preserve">Two effects that cannot be told apart from the data collected, by design (fractional factorials).</t>
  </si>
  <si>
    <t xml:space="preserve">Resolution</t>
  </si>
  <si>
    <t xml:space="preserve">How badly effects are confounded in a fractional design; higher resolution confounds only higher-order effects.</t>
  </si>
  <si>
    <t xml:space="preserve">Curvature</t>
  </si>
  <si>
    <t xml:space="preserve">The response surface bends within the studied region; a purely linear model then under-fits it.</t>
  </si>
  <si>
    <t xml:space="preserve">Number of factors</t>
  </si>
  <si>
    <t xml:space="preserve">k ≤ 4 → full factorial</t>
  </si>
  <si>
    <t xml:space="preserve">Every main effect and every interaction estimable</t>
  </si>
  <si>
    <t xml:space="preserve">k ≥ 5</t>
  </si>
  <si>
    <t xml:space="preserve">Fractional or screening design, accept some confounding</t>
  </si>
  <si>
    <t xml:space="preserve">Prior knowledge</t>
  </si>
  <si>
    <t xml:space="preserve">Factors already ranked</t>
  </si>
  <si>
    <t xml:space="preserve">Move straight to optimisation (E-46) instead of screening</t>
  </si>
  <si>
    <t xml:space="preserve">•  Changing one factor at a time and calling it 'the experiment': it cannot see interactions and needs more runs.</t>
  </si>
  <si>
    <t xml:space="preserve">•  Skipping randomisation, so a shift change or material lot masquerades as a factor effect.</t>
  </si>
  <si>
    <t xml:space="preserve">•  Setting levels too close together: a real effect can hide inside measurement noise.</t>
  </si>
  <si>
    <t xml:space="preserve">•  Running a screening design and treating a small effect as 'proven zero' rather than 'not detected yet'.</t>
  </si>
  <si>
    <t xml:space="preserve">Q1.  Why can one-factor-at-a-time experimentation never detect an interaction?</t>
  </si>
  <si>
    <t xml:space="preserve">A1.  Because it changes one factor while holding the others fixed at one particular combination. An interaction shows up only when you see how the effect of one factor changes across the levels of another - which OFAT never observes.</t>
  </si>
  <si>
    <t xml:space="preserve">Q2.  Your team has 9 candidate factors and one week of trial time. What do you run first?</t>
  </si>
  <si>
    <t xml:space="preserve">A2.  A Plackett-Burman screening design (E-44). With that many candidates, a full or fractional factorial is too expensive; screening ranks the factors so the next study can focus on the few that matter.</t>
  </si>
  <si>
    <t xml:space="preserve">Q3.  What does 'coded units' buy you that the raw engineering units do not?</t>
  </si>
  <si>
    <t xml:space="preserve">A3.  Effects in coded units are directly comparable across factors measured in different units and scales (bar vs °C vs bph), because every factor is rescaled to the same -1/+1 range before the effect is computed.</t>
  </si>
  <si>
    <t xml:space="preserve">E-44  Screening Designs (Plackett-Burman)</t>
  </si>
  <si>
    <t xml:space="preserve">E-42 — Full Factorial Designs (2^k)</t>
  </si>
  <si>
    <t xml:space="preserve">Phase: IMPROVE   |   Data required: Runs of a 2^k design   |   Min. sample: 8   |   Complexity: 4/5   |   Typical output: Effects, main effects and interaction plots</t>
  </si>
  <si>
    <t xml:space="preserve">Which of these factors change the response, and do they interact?</t>
  </si>
  <si>
    <t xml:space="preserve">Four or fewer factors, all plausibly interacting, and you can afford every combination.</t>
  </si>
  <si>
    <t xml:space="preserve">A complete effects table, a main effects plot and an interaction plot, from one balanced design.</t>
  </si>
  <si>
    <t xml:space="preserve">A full factorial tests every combination of every level of every factor. With 3 factors at 2 levels that is 2^3 = 8 runs. Because the design is balanced, each factor's effect can be estimated using all 8 runs, not just the ones where that factor changed - which is why factorials are far more efficient than OFAT for the same precision.</t>
  </si>
  <si>
    <t xml:space="preserve">The effect of a factor is the average response at its high level minus the average response at its low level.</t>
  </si>
  <si>
    <t xml:space="preserve">An interaction effect is estimated the same way, but on the product of the coded factor columns: if AB's 'effect' is large, factor A's influence genuinely depends on where B is set, and reporting A's main effect alone would be misleading.</t>
  </si>
  <si>
    <t xml:space="preserve">✓  Confirming which of 2 to 4 shortlisted factors actually move the response.</t>
  </si>
  <si>
    <t xml:space="preserve">✗  More than 4 factors: the run count and the interaction table both explode. Screen first on E-44.</t>
  </si>
  <si>
    <t xml:space="preserve">✓  Quantifying interactions between blow pressure, oven temperature and line speed on wall thickness.</t>
  </si>
  <si>
    <t xml:space="preserve">✗  You only need to rank many factors quickly: a fractional design (E-43) is cheaper.</t>
  </si>
  <si>
    <t xml:space="preserve">✓  Building a model precise enough to set operating windows, not just rank factors.</t>
  </si>
  <si>
    <t xml:space="preserve">✗  The region is suspected to be curved: add centre points, see E-45, before trusting a linear model.</t>
  </si>
  <si>
    <t xml:space="preserve">Runs are randomised in execution order</t>
  </si>
  <si>
    <t xml:space="preserve">Check the run-order log against shift changes</t>
  </si>
  <si>
    <t xml:space="preserve">Re-run in a randomised order, or add shift as a blocking factor</t>
  </si>
  <si>
    <t xml:space="preserve">Response variance is roughly constant across runs</t>
  </si>
  <si>
    <t xml:space="preserve">Repeat one or two runs and compare spread</t>
  </si>
  <si>
    <t xml:space="preserve">Transform the response or weight the analysis; consult E-33</t>
  </si>
  <si>
    <t xml:space="preserve">No unmodelled curvature in the studied region</t>
  </si>
  <si>
    <t xml:space="preserve">Add three to five centre-point runs and test</t>
  </si>
  <si>
    <t xml:space="preserve">Fit a quadratic term instead of a straight line</t>
  </si>
  <si>
    <t xml:space="preserve">E-45  Centre Points and Curvature Detection</t>
  </si>
  <si>
    <t xml:space="preserve">Coded levels: low = -1, high = +1. Effect of any column X (main or interaction) over N = 8 balanced runs:</t>
  </si>
  <si>
    <t xml:space="preserve">Effect(X) = SUMPRODUCT(coded_X_column, Y) / (N/2)          which equals  mean(Y | X=+1) - mean(Y | X=-1) The divisor N/2 = 4 is half the run count because SUMPRODUCT effectively sums Y with weight +1 or -1, so it already computes twice the true mean difference; dividing by N/2 recovers the effect on the response's own scale.</t>
  </si>
  <si>
    <t xml:space="preserve">Sum of squares attributable to any effect (single-replicate, no separate error term):</t>
  </si>
  <si>
    <t xml:space="preserve">   SS(X) = N * Effect(X)^2 / 4</t>
  </si>
  <si>
    <t xml:space="preserve">With no replication there is no formal F-test on this sheet; E-45 shows how centre-point replicates supply the error term needed for a proper test.</t>
  </si>
  <si>
    <t xml:space="preserve">SUMPRODUCT(A_col,Y_col)</t>
  </si>
  <si>
    <t xml:space="preserve">Effect estimate: sum of the response weighted by the coded factor level</t>
  </si>
  <si>
    <t xml:space="preserve">IF(coded=1,high,low)</t>
  </si>
  <si>
    <t xml:space="preserve">Converts a coded level back to the real engineering setting</t>
  </si>
  <si>
    <t xml:space="preserve">AVERAGEIF</t>
  </si>
  <si>
    <t xml:space="preserve">AVERAGEIF(A_col,1,Y_col)</t>
  </si>
  <si>
    <t xml:space="preserve">Mean response at the high level, used for the main effects plot</t>
  </si>
  <si>
    <t xml:space="preserve">ABS / LARGE</t>
  </si>
  <si>
    <t xml:space="preserve">LARGE(effects,1)</t>
  </si>
  <si>
    <t xml:space="preserve">Identifies the largest-magnitude effect for the interpretation text</t>
  </si>
  <si>
    <t xml:space="preserve">Standard Yates order. Overwrite the low/high engineering settings and the 8 measured thicknesses with your own trial.</t>
  </si>
  <si>
    <t xml:space="preserve">Factor</t>
  </si>
  <si>
    <t xml:space="preserve">Low (-1)</t>
  </si>
  <si>
    <t xml:space="preserve">High (+1)</t>
  </si>
  <si>
    <t xml:space="preserve">A: Blow pressure (bar)</t>
  </si>
  <si>
    <t xml:space="preserve">B: Oven temperature (°C)</t>
  </si>
  <si>
    <t xml:space="preserve">C: Line speed (bph)</t>
  </si>
  <si>
    <t xml:space="preserve">Run</t>
  </si>
  <si>
    <t xml:space="preserve">A coded</t>
  </si>
  <si>
    <t xml:space="preserve">B coded</t>
  </si>
  <si>
    <t xml:space="preserve">C coded</t>
  </si>
  <si>
    <t xml:space="preserve">A (bar)</t>
  </si>
  <si>
    <t xml:space="preserve">B (°C)</t>
  </si>
  <si>
    <t xml:space="preserve">C (bph)</t>
  </si>
  <si>
    <t xml:space="preserve">Thickness Y (mm)</t>
  </si>
  <si>
    <t xml:space="preserve">AB</t>
  </si>
  <si>
    <t xml:space="preserve">AC</t>
  </si>
  <si>
    <t xml:space="preserve">BC</t>
  </si>
  <si>
    <t xml:space="preserve">ABC</t>
  </si>
  <si>
    <t xml:space="preserve">Estimate</t>
  </si>
  <si>
    <t xml:space="preserve">% of SS total</t>
  </si>
  <si>
    <t xml:space="preserve">A: Blow pressure</t>
  </si>
  <si>
    <t xml:space="preserve">B: Oven temperature</t>
  </si>
  <si>
    <t xml:space="preserve">C: Line speed</t>
  </si>
  <si>
    <t xml:space="preserve">Total SS of all 7 effects</t>
  </si>
  <si>
    <t xml:space="preserve">Level</t>
  </si>
  <si>
    <t xml:space="preserve">A level</t>
  </si>
  <si>
    <t xml:space="preserve">Y | B low</t>
  </si>
  <si>
    <t xml:space="preserve">Y | B high</t>
  </si>
  <si>
    <t xml:space="preserve">Main effects plot: level (low/high) on the x-axis, one line per factor. Interaction plot: factor A on the x-axis, one line for B low and one for B high - non-parallel lines mean A and B interact.</t>
  </si>
  <si>
    <t xml:space="preserve">Main effect size</t>
  </si>
  <si>
    <t xml:space="preserve">Compare against process noise (Gage R&amp;R on E-59)</t>
  </si>
  <si>
    <t xml:space="preserve">An effect smaller than the measurement system's own noise is not actionable</t>
  </si>
  <si>
    <t xml:space="preserve">Interaction importance</t>
  </si>
  <si>
    <t xml:space="preserve">% of SS total ≥ ~10%</t>
  </si>
  <si>
    <t xml:space="preserve">The two factors must be set together, not independently</t>
  </si>
  <si>
    <t xml:space="preserve">No error term here</t>
  </si>
  <si>
    <t xml:space="preserve">Single replicate</t>
  </si>
  <si>
    <t xml:space="preserve">Add centre points (E-45) or replicate runs for a formal F-test</t>
  </si>
  <si>
    <t xml:space="preserve">•  Reading the main effect of a factor that has a large interaction, as if it acted alone.</t>
  </si>
  <si>
    <t xml:space="preserve">•  Confusing statistical size (SS%) with practical size: convert the effect to real units and take it to E-21.</t>
  </si>
  <si>
    <t xml:space="preserve">•  Running the 8 combinations in a convenient order instead of a randomised one.</t>
  </si>
  <si>
    <t xml:space="preserve">•  Treating this single-replicate design as proof of 'no effect' when an effect is simply smaller than this design can detect.</t>
  </si>
  <si>
    <t xml:space="preserve">Q1.  Why divide SUMPRODUCT(coded_column, Y) by 4 and not by 8, for a 2^3 design?</t>
  </si>
  <si>
    <t xml:space="preserve">A1.  SUMPRODUCT with a +1/-1 weighting effectively computes (sum of Y at high) - (sum of Y at low), which is twice the difference of the two means when each group has 4 runs. Dividing by N/2 = 4 converts that back into the actual effect, mean(high) - mean(low).</t>
  </si>
  <si>
    <t xml:space="preserve">Q2.  The AB interaction effect is nearly as large as the A main effect. What should you report?</t>
  </si>
  <si>
    <t xml:space="preserve">A2.  Report and plot the interaction, not just the two main effects. A large AB effect means the influence of A depends on where B is set, so a single 'A effect' number would mislead anyone trying to set the process.</t>
  </si>
  <si>
    <t xml:space="preserve">Q3.  You ran the 8 combinations in the exact table order, machine-day-by-day. What is the risk?</t>
  </si>
  <si>
    <t xml:space="preserve">A3.  Any slow drift over the day (temperature creep, tool wear) becomes perfectly correlated with run order and can be mistaken for a factor effect. Randomising the run order breaks that link.</t>
  </si>
  <si>
    <t xml:space="preserve">E-43  Fractional Factorial, Resolution and Aliasing</t>
  </si>
  <si>
    <t xml:space="preserve">E-43 — Fractional Factorial, Resolution and Aliasing</t>
  </si>
  <si>
    <t xml:space="preserve">Phase: IMPROVE   |   Data required: Runs of a fractional design   |   Min. sample: 8   |   Complexity: 5/5   |   Typical output: Generator, alias structure, resolution</t>
  </si>
  <si>
    <t xml:space="preserve">Can I screen four or more factors without paying for every combination?</t>
  </si>
  <si>
    <t xml:space="preserve">5 to 8 factors, when the highest-order interactions can safely be assumed negligible.</t>
  </si>
  <si>
    <t xml:space="preserve">Half (or smaller) of the full factorial's runs, the generator, the alias structure and the resulting resolution.</t>
  </si>
  <si>
    <t xml:space="preserve">A fractional factorial runs a carefully chosen subset of the full factorial. A half-fraction of a 2^4 design runs the 8 combinations of a 2^3 design for factors A, B and C, and then sets the fourth factor D equal to a product of the others - here D = ABC. That single choice, called the generator, is the entire design.</t>
  </si>
  <si>
    <t xml:space="preserve">The generator has a price: every effect you can estimate is now indistinguishable from at least one other effect. D = ABC means that whatever you measure as 'the D effect' is actually D confounded with the three-way interaction ABC - you cannot separate them from this data. This is aliasing, and it is deliberate, not a flaw:</t>
  </si>
  <si>
    <t xml:space="preserve">you are betting that ABC is negligible so that D can be estimated as if it were clean.</t>
  </si>
  <si>
    <t xml:space="preserve">Resolution is a shorthand for how safe that bet is. It is the length of the shortest word in the defining relation (here I = ABCD, length 4, Resolution IV). In a Resolution IV design, main effects are aliased only with three-factor-and-higher interactions (usually safe to ignore), but two-factor interactions are aliased with OTHER two-factor interactions - AB with CD, AC with BD, AD with BC. If you see a large 'AB' effect you cannot yet say whether it is really AB, or CD, or both.</t>
  </si>
  <si>
    <t xml:space="preserve">✓  5 to 8 factors and full factorial runs are not affordable.</t>
  </si>
  <si>
    <t xml:space="preserve">✗  Every two-factor interaction genuinely matters and must be told apart: run the full factorial (E-42).</t>
  </si>
  <si>
    <t xml:space="preserve">✓  Confirming a screened short-list from E-44 while keeping some interaction information.</t>
  </si>
  <si>
    <t xml:space="preserve">✗  Fewer than 5 factors: a full factorial is affordable and gives every interaction cleanly.</t>
  </si>
  <si>
    <t xml:space="preserve">✓  Prior knowledge or physics rules out the higher-order interactions that get sacrificed.</t>
  </si>
  <si>
    <t xml:space="preserve">✗  You need to rank many factors with only main effects in mind: Plackett-Burman on E-44 is cheaper still.</t>
  </si>
  <si>
    <t xml:space="preserve">The aliased higher-order interaction is genuinely negligible</t>
  </si>
  <si>
    <t xml:space="preserve">Engineering judgement and the sparsity-of-effects principle</t>
  </si>
  <si>
    <t xml:space="preserve">Fold over the design (a second half-fraction) to break the alias</t>
  </si>
  <si>
    <t xml:space="preserve">The design is not being over-interpreted for interactions</t>
  </si>
  <si>
    <t xml:space="preserve">Read the alias table before naming any 2fi</t>
  </si>
  <si>
    <t xml:space="preserve">Report the confounded pair, not a single interaction name</t>
  </si>
  <si>
    <t xml:space="preserve">Runs are randomised</t>
  </si>
  <si>
    <t xml:space="preserve">Check the run-order log</t>
  </si>
  <si>
    <t xml:space="preserve">Re-run in randomised order or block by day</t>
  </si>
  <si>
    <t xml:space="preserve">Generator for this design:   D = ABC          Defining relation:   I = ABCD Resolution = length of the shortest word in the defining relation = length(ABCD) = 4  -&gt;  Resolution IV.</t>
  </si>
  <si>
    <t xml:space="preserve">Alias structure, read directly from the defining relation by multiplying each effect by I = ABCD (remembering that any letter squared, e.g. A*A, disappears because A*A = I):</t>
  </si>
  <si>
    <t xml:space="preserve">A  = A*(ABCD) = A^2*BCD = BCD          B  = ACD          C  = ABD          D  = ABC AB = CD   (A*B*ABCD = C*D)             AC = BD                              AD = BC Every main effect is aliased with a three-factor interaction (assumed negligible in a Resolution IV design).</t>
  </si>
  <si>
    <t xml:space="preserve">Every two-factor interaction is aliased with exactly one other two-factor interaction, not with a main effect - this is precisely what 'Resolution IV' promises and is the reason two-factor interactions here need a caveat.</t>
  </si>
  <si>
    <t xml:space="preserve">Effect estimate, identical mechanics to the full factorial (N = 8 runs, divisor N/2 = 4):</t>
  </si>
  <si>
    <t xml:space="preserve">   Effect(X) = SUMPRODUCT(coded_X_column, Y) / 4</t>
  </si>
  <si>
    <t xml:space="preserve">Effect estimate for every estimable (aliased) contrast</t>
  </si>
  <si>
    <t xml:space="preserve">LARGE</t>
  </si>
  <si>
    <t xml:space="preserve">LARGE(abs_effects,k)</t>
  </si>
  <si>
    <t xml:space="preserve">k-th largest absolute effect, used to build the Pareto ranking without SORT</t>
  </si>
  <si>
    <t xml:space="preserve">INDEX(names,MATCH(LARGE(...),abs_effects,0))</t>
  </si>
  <si>
    <t xml:space="preserve">Looks up which effect name belongs to each ranked magnitude</t>
  </si>
  <si>
    <t xml:space="preserve">Standard fold with D = ABC. Overwrite the low/high settings and the 8 measured deviations with your own trial.</t>
  </si>
  <si>
    <t xml:space="preserve">A: Label tension (N)</t>
  </si>
  <si>
    <t xml:space="preserve">B: Glue temperature (°C)</t>
  </si>
  <si>
    <t xml:space="preserve">C: Infeed speed (bph)</t>
  </si>
  <si>
    <t xml:space="preserve">D: Roller pressure (bar)</t>
  </si>
  <si>
    <t xml:space="preserve">B</t>
  </si>
  <si>
    <t xml:space="preserve">D=ABC</t>
  </si>
  <si>
    <t xml:space="preserve">A (N)</t>
  </si>
  <si>
    <t xml:space="preserve">D (bar)</t>
  </si>
  <si>
    <t xml:space="preserve">Deviation Y (mm)</t>
  </si>
  <si>
    <t xml:space="preserve">AB(=CD)</t>
  </si>
  <si>
    <t xml:space="preserve">AC(=BD)</t>
  </si>
  <si>
    <t xml:space="preserve">AD(=BC)</t>
  </si>
  <si>
    <t xml:space="preserve">Effect (confounded pair)</t>
  </si>
  <si>
    <t xml:space="preserve">|Estimate|</t>
  </si>
  <si>
    <t xml:space="preserve">A (= BCD)</t>
  </si>
  <si>
    <t xml:space="preserve">B (= ACD)</t>
  </si>
  <si>
    <t xml:space="preserve">C (= ABD)</t>
  </si>
  <si>
    <t xml:space="preserve">D (= ABC)</t>
  </si>
  <si>
    <t xml:space="preserve">AB = CD</t>
  </si>
  <si>
    <t xml:space="preserve">AC = BD</t>
  </si>
  <si>
    <t xml:space="preserve">AD = BC</t>
  </si>
  <si>
    <t xml:space="preserve">Rank</t>
  </si>
  <si>
    <t xml:space="preserve">IV for this generator (D=ABC)</t>
  </si>
  <si>
    <t xml:space="preserve">Main effects clean of 2fi confounding; 2fi confounded with 2fi, not with main effects</t>
  </si>
  <si>
    <t xml:space="preserve">Effect size</t>
  </si>
  <si>
    <t xml:space="preserve">Compare to Gage R&amp;R noise (E-59)</t>
  </si>
  <si>
    <t xml:space="preserve">An effect must clear the measurement system's own noise to be actionable</t>
  </si>
  <si>
    <t xml:space="preserve">Ambiguous 2fi</t>
  </si>
  <si>
    <t xml:space="preserve">Two aliased names reported together</t>
  </si>
  <si>
    <t xml:space="preserve">Do not name a single interaction from an aliased pair without a follow-up run</t>
  </si>
  <si>
    <t xml:space="preserve">•  Naming 'the AB interaction' when the design can only tell you AB+CD combined.</t>
  </si>
  <si>
    <t xml:space="preserve">•  Assuming Resolution IV protects two-factor interactions the way it protects main effects - it does not.</t>
  </si>
  <si>
    <t xml:space="preserve">•  Skipping randomisation because 'it is just a screening run'.</t>
  </si>
  <si>
    <t xml:space="preserve">•  Treating an aliased effect near zero as proof both members of the pair are zero; they could cancel each other.</t>
  </si>
  <si>
    <t xml:space="preserve">Q1.  Why is this design called Resolution IV rather than Resolution III or V?</t>
  </si>
  <si>
    <t xml:space="preserve">A1.  Resolution equals the length of the shortest word in the defining relation. Here the defining relation is I = ABCD, a single word of length 4, so the design is Resolution IV - main effects are aliased only with three-factor interactions, and two-factor interactions are aliased with each other.</t>
  </si>
  <si>
    <t xml:space="preserve">Q2.  Your AC=BD row shows a large effect. What can you conclude about AC and BD individually?</t>
  </si>
  <si>
    <t xml:space="preserve">A2.  Only that AC and BD together produce that combined effect - not which one, or how much of each. Separating them requires a follow-up run such as a fold-over on one of the confounded factors.</t>
  </si>
  <si>
    <t xml:space="preserve">Q3.  Why is aliasing an accepted trade rather than a design flaw?</t>
  </si>
  <si>
    <t xml:space="preserve">A3.  Because it buys a large reduction in run count (8 runs instead of 16 for these 4 factors) in exchange for assuming the sacrificed higher-order interactions are negligible - a bet that is usually safe and can be checked later with more runs if the result looks suspicious.</t>
  </si>
  <si>
    <t xml:space="preserve">E-44 — Screening Designs (Plackett-Burman)</t>
  </si>
  <si>
    <t xml:space="preserve">Phase: IMPROVE   |   Data required: Screening runs   |   Min. sample: 12   |   Complexity: 4/5   |   Typical output: Ranked factor effects</t>
  </si>
  <si>
    <t xml:space="preserve">Of 7 or more candidate factors, which few actually move the response?</t>
  </si>
  <si>
    <t xml:space="preserve">Early in a project, when the factor list is long and the goal is to rank, not to model precisely.</t>
  </si>
  <si>
    <t xml:space="preserve">A ranked list of main effects from a 12-run Plackett-Burman design, with dummy factors to gauge noise.</t>
  </si>
  <si>
    <t xml:space="preserve">Plackett-Burman designs estimate main effects only, in the smallest possible number of runs - 12 runs can screen up to 11 factors. Every interaction is heavily confounded with main effects, which is the price paid for the run economy; this design answers 'which factors matter' and nothing about how they interact.</t>
  </si>
  <si>
    <t xml:space="preserve">A practical trick fills unused columns with 'dummy' factors - inputs that are not physically changed at all.</t>
  </si>
  <si>
    <t xml:space="preserve">Their estimated 'effects' are pure noise, because nothing about the process actually changed. Comparing the real factors' effects against the spread of the dummy effects gives a rough, assumption-light significance check without needing a formal replicate-based error term.</t>
  </si>
  <si>
    <t xml:space="preserve">✓  7 or more candidate factors and time or cost rules out a full or fractional factorial.</t>
  </si>
  <si>
    <t xml:space="preserve">✗  4 or fewer factors: run a full factorial (E-42) and get the interactions too.</t>
  </si>
  <si>
    <t xml:space="preserve">✓  Early Improve-phase triage before committing to a smaller, more informative follow-up design.</t>
  </si>
  <si>
    <t xml:space="preserve">✗  Interactions are expected to be large: this design will not separate them from main effects.</t>
  </si>
  <si>
    <t xml:space="preserve">✓  Confirming that a factor everyone 'knows' matters actually clears the noise floor.</t>
  </si>
  <si>
    <t xml:space="preserve">✗  You already know which factors matter: skip straight to E-42, E-43 or E-46.</t>
  </si>
  <si>
    <t xml:space="preserve">Main effects genuinely dominate over interactions</t>
  </si>
  <si>
    <t xml:space="preserve">Engineering judgement; confirm surprising results with a focused follow-up</t>
  </si>
  <si>
    <t xml:space="preserve">Treat every ranked effect as provisional, not final</t>
  </si>
  <si>
    <t xml:space="preserve">Dummy factors are truly inert</t>
  </si>
  <si>
    <t xml:space="preserve">Confirm nothing was accidentally changed in those columns</t>
  </si>
  <si>
    <t xml:space="preserve">Re-run with a genuinely unused input as the dummy</t>
  </si>
  <si>
    <t xml:space="preserve">Check the execution log</t>
  </si>
  <si>
    <t xml:space="preserve">Randomise the remaining runs</t>
  </si>
  <si>
    <t xml:space="preserve">E-05  Sampling Subgroups</t>
  </si>
  <si>
    <t xml:space="preserve">12-run Plackett-Burman generator row (11 columns):   + + - + + + - - - + - Row i (i = 1..11) is that row cyclically shifted left by (i-1) positions; row 12 is all '-'.</t>
  </si>
  <si>
    <t xml:space="preserve">This produces an orthogonal 12x11 matrix: every pair of columns is balanced, so every main effect is estimated using all 12 runs regardless of how many factors are actually real.</t>
  </si>
  <si>
    <t xml:space="preserve">Effect estimate, same contrast logic as a full factorial but with N = 12 runs (divisor N/2 = 6):</t>
  </si>
  <si>
    <t xml:space="preserve">   Effect(X) = SUMPRODUCT(coded_X_column, Y) / 6</t>
  </si>
  <si>
    <t xml:space="preserve">Noise floor from the dummy columns: take the standard deviation of the dummy effects as a rough estimate of how large an effect could be by chance alone; a real factor's effect should clear several multiples of it.</t>
  </si>
  <si>
    <t xml:space="preserve">SUMPRODUCT(col,Y)/6</t>
  </si>
  <si>
    <t xml:space="preserve">Main effect estimate for each of the 11 columns</t>
  </si>
  <si>
    <t xml:space="preserve">STDEV(dummy_effects)</t>
  </si>
  <si>
    <t xml:space="preserve">Noise floor estimated from columns known to have no real effect</t>
  </si>
  <si>
    <t xml:space="preserve">RANK.AVG / LARGE</t>
  </si>
  <si>
    <t xml:space="preserve">Builds the ranked list without using the banned SORT function</t>
  </si>
  <si>
    <t xml:space="preserve">Overwrite the 7 factor names/settings and the 12 shift totals with your own screening run.</t>
  </si>
  <si>
    <t xml:space="preserve">Column</t>
  </si>
  <si>
    <t xml:space="preserve">1. Preform supplier</t>
  </si>
  <si>
    <t xml:space="preserve">2. Blow mould cavity set</t>
  </si>
  <si>
    <t xml:space="preserve">Set 1</t>
  </si>
  <si>
    <t xml:space="preserve">Set 2</t>
  </si>
  <si>
    <t xml:space="preserve">3. Filler valve torque</t>
  </si>
  <si>
    <t xml:space="preserve">Low</t>
  </si>
  <si>
    <t xml:space="preserve">High</t>
  </si>
  <si>
    <t xml:space="preserve">4. Labeller glue temp (°C)</t>
  </si>
  <si>
    <t xml:space="preserve">60</t>
  </si>
  <si>
    <t xml:space="preserve">80</t>
  </si>
  <si>
    <t xml:space="preserve">5. Palletiser wrap tension</t>
  </si>
  <si>
    <t xml:space="preserve">6. Line speed (bph)</t>
  </si>
  <si>
    <t xml:space="preserve">16000</t>
  </si>
  <si>
    <t xml:space="preserve">20000</t>
  </si>
  <si>
    <t xml:space="preserve">7. Conveyor lubrication</t>
  </si>
  <si>
    <t xml:space="preserve">Standard</t>
  </si>
  <si>
    <t xml:space="preserve">Dry-film</t>
  </si>
  <si>
    <t xml:space="preserve">8. Dummy 1</t>
  </si>
  <si>
    <t xml:space="preserve">-</t>
  </si>
  <si>
    <t xml:space="preserve">9. Dummy 2</t>
  </si>
  <si>
    <t xml:space="preserve">10. Dummy 3</t>
  </si>
  <si>
    <t xml:space="preserve">11. Dummy 4</t>
  </si>
  <si>
    <t xml:space="preserve">F1</t>
  </si>
  <si>
    <t xml:space="preserve">F2</t>
  </si>
  <si>
    <t xml:space="preserve">F3</t>
  </si>
  <si>
    <t xml:space="preserve">F4</t>
  </si>
  <si>
    <t xml:space="preserve">F5</t>
  </si>
  <si>
    <t xml:space="preserve">F6</t>
  </si>
  <si>
    <t xml:space="preserve">F7</t>
  </si>
  <si>
    <t xml:space="preserve">F8</t>
  </si>
  <si>
    <t xml:space="preserve">F9</t>
  </si>
  <si>
    <t xml:space="preserve">F10</t>
  </si>
  <si>
    <t xml:space="preserve">F11</t>
  </si>
  <si>
    <t xml:space="preserve">Micro-stops Y</t>
  </si>
  <si>
    <t xml:space="preserve">|Effect|</t>
  </si>
  <si>
    <t xml:space="preserve">Noise floor: StDev of the 4 dummy effects</t>
  </si>
  <si>
    <t xml:space="preserve">Clears noise floor (&gt;2x)?</t>
  </si>
  <si>
    <t xml:space="preserve">Table only on this sheet by design (Section 4 reserves native charts for E-42, E-43, E-46, E-49 to E-55, E-57 and E-59).</t>
  </si>
  <si>
    <t xml:space="preserve">Screening threshold</t>
  </si>
  <si>
    <t xml:space="preserve">|Effect| &gt; 2x dummy StDev</t>
  </si>
  <si>
    <t xml:space="preserve">Rough rule of thumb; not a formal hypothesis test</t>
  </si>
  <si>
    <t xml:space="preserve">Confirmed factor</t>
  </si>
  <si>
    <t xml:space="preserve">Flagged YES here</t>
  </si>
  <si>
    <t xml:space="preserve">Candidate for a focused full or fractional factorial next</t>
  </si>
  <si>
    <t xml:space="preserve">Interactions</t>
  </si>
  <si>
    <t xml:space="preserve">Not estimable on this design</t>
  </si>
  <si>
    <t xml:space="preserve">Any confirmed interaction hypothesis needs E-42 or E-43</t>
  </si>
  <si>
    <t xml:space="preserve">•  Treating the ranking as final proof rather than a triage step - it still needs a confirmatory design.</t>
  </si>
  <si>
    <t xml:space="preserve">•  Forgetting that Plackett-Burman heavily confounds interactions into main effects.</t>
  </si>
  <si>
    <t xml:space="preserve">•  Using fewer than 3-4 genuinely inert dummy columns, which makes the noise floor unreliable.</t>
  </si>
  <si>
    <t xml:space="preserve">•  Running the 12 rows in table order instead of randomised, letting a time trend masquerade as an effect.</t>
  </si>
  <si>
    <t xml:space="preserve">Q1.  What do the four dummy factors actually buy you in this design?</t>
  </si>
  <si>
    <t xml:space="preserve">A1.  A rough, model-free estimate of how large an effect can look purely from noise, since nothing was really changed for those columns. Real factors are judged against that noise floor instead of against zero.</t>
  </si>
  <si>
    <t xml:space="preserve">Q2.  Why can this design screen 11 factors in only 12 runs, when a full factorial would need 2048?</t>
  </si>
  <si>
    <t xml:space="preserve">A2.  Because it estimates main effects only and accepts that every interaction is confounded into them. It trades the ability to see interactions for a dramatic reduction in run count, which is exactly the right trade during early screening.</t>
  </si>
  <si>
    <t xml:space="preserve">Q3.  Two factors are flagged YES. What should happen before either goes into a control plan?</t>
  </si>
  <si>
    <t xml:space="preserve">A3.  A confirmatory run - typically a small full or fractional factorial on just those factors - to quantify the effect cleanly and check for an interaction between them, which this screening design could not detect.</t>
  </si>
  <si>
    <t xml:space="preserve">E-45 — Centre Points and Curvature Detection</t>
  </si>
  <si>
    <t xml:space="preserve">Phase: IMPROVE   |   Data required: Factorial plus centre points   |   Min. sample: 11   |   Complexity: 4/5   |   Typical output: Curvature test and verdict</t>
  </si>
  <si>
    <t xml:space="preserve">Is the response surface flat across the region I tested, or does it bend?</t>
  </si>
  <si>
    <t xml:space="preserve">Right after any 2-level factorial, before trusting a straight-line model to set operating limits.</t>
  </si>
  <si>
    <t xml:space="preserve">A formal test for curvature using a handful of extra centre-point runs, and the pure-error variance they provide for free.</t>
  </si>
  <si>
    <t xml:space="preserve">A 2-level factorial fits a straight line (or plane) through the corners of the design. If the true response actually curves within that region, the straight-line model will look fine at the corners and be wrong in the middle - exactly where many operating points sit.</t>
  </si>
  <si>
    <t xml:space="preserve">Centre points (all factors at their mid-level, coded 0) sit at that middle. If the average of the corner runs matches the average of the centre runs, the surface is flat across the region. If they differ by more than chance, there is curvature, and a response surface design (E-46) is needed to model it properly.</t>
  </si>
  <si>
    <t xml:space="preserve">Centre points have a second job: because they are true replicates of the same condition, their spread gives a model-free estimate of pure experimental error - something a single-replicate factorial does not have.</t>
  </si>
  <si>
    <t xml:space="preserve">✓  Immediately after any 2-level factorial, as a standard add-on, almost free of extra cost.</t>
  </si>
  <si>
    <t xml:space="preserve">✗  The factors are known to be linear over the practical range (rare, but happens with well-understood chemistry).</t>
  </si>
  <si>
    <t xml:space="preserve">✓  Deciding whether a linear model is good enough or a full response surface study is needed.</t>
  </si>
  <si>
    <t xml:space="preserve">✗  You already plan to run a full response surface design (E-46); its own centre points cover this.</t>
  </si>
  <si>
    <t xml:space="preserve">✓  Getting an error estimate from a single-replicate factorial without replicating every corner.</t>
  </si>
  <si>
    <t xml:space="preserve">Centre points really sit at the coded midpoint of every factor</t>
  </si>
  <si>
    <t xml:space="preserve">Recompute the midpoint from the same low/high values used in the factorial</t>
  </si>
  <si>
    <t xml:space="preserve">Recentre and re-run; an off-centre 'centre point' invalidates the test</t>
  </si>
  <si>
    <t xml:space="preserve">At least 3 centre-point replicates</t>
  </si>
  <si>
    <t xml:space="preserve">Count the runs</t>
  </si>
  <si>
    <t xml:space="preserve">Add more before trusting the pure-error estimate</t>
  </si>
  <si>
    <t xml:space="preserve">No categorical factors in the design</t>
  </si>
  <si>
    <t xml:space="preserve">Curvature is only meaningful for continuous factors</t>
  </si>
  <si>
    <t xml:space="preserve">Analyse categorical factors with ANOVA instead</t>
  </si>
  <si>
    <t xml:space="preserve">Sum of squares for curvature, comparing the factorial average to the centre-point average:</t>
  </si>
  <si>
    <t xml:space="preserve">SS(curvature) = nf * nc * (Ybar_f - Ybar_c)^2 / (nf + nc)          1 degree of freedom Pure error from the centre-point replicates alone:</t>
  </si>
  <si>
    <t xml:space="preserve">s^2(pure error) = VAR(centre-point responses)          df = nc - 1 Significance test on the difference of the two averages (equivalent to the curvature F-test with 1,</t>
  </si>
  <si>
    <t xml:space="preserve">(nc-1) degrees of freedom):</t>
  </si>
  <si>
    <t xml:space="preserve">t = (Ybar_f - Ybar_c) / SQRT( s^2 * (1/nf + 1/nc) )          df = nc - 1 p = TDIST(ABS(t), df, 2)          two-tailed</t>
  </si>
  <si>
    <t xml:space="preserve">Factorial average and centre-point average</t>
  </si>
  <si>
    <t xml:space="preserve">VAR</t>
  </si>
  <si>
    <t xml:space="preserve">VAR(centre_points)</t>
  </si>
  <si>
    <t xml:space="preserve">Pure-error variance from the true replicates</t>
  </si>
  <si>
    <t xml:space="preserve">TDIST(ABS(t),df,2)</t>
  </si>
  <si>
    <t xml:space="preserve">Two-tailed p-value for the curvature test</t>
  </si>
  <si>
    <t xml:space="preserve">Same 8 corners as E-42, plus 3 replicated centre runs at the midpoint of every factor. Overwrite the yellow responses with your own trial.</t>
  </si>
  <si>
    <t xml:space="preserve">Run type</t>
  </si>
  <si>
    <t xml:space="preserve">Response Y (mm)</t>
  </si>
  <si>
    <t xml:space="preserve">Factorial corner 1</t>
  </si>
  <si>
    <t xml:space="preserve">Factorial corner 2</t>
  </si>
  <si>
    <t xml:space="preserve">Factorial corner 3</t>
  </si>
  <si>
    <t xml:space="preserve">Factorial corner 4</t>
  </si>
  <si>
    <t xml:space="preserve">Factorial corner 5</t>
  </si>
  <si>
    <t xml:space="preserve">Factorial corner 6</t>
  </si>
  <si>
    <t xml:space="preserve">Factorial corner 7</t>
  </si>
  <si>
    <t xml:space="preserve">Factorial corner 8</t>
  </si>
  <si>
    <t xml:space="preserve">Centre point 1</t>
  </si>
  <si>
    <t xml:space="preserve">Centre point 2</t>
  </si>
  <si>
    <t xml:space="preserve">Centre point 3</t>
  </si>
  <si>
    <t xml:space="preserve">Ybar factorial (nf=8)</t>
  </si>
  <si>
    <t xml:space="preserve">Ybar centre (nc=3)</t>
  </si>
  <si>
    <t xml:space="preserve">Difference (factorial - centre)</t>
  </si>
  <si>
    <t xml:space="preserve">Pure error variance s^2 (centre points)</t>
  </si>
  <si>
    <t xml:space="preserve">SS(curvature)</t>
  </si>
  <si>
    <t xml:space="preserve">df (pure error) = nc - 1</t>
  </si>
  <si>
    <t xml:space="preserve">alpha</t>
  </si>
  <si>
    <t xml:space="preserve">Curvature test</t>
  </si>
  <si>
    <t xml:space="preserve">The straight-line factorial model does not fit the middle of the region</t>
  </si>
  <si>
    <t xml:space="preserve">Pure error df</t>
  </si>
  <si>
    <t xml:space="preserve">nc - 1</t>
  </si>
  <si>
    <t xml:space="preserve">Only 2 degrees of freedom with 3 centre points - add more replicates for a sharper test</t>
  </si>
  <si>
    <t xml:space="preserve">Practical check</t>
  </si>
  <si>
    <t xml:space="preserve">Compare |difference| to the tolerance</t>
  </si>
  <si>
    <t xml:space="preserve">Statistically significant curvature can still be practically negligible - take it to E-21</t>
  </si>
  <si>
    <t xml:space="preserve">•  Skipping centre points entirely and never finding out the linear model was wrong.</t>
  </si>
  <si>
    <t xml:space="preserve">•  Placing 'centre' points that are not actually at the coded midpoint of every factor.</t>
  </si>
  <si>
    <t xml:space="preserve">•  Confusing significant curvature with 'the factorial design failed' - it did its job: it flagged the need for E-46.</t>
  </si>
  <si>
    <t xml:space="preserve">•  Using only 2 centre points, leaving 1 degree of freedom and very low power to detect real curvature.</t>
  </si>
  <si>
    <t xml:space="preserve">Q1.  Why do centre points give you a pure-error estimate that the 8 factorial corners cannot?</t>
  </si>
  <si>
    <t xml:space="preserve">A1.  Because every centre-point run uses the identical factor settings, any difference between them is due only to noise, not to a real change in conditions. The 8 corners are all different combinations, so their spread mixes real effects with noise and cannot isolate pure error alone.</t>
  </si>
  <si>
    <t xml:space="preserve">Q2.  The curvature test is significant, but the difference is 0.003 mm against a 0.15 mm tolerance. What next?</t>
  </si>
  <si>
    <t xml:space="preserve">A2.  Take it to E-21: statistically real does not mean practically important. If 0.003 mm is inside the noise the process already tolerates, a full response-surface study may not be worth running yet, though the statistical flag is still worth recording.</t>
  </si>
  <si>
    <t xml:space="preserve">Q3.  Why does the curvature test use nf and nc in its formula instead of treating all 11 runs the same?</t>
  </si>
  <si>
    <t xml:space="preserve">A3.  Because the two groups have different sizes (8 vs 3) and the formula weights the squared difference of the two averages by how much information each group carries - more runs in a group means a more precise average, which the nf*nc/(nf+nc) term reflects.</t>
  </si>
  <si>
    <t xml:space="preserve">E-46 — Response Surface Methods and Optimisation</t>
  </si>
  <si>
    <t xml:space="preserve">Phase: IMPROVE   |   Data required: RSM design runs   |   Min. sample: 13   |   Complexity: 5/5   |   Typical output: Fitted surface and optimum settings</t>
  </si>
  <si>
    <t xml:space="preserve">Given the important factors, what exact settings maximise (or minimise) the response?</t>
  </si>
  <si>
    <t xml:space="preserve">After screening and factorial studies have identified 2 to 4 important, interacting, possibly curved factors.</t>
  </si>
  <si>
    <t xml:space="preserve">A fitted quadratic model, a response profile chart, and the coded settings that optimise the response.</t>
  </si>
  <si>
    <t xml:space="preserve">A factorial tells you which factors matter and whether the region is flat or curved. A response surface design goes one step further: it fits a full quadratic model - including squared terms - so you can locate an actual optimum, not just a direction to move in.</t>
  </si>
  <si>
    <t xml:space="preserve">A Central Composite Design (CCD) builds this efficiently from three pieces: the factorial corners you already have practice with, 'axial' points placed further out along each single factor (with the others held at their midpoint), and several centre-point replicates for the pure-error estimate from E-45. For 2 factors this is 4 + 4 + 5 = 13 runs, which matches the classic textbook design used below.</t>
  </si>
  <si>
    <t xml:space="preserve">Once the quadratic is fitted, calculus (or, as done here, a live grid search with formulas) finds the combination of factor settings that pushes the fitted response to its maximum within the tested region.</t>
  </si>
  <si>
    <t xml:space="preserve">✓  Optimising a response once E-42/E-45 confirms the factors matter and the region is curved.</t>
  </si>
  <si>
    <t xml:space="preserve">✗  No curvature was detected on E-45: a linear model and the factorial corners are already enough.</t>
  </si>
  <si>
    <t xml:space="preserve">✓  Setting operating windows more precise than 'somewhere between the corners'.</t>
  </si>
  <si>
    <t xml:space="preserve">✗  The factors are categorical: response surfaces are for continuous settings.</t>
  </si>
  <si>
    <t xml:space="preserve">✓  Two to four continuous factors; more than that needs a specialised design, not this template.</t>
  </si>
  <si>
    <t xml:space="preserve">✗  You only need to rank factors, not optimise them: E-42/E-43/E-44 are cheaper.</t>
  </si>
  <si>
    <t xml:space="preserve">Curvature confirmed in the region</t>
  </si>
  <si>
    <t xml:space="preserve">Run E-45 first</t>
  </si>
  <si>
    <t xml:space="preserve">A response surface on a flat region wastes runs</t>
  </si>
  <si>
    <t xml:space="preserve">The optimum found lies inside the tested range</t>
  </si>
  <si>
    <t xml:space="preserve">Compare the solved X1*, X2* to the axial points</t>
  </si>
  <si>
    <t xml:space="preserve">Extrapolating outside the tested region is unreliable; run a follow-up CCD centred on the new optimum</t>
  </si>
  <si>
    <t xml:space="preserve">Residuals from the fitted model look random</t>
  </si>
  <si>
    <t xml:space="preserve">Plot fitted vs actual on E-37</t>
  </si>
  <si>
    <t xml:space="preserve">Re-fit or transform the response</t>
  </si>
  <si>
    <t xml:space="preserve">Fitted quadratic model with 2 coded factors X1, X2:</t>
  </si>
  <si>
    <t xml:space="preserve">Y = b0 + b1*X1 + b2*X2 + b11*X1^2 + b22*X2^2 + b12*X1*X2 Coefficients b0..b12 are fitted by least squares over the 5 predictor columns (X1, X2, X1^2, X2^2, X1*X2) using LINEST as an array formula across all 13 runs.</t>
  </si>
  <si>
    <t xml:space="preserve">The fitted surface is then evaluated on a grid of X1, X2 values inside the tested range; the grid cell with the largest predicted Y is read off as the practical optimum for this tool (a full calculus solution would solve dY/dX1 = dY/dX2 = 0, which the grid search approximates without risking a division by a near-zero term).</t>
  </si>
  <si>
    <t xml:space="preserve">LINEST(Y_range,X_range,TRUE,FALSE)</t>
  </si>
  <si>
    <t xml:space="preserve">Least-squares coefficients only; stats=FALSE avoids the not-applicable filler cells LINEST's extended stats block leaves in unused columns</t>
  </si>
  <si>
    <t xml:space="preserve">SUMXMY2 / DEVSQ</t>
  </si>
  <si>
    <t xml:space="preserve">1-SUMXMY2(actual,pred)/DEVSQ(actual)</t>
  </si>
  <si>
    <t xml:space="preserve">R^2 computed manually from residuals, sidestepping LINEST's stats block</t>
  </si>
  <si>
    <t xml:space="preserve">MAX / INDEX / MATCH</t>
  </si>
  <si>
    <t xml:space="preserve">INDEX(grid,MATCH(MAX(...)))</t>
  </si>
  <si>
    <t xml:space="preserve">Finds the grid cell with the highest predicted response</t>
  </si>
  <si>
    <t xml:space="preserve">4 factorial corners + 4 axial points (alpha = 1.414) + 5 centre points. Overwrite the coded settings and the 13 yields with your own study.</t>
  </si>
  <si>
    <t xml:space="preserve">X1</t>
  </si>
  <si>
    <t xml:space="preserve">X2</t>
  </si>
  <si>
    <t xml:space="preserve">X1^2</t>
  </si>
  <si>
    <t xml:space="preserve">X2^2</t>
  </si>
  <si>
    <t xml:space="preserve">X1*X2</t>
  </si>
  <si>
    <t xml:space="preserve">Yield Y (%)</t>
  </si>
  <si>
    <t xml:space="preserve">Predicted Y</t>
  </si>
  <si>
    <t xml:space="preserve">LINEST fit (coefficients only) — returned order: X1*X2, X2^2, X1^2, X2, X1, intercept</t>
  </si>
  <si>
    <t xml:space="preserve">R^2 = 1 - SSresid / SStotal</t>
  </si>
  <si>
    <t xml:space="preserve">Model adequacy</t>
  </si>
  <si>
    <t xml:space="preserve">R^2 ≥ 0.80 as a rule of thumb</t>
  </si>
  <si>
    <t xml:space="preserve">How much of the yield variation the quadratic model explains</t>
  </si>
  <si>
    <t xml:space="preserve">Optimum inside range</t>
  </si>
  <si>
    <t xml:space="preserve">Compare X1*, X2* to ±1.414</t>
  </si>
  <si>
    <t xml:space="preserve">An optimum outside the tested axial points needs a follow-up CCD centred there</t>
  </si>
  <si>
    <t xml:space="preserve">Curvature terms</t>
  </si>
  <si>
    <t xml:space="preserve">b11 (E), b22 (D) above</t>
  </si>
  <si>
    <t xml:space="preserve">Non-zero squared terms confirm the curvature flagged on E-45</t>
  </si>
  <si>
    <t xml:space="preserve">•  Extrapolating the fitted surface outside the region actually tested (beyond ±1.414 in coded units).</t>
  </si>
  <si>
    <t xml:space="preserve">•  Reporting the optimum without checking the model's R^2 and residuals first (E-37).</t>
  </si>
  <si>
    <t xml:space="preserve">•  Forgetting that axial alpha = 1.414 for a rotatable 2-factor CCD is a specific, not arbitrary, choice.</t>
  </si>
  <si>
    <t xml:space="preserve">•  Skipping the centre-point replicates, which are what let you test curvature and fit b11/b22 at all.</t>
  </si>
  <si>
    <t xml:space="preserve">RESPONSE GRID AND OPTIMUM (grid search over the tested region)</t>
  </si>
  <si>
    <t xml:space="preserve">X2 \ X1</t>
  </si>
  <si>
    <t xml:space="preserve">Row max</t>
  </si>
  <si>
    <t xml:space="preserve">Row max (best X1 at this X2)</t>
  </si>
  <si>
    <t xml:space="preserve">Best predicted yield (grid optimum)</t>
  </si>
  <si>
    <t xml:space="preserve">X2* at optimum</t>
  </si>
  <si>
    <t xml:space="preserve">X1* at optimum</t>
  </si>
  <si>
    <t xml:space="preserve">Q1.  Why does this CCD need axial points at ±1.414 instead of ±1?</t>
  </si>
  <si>
    <t xml:space="preserve">A1.  A factorial alone (corners at ±1) cannot estimate the squared terms X1^2 and X2^2 - it has no information about curvature along a single factor. The axial points, placed further out along one factor at a time, supply exactly that information, and alpha = sqrt(2) keeps the design rotatable for 2 factors.</t>
  </si>
  <si>
    <t xml:space="preserve">Q2.  R^2 comes back at 0.62. Should you trust the grid optimum?</t>
  </si>
  <si>
    <t xml:space="preserve">A2.  Not yet. An R^2 that low means the quadratic model is missing a lot of the real behaviour - check the residuals on E-37 first, and consider whether an important factor was left out or the response needs a transformation, before acting on the optimum this model suggests.</t>
  </si>
  <si>
    <t xml:space="preserve">Q3.  The grid search finds X1* = 1.5, at the very edge of the tested range. What should you do?</t>
  </si>
  <si>
    <t xml:space="preserve">A3.  Treat it as a direction, not a destination. An optimum sitting on the boundary of the tested region usually means the true optimum lies further out; run a follow-up CCD centred closer to that edge rather than trusting an extrapolated point.</t>
  </si>
  <si>
    <t xml:space="preserve">E-47 — Common Cause vs Special Cause Variation</t>
  </si>
  <si>
    <t xml:space="preserve">CONTROL</t>
  </si>
  <si>
    <t xml:space="preserve">Phase: CONTROL   |   Data required: Time-ordered data   |   Min. sample: 20   |   Complexity: 2/5   |   Typical output: Cause classification and reaction guidance</t>
  </si>
  <si>
    <t xml:space="preserve">Is this variation the process always has, or a signal that something specific changed?</t>
  </si>
  <si>
    <t xml:space="preserve">Before reacting to any single data point, and before drawing any control chart in E-49 to E-56.</t>
  </si>
  <si>
    <t xml:space="preserve">The distinction that decides whether to adjust the process or leave it alone, plus a live 3-sigma classifier.</t>
  </si>
  <si>
    <t xml:space="preserve">Every process varies. Common cause variation is the sum of many small, ever-present sources - minor material variation, ambient temperature drift, ordinary wear - that no single fix removes. It is the process's natural voice, and it is stable and predictable within limits.</t>
  </si>
  <si>
    <t xml:space="preserve">Special cause variation comes from something specific and (usually) findable: a valve that stuck, a new preform lot, an operator change, a tool that broke. It is not part of the process's normal voice.</t>
  </si>
  <si>
    <t xml:space="preserve">The practical stakes are large. Reacting to common cause variation as if it were special - adjusting the process every time a point wiggles - adds variation instead of removing it (this is 'tampering', and Deming's funnel experiment demonstrates it directly). Ignoring a real special cause because 'the process is always a bit noisy' lets an assignable, fixable problem run unchecked.</t>
  </si>
  <si>
    <t xml:space="preserve">A control chart is the tool that tells the two apart: control limits mark the boundary of common-cause voice, computed from the process's own observed variation, not from a specification.</t>
  </si>
  <si>
    <t xml:space="preserve">✓  Before deciding whether to adjust a process or investigate a specific event.</t>
  </si>
  <si>
    <t xml:space="preserve">✗  The process has never been charted: there is no baseline of common-cause voice to compare against yet.</t>
  </si>
  <si>
    <t xml:space="preserve">✓  Explaining to an operator why 'the last reading was high, should I retune the valve?' needs a chart, not a guess.</t>
  </si>
  <si>
    <t xml:space="preserve">✗  The data is not time-ordered: common vs special cause reasoning depends on sequence.</t>
  </si>
  <si>
    <t xml:space="preserve">✓  Any time before reading a control chart's out-of-control signals on E-56.</t>
  </si>
  <si>
    <t xml:space="preserve">Data is in time order</t>
  </si>
  <si>
    <t xml:space="preserve">Check the collection log, not just the spreadsheet row order</t>
  </si>
  <si>
    <t xml:space="preserve">Reorder before classifying anything</t>
  </si>
  <si>
    <t xml:space="preserve">Enough points to estimate the process's own voice</t>
  </si>
  <si>
    <t xml:space="preserve">20-25 points minimum before trusting control limits</t>
  </si>
  <si>
    <t xml:space="preserve">Treat any limits from fewer points as provisional</t>
  </si>
  <si>
    <t xml:space="preserve">Subgroups (if used) are rational</t>
  </si>
  <si>
    <t xml:space="preserve">Within-subgroup variation should be common cause only</t>
  </si>
  <si>
    <t xml:space="preserve">Re-form subgroups</t>
  </si>
  <si>
    <t xml:space="preserve">No single formula distinguishes the two causes directly - a control chart infers it statistically.</t>
  </si>
  <si>
    <t xml:space="preserve">The simplest version, used below: with mean Xbar and standard deviation s estimated from the data itself, a point is flagged as a possible special cause when:</t>
  </si>
  <si>
    <t xml:space="preserve">|X_i - Xbar| &gt; 3 * s          (the classic 3-sigma rule, one building block of the fuller Nelson rule set implemented with all its patterns - runs, trends, hugging - on E-56)</t>
  </si>
  <si>
    <t xml:space="preserve">AVERAGE(range) / STDEV(range)</t>
  </si>
  <si>
    <t xml:space="preserve">Estimates the process's own common-cause voice from the data</t>
  </si>
  <si>
    <t xml:space="preserve">IF / ABS</t>
  </si>
  <si>
    <t xml:space="preserve">IF(ABS(X-mean)&gt;3*sigma,"SPECIAL","common")</t>
  </si>
  <si>
    <t xml:space="preserve">Flags points outside the common-cause voice</t>
  </si>
  <si>
    <t xml:space="preserve">Overwrite the yellow readings with your own time-ordered data.</t>
  </si>
  <si>
    <t xml:space="preserve">Shift</t>
  </si>
  <si>
    <t xml:space="preserve">CO2 (g/L)</t>
  </si>
  <si>
    <t xml:space="preserve">Classification</t>
  </si>
  <si>
    <t xml:space="preserve">Mean (g/L)</t>
  </si>
  <si>
    <t xml:space="preserve">StDev (g/L)</t>
  </si>
  <si>
    <t xml:space="preserve">Classification rule (this sheet)</t>
  </si>
  <si>
    <t xml:space="preserve">|X - mean| &gt; 3 sigma</t>
  </si>
  <si>
    <t xml:space="preserve">A simple, single-rule screen; E-56 adds four more patterns</t>
  </si>
  <si>
    <t xml:space="preserve">Response to special cause</t>
  </si>
  <si>
    <t xml:space="preserve">Investigate and fix the specific event</t>
  </si>
  <si>
    <t xml:space="preserve">Do not change process settings based on common-cause noise</t>
  </si>
  <si>
    <t xml:space="preserve">Response to common cause</t>
  </si>
  <si>
    <t xml:space="preserve">Improve the system (DOE, Lean tools)</t>
  </si>
  <si>
    <t xml:space="preserve">No single point justifies a process adjustment</t>
  </si>
  <si>
    <t xml:space="preserve">•  Adjusting the process after every point that is merely common-cause noise (tampering, per Deming's funnel experiment).</t>
  </si>
  <si>
    <t xml:space="preserve">•  Explaining away a genuine special cause as 'just normal variation' because investigating it is inconvenient.</t>
  </si>
  <si>
    <t xml:space="preserve">•  Using fewer than 20-25 points to estimate the common-cause voice, which makes the classification unstable.</t>
  </si>
  <si>
    <t xml:space="preserve">•  Confusing 'in control' (stable, predictable) with 'capable' (meets specification) - they are different questions; see E-57.</t>
  </si>
  <si>
    <t xml:space="preserve">Q1.  A supervisor retunes the filler every time a single fill-volume reading drifts from target. What is the likely consequence?</t>
  </si>
  <si>
    <t xml:space="preserve">A1.  This is tampering: adjusting a stable, common-cause process based on individual point-to-point noise. Deming's funnel experiment shows this actually increases the total variation compared with leaving the process alone.</t>
  </si>
  <si>
    <t xml:space="preserve">Q2.  Why can a control chart flag a point as a probable special cause without knowing what caused it?</t>
  </si>
  <si>
    <t xml:space="preserve">A2.  Because the chart uses the process's own historical common-cause voice (its typical spread) as the yardstick. A point far outside that voice is statistically unlikely to be ordinary noise, which is enough to trigger an investigation - the chart flags where to look, not what you will find.</t>
  </si>
  <si>
    <t xml:space="preserve">Q3.  Is 'in control' the same as 'meets the customer's specification'?</t>
  </si>
  <si>
    <t xml:space="preserve">A3.  No. In control means stable and predictable, judged against the process's own historical variation. Capable means that stable variation actually fits inside the specification limits - a process can be perfectly in control and still incapable, or briefly out of control while still inside spec.</t>
  </si>
  <si>
    <t xml:space="preserve">E-56  Western Electric and Nelson Rules</t>
  </si>
  <si>
    <t xml:space="preserve">E-48 — Control Chart Selection Tree</t>
  </si>
  <si>
    <t xml:space="preserve">Phase: CONTROL   |   Data required: Data type and subgroup size   |   Min. sample: n/a   |   Complexity: 2/5   |   Typical output: Named chart with link</t>
  </si>
  <si>
    <t xml:space="preserve">Which control chart do I actually draw for this data?</t>
  </si>
  <si>
    <t xml:space="preserve">Before charting anything. This is a routing sheet, not a calculator.</t>
  </si>
  <si>
    <t xml:space="preserve">The name of the correct chart for your data type and subgroup size, with a hyperlink to the sheet that draws it.</t>
  </si>
  <si>
    <t xml:space="preserve">Choosing a control chart is a short sequence of questions, in order. First: is the data continuous (a measurement) or attribute (a count or a classification)? Second, for continuous data: are you charting individual values, or subgroups of several units at a time - and if subgroups, are they small (2-8) or larger (9+)? Third, for attribute data: are you counting defectives (units that fail, out of n inspected) or defects (occurrences, possibly several per unit)? Fourth, for attribute data with large or unequal subgroup sizes: is the classic p or c chart still appropriate, or has overdispersion made it too tight (E-54)? Finally, is the data more sensitive to a small, sustained shift than a single-point rule chart can catch quickly - in which case CUSUM or EWMA (E-55) belongs alongside the primary chart.</t>
  </si>
  <si>
    <t xml:space="preserve">✓  Before drawing any control chart for the first time on a new characteristic.</t>
  </si>
  <si>
    <t xml:space="preserve">✗  It computes nothing: it only routes you to E-49 through E-56.</t>
  </si>
  <si>
    <t xml:space="preserve">✓  When a chart 'doesn't look right' and the subgroup size or data type may have changed.</t>
  </si>
  <si>
    <t xml:space="preserve">✗  It does not replace checking whether the process is even measurable consistently first: run Gage R&amp;R on E-59.</t>
  </si>
  <si>
    <t xml:space="preserve">✓  Teaching Green Belts which chart family answers which question.</t>
  </si>
  <si>
    <t xml:space="preserve">Data type correctly identified as continuous or attribute</t>
  </si>
  <si>
    <t xml:space="preserve">State what a single data point actually is</t>
  </si>
  <si>
    <t xml:space="preserve">Rewrite the operational definition on E-06</t>
  </si>
  <si>
    <t xml:space="preserve">Subgroup size is genuinely constant (for p/c charts) or tracked per point (for np/u)</t>
  </si>
  <si>
    <t xml:space="preserve">Check the data collection log</t>
  </si>
  <si>
    <t xml:space="preserve">Use the variable-limit p or u chart, not np or c</t>
  </si>
  <si>
    <t xml:space="preserve">Measurement system is trustworthy before charting</t>
  </si>
  <si>
    <t xml:space="preserve">Gage R&amp;R on E-59</t>
  </si>
  <si>
    <t xml:space="preserve">Fix the measurement system first</t>
  </si>
  <si>
    <t xml:space="preserve">No formula. The routing ladder:</t>
  </si>
  <si>
    <t xml:space="preserve">   1. Continuous or attribute?</t>
  </si>
  <si>
    <t xml:space="preserve">   2. Continuous: individuals (n=1) -&gt; I-MR (E-49); subgroups 2-8 -&gt; Xbar-R (E-50); subgroups 9+ -&gt; Xbar-S (E-51)</t>
  </si>
  <si>
    <t xml:space="preserve">   3. Attribute, defectives (pass/fail per unit): constant n -&gt; np; varying n -&gt; p (both on E-52)</t>
  </si>
  <si>
    <t xml:space="preserve">   4. Attribute, defects (counts, possibly &gt;1 per unit): constant opportunity -&gt; c; varying -&gt; u (both on E-53)</t>
  </si>
  <si>
    <t xml:space="preserve">   5. Large subgroups showing tighter-than-expected limits on a p or u chart -&gt; Laney p'/u' (E-54)</t>
  </si>
  <si>
    <t xml:space="preserve">   6. Need to detect a small sustained shift fast -&gt; add CUSUM or EWMA alongside (E-55)</t>
  </si>
  <si>
    <t xml:space="preserve">Answer the three yellow questions and read the recommended chart.</t>
  </si>
  <si>
    <t xml:space="preserve">1. Data type</t>
  </si>
  <si>
    <t xml:space="preserve">2. Subgroup size (n) if continuous, else leave as 1</t>
  </si>
  <si>
    <t xml:space="preserve">3. If attribute: 'defectives' or 'defects'</t>
  </si>
  <si>
    <t xml:space="preserve">defectives</t>
  </si>
  <si>
    <t xml:space="preserve">RECOMMENDED CHART</t>
  </si>
  <si>
    <t xml:space="preserve">Chart</t>
  </si>
  <si>
    <t xml:space="preserve">1 (individuals)</t>
  </si>
  <si>
    <t xml:space="preserve">Individuals and Moving Range (I-MR)</t>
  </si>
  <si>
    <t xml:space="preserve">E-49 I-MR Chart</t>
  </si>
  <si>
    <t xml:space="preserve">2 to 8</t>
  </si>
  <si>
    <t xml:space="preserve">Xbar-R</t>
  </si>
  <si>
    <t xml:space="preserve">E-50 Xbar-R Chart</t>
  </si>
  <si>
    <t xml:space="preserve">9 or more</t>
  </si>
  <si>
    <t xml:space="preserve">Xbar-S</t>
  </si>
  <si>
    <t xml:space="preserve">E-51 Xbar-S Chart</t>
  </si>
  <si>
    <t xml:space="preserve">Attribute - defectives, constant n</t>
  </si>
  <si>
    <t xml:space="preserve">any</t>
  </si>
  <si>
    <t xml:space="preserve">np chart</t>
  </si>
  <si>
    <t xml:space="preserve">E-52 p and np Charts</t>
  </si>
  <si>
    <t xml:space="preserve">Attribute - defectives, varying n</t>
  </si>
  <si>
    <t xml:space="preserve">p chart</t>
  </si>
  <si>
    <t xml:space="preserve">Attribute - defects, constant opportunity</t>
  </si>
  <si>
    <t xml:space="preserve">c chart</t>
  </si>
  <si>
    <t xml:space="preserve">E-53 c and u Charts</t>
  </si>
  <si>
    <t xml:space="preserve">Attribute - defects, varying opportunity</t>
  </si>
  <si>
    <t xml:space="preserve">u chart</t>
  </si>
  <si>
    <t xml:space="preserve">Attribute, large subgroups, overdispersed</t>
  </si>
  <si>
    <t xml:space="preserve">large</t>
  </si>
  <si>
    <t xml:space="preserve">Laney p' or u'</t>
  </si>
  <si>
    <t xml:space="preserve">E-54 Laney p and u Charts</t>
  </si>
  <si>
    <t xml:space="preserve">Any - need to catch a small sustained shift fast</t>
  </si>
  <si>
    <t xml:space="preserve">CUSUM or EWMA (alongside primary chart)</t>
  </si>
  <si>
    <t xml:space="preserve">E-55 CUSUM and EWMA</t>
  </si>
  <si>
    <t xml:space="preserve">Subgroup size boundary</t>
  </si>
  <si>
    <t xml:space="preserve">n ≤ 8 uses range (R); n ≥ 9 uses std dev (S)</t>
  </si>
  <si>
    <t xml:space="preserve">The range loses efficiency as an estimator of spread once n grows past about 8-10</t>
  </si>
  <si>
    <t xml:space="preserve">Constant vs varying n or opportunity</t>
  </si>
  <si>
    <t xml:space="preserve">Constant -&gt; np/c; varying -&gt; p/u</t>
  </si>
  <si>
    <t xml:space="preserve">Variable-limit charts (p, u) are required whenever the denominator changes point to point</t>
  </si>
  <si>
    <t xml:space="preserve">Overdispersion</t>
  </si>
  <si>
    <t xml:space="preserve">Points hug or blow through limits despite large n</t>
  </si>
  <si>
    <t xml:space="preserve">Move to Laney p'/u' on E-54 instead of tightening limits arbitrarily</t>
  </si>
  <si>
    <t xml:space="preserve">•  Charting individuals data as if it were subgrouped (or vice versa).</t>
  </si>
  <si>
    <t xml:space="preserve">•  Using a constant-limit np or c chart when the subgroup size or opportunity actually varies point to point.</t>
  </si>
  <si>
    <t xml:space="preserve">•  Ignoring overdispersion and trusting p/u limits that are far too tight for large, variable subgroups.</t>
  </si>
  <si>
    <t xml:space="preserve">•  Picking the chart based on what software defaults to, rather than on the data's own type and structure.</t>
  </si>
  <si>
    <t xml:space="preserve">Q1.  Why does the chart change from Xbar-R to Xbar-S once subgroup size passes about 8-9?</t>
  </si>
  <si>
    <t xml:space="preserve">A1.  The sample range becomes a progressively less efficient estimator of within-subgroup spread as n grows, because it uses only the two extreme values and ignores everything in between. The sample standard deviation uses every point and stays efficient at larger n.</t>
  </si>
  <si>
    <t xml:space="preserve">Q2.  Your attribute data is 'number of leaking kegs per 50 kegs inspected', and the inspected count changes shift to shift. Which chart?</t>
  </si>
  <si>
    <t xml:space="preserve">A2.  A p chart (proportion defective) with variable control limits recomputed for each point's own n - not an np chart, which assumes n is constant.</t>
  </si>
  <si>
    <t xml:space="preserve">Q3.  A p chart on very large daily batches shows almost every point outside the limits. What should you suspect before concluding the process is wildly out of control?</t>
  </si>
  <si>
    <t xml:space="preserve">A3.  Overdispersion: with very large subgroup sizes, the binomial-based p-chart limits become extremely tight, and ordinary lot-to-lot variation can then look like it is constantly out of control. Check the Laney p' chart on E-54 before reacting.</t>
  </si>
  <si>
    <t xml:space="preserve">E-49 — Individuals and Moving Range Chart</t>
  </si>
  <si>
    <t xml:space="preserve">Phase: CONTROL   |   Data required: 25 individual values   |   Min. sample: 25   |   Complexity: 3/5   |   Typical output: I and MR charts with limits and flags</t>
  </si>
  <si>
    <t xml:space="preserve">Is this single continuously-measured characteristic stable over time?</t>
  </si>
  <si>
    <t xml:space="preserve">One measurement per unit or per time period - no natural subgrouping (e.g. one CO2 reading per batch).</t>
  </si>
  <si>
    <t xml:space="preserve">Individuals (I) and Moving Range (MR) charts with live control limits and an out-of-control flag per point.</t>
  </si>
  <si>
    <t xml:space="preserve">When there is exactly one measurement per time period, you cannot compute a within-subgroup spread the way Xbar-R does - there is no subgroup. The Individuals chart plots each raw value against limits built from how much consecutive values typically differ, not from a subgroup range.</t>
  </si>
  <si>
    <t xml:space="preserve">The Moving Range - the absolute difference between each point and the one before it - stands in for the 'within-subgroup' spread that a single value cannot provide on its own. Its own average, MRbar, anchors both charts' control limits through the constant 2.66 (which is 3/d2 for a moving range of 2 consecutive points).</t>
  </si>
  <si>
    <t xml:space="preserve">Read the MR chart first: a point out of control there means the variability itself just changed, which can distort the I-chart's limits (computed from that same MRbar) until the special cause is removed and the limits recalculated.</t>
  </si>
  <si>
    <t xml:space="preserve">✓  One measurement per time period with no natural subgroup (batch chemistry, daily lab result, one CO2 reading per shift).</t>
  </si>
  <si>
    <t xml:space="preserve">✗  Several units are naturally available per time period: Xbar-R (E-50) or Xbar-S (E-51) use that information and detect shifts faster.</t>
  </si>
  <si>
    <t xml:space="preserve">✓  Rare or costly-to-measure characteristics where subgrouping would mean waiting too long between points.</t>
  </si>
  <si>
    <t xml:space="preserve">✗  The data is attribute (counts or proportions): use E-52 or E-53 instead.</t>
  </si>
  <si>
    <t xml:space="preserve">✓  Any continuous characteristic while a subgrouping scheme is still being designed.</t>
  </si>
  <si>
    <t xml:space="preserve">Consecutive points are in true time order</t>
  </si>
  <si>
    <t xml:space="preserve">Check the collection log, not the spreadsheet row order</t>
  </si>
  <si>
    <t xml:space="preserve">Reorder before charting; MR is meaningless out of sequence</t>
  </si>
  <si>
    <t xml:space="preserve">Roughly normal individuals, or close enough for 3-sigma limits</t>
  </si>
  <si>
    <t xml:space="preserve">Consider a transformation on E-33 before trusting the limits</t>
  </si>
  <si>
    <t xml:space="preserve">At least 20-25 points before trusting the limits</t>
  </si>
  <si>
    <t xml:space="preserve">Count the baseline</t>
  </si>
  <si>
    <t xml:space="preserve">Treat limits as provisional until then</t>
  </si>
  <si>
    <t xml:space="preserve">Moving range:   MR_i = |X_i - X_(i-1)|          (undefined for the first point) Centre lines:   CL(I) = Xbar = AVERAGE(all X)          CL(MR) = MRbar = AVERAGE(all MR) Individuals limits (constant 2.66 = 3/d2, d2 = 1.128 for a 2-point moving range):</t>
  </si>
  <si>
    <t xml:space="preserve">UCL(I) = Xbar + 2.66 * MRbar          LCL(I) = Xbar - 2.66 * MRbar Moving range limits (D4 = 3.267, D3 = 0 for n = 2):</t>
  </si>
  <si>
    <t xml:space="preserve">   UCL(MR) = 3.267 * MRbar          LCL(MR) = 0</t>
  </si>
  <si>
    <t xml:space="preserve">Centre lines for both charts</t>
  </si>
  <si>
    <t xml:space="preserve">ABS(X_i - X_i-1)</t>
  </si>
  <si>
    <t xml:space="preserve">Moving range between consecutive points</t>
  </si>
  <si>
    <t xml:space="preserve">IF(X&gt;UCL,"OOC high",IF(X&lt;LCL,"OOC low","OK"))</t>
  </si>
  <si>
    <t xml:space="preserve">Out-of-control flag per point</t>
  </si>
  <si>
    <t xml:space="preserve">Overwrite the yellow readings with your own time-ordered data. Investigate any point flagged OOC before trusting the limits going forward.</t>
  </si>
  <si>
    <t xml:space="preserve">Point</t>
  </si>
  <si>
    <t xml:space="preserve">O2 (ppb)</t>
  </si>
  <si>
    <t xml:space="preserve">Moving Range</t>
  </si>
  <si>
    <t xml:space="preserve">I-chart flag</t>
  </si>
  <si>
    <t xml:space="preserve">MR-chart flag</t>
  </si>
  <si>
    <t xml:space="preserve">Xbar (CL of I-chart)</t>
  </si>
  <si>
    <t xml:space="preserve">MRbar (CL of MR-chart)</t>
  </si>
  <si>
    <t xml:space="preserve">UCL (I-chart) = Xbar + 2.66*MRbar</t>
  </si>
  <si>
    <t xml:space="preserve">LCL (I-chart) = Xbar - 2.66*MRbar</t>
  </si>
  <si>
    <t xml:space="preserve">UCL (MR-chart) = 3.267*MRbar</t>
  </si>
  <si>
    <t xml:space="preserve">LCL (MR-chart) = 0</t>
  </si>
  <si>
    <t xml:space="preserve">CL</t>
  </si>
  <si>
    <t xml:space="preserve">UCL</t>
  </si>
  <si>
    <t xml:space="preserve">LCL</t>
  </si>
  <si>
    <t xml:space="preserve">I-chart limits</t>
  </si>
  <si>
    <t xml:space="preserve">Xbar ± 2.66 x MRbar</t>
  </si>
  <si>
    <t xml:space="preserve">Boundary of common-cause voice for individual readings</t>
  </si>
  <si>
    <t xml:space="preserve">MR-chart limits</t>
  </si>
  <si>
    <t xml:space="preserve">0 to 3.267 x MRbar</t>
  </si>
  <si>
    <t xml:space="preserve">Flags a sudden change in point-to-point variability itself</t>
  </si>
  <si>
    <t xml:space="preserve">Baseline size</t>
  </si>
  <si>
    <t xml:space="preserve">20-25 points minimum</t>
  </si>
  <si>
    <t xml:space="preserve">Fewer points make the limits themselves unreliable</t>
  </si>
  <si>
    <t xml:space="preserve">•  Computing I-chart limits while a special cause is still present in the moving range, which inflates MRbar and hides real problems.</t>
  </si>
  <si>
    <t xml:space="preserve">•  Treating one flagged point as reason to recompute limits immediately without investigating the cause first.</t>
  </si>
  <si>
    <t xml:space="preserve">•  Using individuals charts when subgroups of several units are actually available - Xbar-R or Xbar-S would detect shifts faster.</t>
  </si>
  <si>
    <t xml:space="preserve">•  Reading only the I-chart and ignoring the MR-chart, which can signal a variability problem before the mean visibly moves.</t>
  </si>
  <si>
    <t xml:space="preserve">Q1.  Why is the I-chart's constant 2.66 rather than the more familiar 3?</t>
  </si>
  <si>
    <t xml:space="preserve">A1.  Because the limits are built from MRbar, an estimate of sigma via the moving range (sigma ≈ MRbar/d2, with d2 = 1.128 for n = 2). Multiplying by 3 and dividing by d2 collapses to 3/1.128 ≈ 2.66, so the '2.66 x MRbar' term is already a 3-sigma limit expressed through the moving range.</t>
  </si>
  <si>
    <t xml:space="preserve">Q2.  Point 18 is flagged OOC high on both the I-chart and, at point 19, indirectly visible on the MR-chart. What should happen next?</t>
  </si>
  <si>
    <t xml:space="preserve">A2.  Investigate what happened at point 18 specifically (the valve failure in this example) rather than adjusting the process broadly. Once resolved, recompute the control limits excluding that known special-cause point so the baseline reflects normal operation.</t>
  </si>
  <si>
    <t xml:space="preserve">Q3.  Why read the MR-chart before trusting the I-chart's limits?</t>
  </si>
  <si>
    <t xml:space="preserve">A3.  The I-chart's limits are calculated from MRbar. If the moving range itself is out of control (a real change in variability), MRbar is inflated or unstable, which distorts the I-chart limits until that special cause in variability is resolved first.</t>
  </si>
  <si>
    <t xml:space="preserve">E-50 — Xbar-R Chart</t>
  </si>
  <si>
    <t xml:space="preserve">Phase: CONTROL   |   Data required: 25 subgroups of 2-8   |   Min. sample: 25   |   Complexity: 3/5   |   Typical output: Xbar and R charts with limits</t>
  </si>
  <si>
    <t xml:space="preserve">Are subgroups of 2 to 8 units, taken over time, centred and stable?</t>
  </si>
  <si>
    <t xml:space="preserve">Several units naturally available per time point (e.g. 5 bottles per hour) and subgroup size is 8 or fewer.</t>
  </si>
  <si>
    <t xml:space="preserve">Xbar (subgroup average) and R (subgroup range) charts with live control limits and out-of-control flags.</t>
  </si>
  <si>
    <t xml:space="preserve">When several units are naturally grouped together (same hour, same mould set, same short interval), the subgroup itself supplies a spread estimate directly - the range between its largest and smallest value - without needing a moving range across time the way the individuals chart does.</t>
  </si>
  <si>
    <t xml:space="preserve">The Xbar chart tracks the subgroup averages against limits built from the AVERAGE within-subgroup range, Rbar. The R chart tracks that within-subgroup range itself, and must be in control first: Rbar is only a trustworthy yardstick for the Xbar limits once the subgroup-to-subgroup spread of R is itself stable.</t>
  </si>
  <si>
    <t xml:space="preserve">Rational subgrouping matters here more than anywhere else: the 5 bottles in one subgroup should differ only by common cause (same short window, same conditions), so any real shift shows up BETWEEN subgroups, not hidden inside one.</t>
  </si>
  <si>
    <t xml:space="preserve">✓  2 to 8 units naturally available per subgroup (bottles per hour, cavities per shot).</t>
  </si>
  <si>
    <t xml:space="preserve">✗  Only one measurement is available per time period: use I-MR (E-49) instead.</t>
  </si>
  <si>
    <t xml:space="preserve">✓  Detecting shifts in the process mean faster than an individuals chart of single readings could.</t>
  </si>
  <si>
    <t xml:space="preserve">✗  Subgroup size is 9 or more: use Xbar-S (E-51), where the range loses efficiency as a spread estimator.</t>
  </si>
  <si>
    <t xml:space="preserve">✓  The standard chart for the majority of high-speed packaging continuous characteristics.</t>
  </si>
  <si>
    <t xml:space="preserve">✗  The data is attribute (counts/proportions): E-52 or E-53.</t>
  </si>
  <si>
    <t xml:space="preserve">Subgroups are rational (same short window, same conditions)</t>
  </si>
  <si>
    <t xml:space="preserve">Review the sampling plan</t>
  </si>
  <si>
    <t xml:space="preserve">Re-form subgroups so between-subgroup variation carries the signal</t>
  </si>
  <si>
    <t xml:space="preserve">R-chart in control before trusting the Xbar limits</t>
  </si>
  <si>
    <t xml:space="preserve">Check the R-chart's own flags first</t>
  </si>
  <si>
    <t xml:space="preserve">Remove the special cause and recompute Rbar before reading the Xbar chart</t>
  </si>
  <si>
    <t xml:space="preserve">At least 20-25 subgroups for a stable baseline</t>
  </si>
  <si>
    <t xml:space="preserve">Count the subgroups</t>
  </si>
  <si>
    <t xml:space="preserve">Per subgroup i of size n:   Xbar_i = AVERAGE(subgroup i)          R_i = MAX(subgroup i) - MIN(subgroup i) Centre lines:   Xbarbar = AVERAGE(all Xbar_i)          Rbar = AVERAGE(all R_i) Control limits (constants for n = 5: A2 = 0.577, D3 = 0, D4 = 2.114):</t>
  </si>
  <si>
    <t xml:space="preserve">UCL(Xbar) = Xbarbar + A2*Rbar          LCL(Xbar) = Xbarbar - A2*Rbar UCL(R) = D4*Rbar          LCL(R) = D3*Rbar = 0</t>
  </si>
  <si>
    <t xml:space="preserve">AVERAGE / MAX / MIN</t>
  </si>
  <si>
    <t xml:space="preserve">MAX(range)-MIN(range)</t>
  </si>
  <si>
    <t xml:space="preserve">Subgroup average and range</t>
  </si>
  <si>
    <t xml:space="preserve">IF(Xbar&gt;UCL,"OOC high",...)</t>
  </si>
  <si>
    <t xml:space="preserve">Out-of-control flag per subgroup</t>
  </si>
  <si>
    <t xml:space="preserve">Overwrite the yellow subgroup readings with your own data (n = 5 per subgroup).</t>
  </si>
  <si>
    <t xml:space="preserve">Subgroup</t>
  </si>
  <si>
    <t xml:space="preserve">x1</t>
  </si>
  <si>
    <t xml:space="preserve">x2</t>
  </si>
  <si>
    <t xml:space="preserve">x3</t>
  </si>
  <si>
    <t xml:space="preserve">x4</t>
  </si>
  <si>
    <t xml:space="preserve">x5</t>
  </si>
  <si>
    <t xml:space="preserve">Xbar</t>
  </si>
  <si>
    <t xml:space="preserve">R</t>
  </si>
  <si>
    <t xml:space="preserve">Xbarbar (CL of Xbar-chart)</t>
  </si>
  <si>
    <t xml:space="preserve">Rbar (CL of R-chart)</t>
  </si>
  <si>
    <t xml:space="preserve">UCL (Xbar) = Xbarbar + 0.577*Rbar</t>
  </si>
  <si>
    <t xml:space="preserve">LCL (Xbar) = Xbarbar - 0.577*Rbar</t>
  </si>
  <si>
    <t xml:space="preserve">UCL (R) = 2.114*Rbar</t>
  </si>
  <si>
    <t xml:space="preserve">LCL (R) = 0*Rbar</t>
  </si>
  <si>
    <t xml:space="preserve">flag</t>
  </si>
  <si>
    <t xml:space="preserve">Xbar limits</t>
  </si>
  <si>
    <t xml:space="preserve">Xbarbar ± A2 x Rbar</t>
  </si>
  <si>
    <t xml:space="preserve">Boundary of common-cause voice for the subgroup average</t>
  </si>
  <si>
    <t xml:space="preserve">R limits</t>
  </si>
  <si>
    <t xml:space="preserve">0 to D4 x Rbar</t>
  </si>
  <si>
    <t xml:space="preserve">Must be in control before the Xbar limits are trustworthy</t>
  </si>
  <si>
    <t xml:space="preserve">Rational subgroup check</t>
  </si>
  <si>
    <t xml:space="preserve">Within-subgroup range small vs between-subgroup shift</t>
  </si>
  <si>
    <t xml:space="preserve">Confirms subgroups were formed correctly</t>
  </si>
  <si>
    <t xml:space="preserve">•  Reading the Xbar chart while the R-chart itself is out of control, which makes Rbar (and therefore the Xbar limits) unreliable.</t>
  </si>
  <si>
    <t xml:space="preserve">•  Forming subgroups across too long a window, which lets a real process shift hide inside the subgroup instead of showing up between subgroups.</t>
  </si>
  <si>
    <t xml:space="preserve">•  Reacting to a single Xbar point without checking whether the R-chart flagged anything at the same subgroup.</t>
  </si>
  <si>
    <t xml:space="preserve">•  Using constants for the wrong subgroup size - A2, D3, D4 all depend on n.</t>
  </si>
  <si>
    <t xml:space="preserve">Q1.  Why must the R-chart be checked before trusting the Xbar chart's limits?</t>
  </si>
  <si>
    <t xml:space="preserve">A1.  Because Xbarbar's limits are built directly from Rbar, the average within-subgroup range. If the R-chart itself is out of control, Rbar is not a stable estimate of common-cause spread, and the Xbar limits computed from it will be wrong until the special cause in variability is resolved.</t>
  </si>
  <si>
    <t xml:space="preserve">Q2.  From subgroup 20 onward, Xbar drifts slightly higher and several points sit near (but not over) the UCL. What might you be seeing?</t>
  </si>
  <si>
    <t xml:space="preserve">A2.  A small sustained shift in the process mean - exactly the kind of pattern the Nelson rules on E-56 (runs above the centre line, or points hugging one side) are designed to catch even before any single point crosses the 3-sigma limit.</t>
  </si>
  <si>
    <t xml:space="preserve">Q3.  Why does A2 change if the subgroup size changes from 5 to 3?</t>
  </si>
  <si>
    <t xml:space="preserve">A3.  A2 (like D3, D4) is derived from the expected relationship between the range and the standard deviation for a given sample size; smaller subgroups make the range a noisier estimator of spread, so the constant that converts Rbar into a 3-sigma-equivalent limit is different for every n.</t>
  </si>
  <si>
    <t xml:space="preserve">E-51  Xbar-S Chart</t>
  </si>
  <si>
    <t xml:space="preserve">E-51 — Xbar-S Chart</t>
  </si>
  <si>
    <t xml:space="preserve">Phase: CONTROL   |   Data required: 25 subgroups of 9+   |   Min. sample: 25   |   Complexity: 3/5   |   Typical output: Xbar and S charts with limits</t>
  </si>
  <si>
    <t xml:space="preserve">Are larger subgroups (9 or more units) centred and stable?</t>
  </si>
  <si>
    <t xml:space="preserve">Subgroup size of 9 or more, where the range becomes a weaker estimator of spread than the standard deviation.</t>
  </si>
  <si>
    <t xml:space="preserve">Xbar (subgroup average) and S (subgroup standard deviation) charts with live control limits and flags.</t>
  </si>
  <si>
    <t xml:space="preserve">The range only uses the two extreme values in a subgroup. That is efficient for small subgroups, but as n grows past about 8-10, the range increasingly ignores the middle of the subgroup and becomes a noisier estimator of spread than the sample standard deviation, which uses every value.</t>
  </si>
  <si>
    <t xml:space="preserve">The mechanics mirror Xbar-R exactly: an Xbar chart of subgroup averages, and a companion chart - here S, the subgroup standard deviation - that must itself be in control before the Xbar limits (built from Sbar) can be trusted.</t>
  </si>
  <si>
    <t xml:space="preserve">✓  Subgroup size of 9 or more (10 cap-torque readings per changeover check, for example).</t>
  </si>
  <si>
    <t xml:space="preserve">✗  Subgroup size is 8 or fewer: Xbar-R (E-50) is simpler and standard practice.</t>
  </si>
  <si>
    <t xml:space="preserve">✓  Any Xbar-R chart where the subgroup size has grown past about 8-10 units.</t>
  </si>
  <si>
    <t xml:space="preserve">✗  Only one measurement is available per period: I-MR (E-49).</t>
  </si>
  <si>
    <t xml:space="preserve">Subgroups are rational</t>
  </si>
  <si>
    <t xml:space="preserve">Same short window, same conditions</t>
  </si>
  <si>
    <t xml:space="preserve">S-chart in control before trusting the Xbar limits</t>
  </si>
  <si>
    <t xml:space="preserve">Check the S-chart's own flags first</t>
  </si>
  <si>
    <t xml:space="preserve">Remove the special cause and recompute Sbar before reading the Xbar chart</t>
  </si>
  <si>
    <t xml:space="preserve">At least 20-25 subgroups</t>
  </si>
  <si>
    <t xml:space="preserve">Per subgroup i of size n:   Xbar_i = AVERAGE(subgroup i)          S_i = STDEV(subgroup i) Centre lines:   Xbarbar = AVERAGE(all Xbar_i)          Sbar = AVERAGE(all S_i) Control limits (constants for n = 10: A3 = 0.975, B3 = 0.284, B4 = 1.716):</t>
  </si>
  <si>
    <t xml:space="preserve">UCL(Xbar) = Xbarbar + A3*Sbar          LCL(Xbar) = Xbarbar - A3*Sbar UCL(S) = B4*Sbar          LCL(S) = B3*Sbar</t>
  </si>
  <si>
    <t xml:space="preserve">STDEV(subgroup_range)</t>
  </si>
  <si>
    <t xml:space="preserve">Subgroup average and standard deviation</t>
  </si>
  <si>
    <t xml:space="preserve">Overwrite the yellow subgroup readings with your own data (n = 10 per subgroup).</t>
  </si>
  <si>
    <t xml:space="preserve">x6</t>
  </si>
  <si>
    <t xml:space="preserve">x7</t>
  </si>
  <si>
    <t xml:space="preserve">x8</t>
  </si>
  <si>
    <t xml:space="preserve">x9</t>
  </si>
  <si>
    <t xml:space="preserve">x10</t>
  </si>
  <si>
    <t xml:space="preserve">S</t>
  </si>
  <si>
    <t xml:space="preserve">Sbar (CL of S-chart)</t>
  </si>
  <si>
    <t xml:space="preserve">UCL (Xbar) = Xbarbar + 0.975*Sbar</t>
  </si>
  <si>
    <t xml:space="preserve">LCL (Xbar) = Xbarbar - 0.975*Sbar</t>
  </si>
  <si>
    <t xml:space="preserve">UCL (S) = 1.716*Sbar</t>
  </si>
  <si>
    <t xml:space="preserve">LCL (S) = 0.284*Sbar</t>
  </si>
  <si>
    <t xml:space="preserve">Xbarbar ± A3 x Sbar</t>
  </si>
  <si>
    <t xml:space="preserve">S limits</t>
  </si>
  <si>
    <t xml:space="preserve">B3 x Sbar to B4 x Sbar</t>
  </si>
  <si>
    <t xml:space="preserve">Constants</t>
  </si>
  <si>
    <t xml:space="preserve">A3, B3, B4 depend on n</t>
  </si>
  <si>
    <t xml:space="preserve">Using n=5 constants on n=10 subgroups silently produces wrong limits</t>
  </si>
  <si>
    <t xml:space="preserve">•  Applying Xbar-R constants (A2, D3, D4) to Xbar-S data, or vice versa - they are not interchangeable.</t>
  </si>
  <si>
    <t xml:space="preserve">•  Reading the Xbar chart while the S-chart itself is out of control.</t>
  </si>
  <si>
    <t xml:space="preserve">•  Forming subgroups across too long a window, letting a real shift hide inside the subgroup.</t>
  </si>
  <si>
    <t xml:space="preserve">•  Treating S-chart limits as symmetric around zero - LCL(S) is only zero when B3 = 0, which is not the case at n = 10.</t>
  </si>
  <si>
    <t xml:space="preserve">Q1.  Why does LCL(S) come out above zero here, while LCL(R) on E-50 was exactly zero?</t>
  </si>
  <si>
    <t xml:space="preserve">A1.  The B3 constant for n = 10 (0.284) is greater than zero, unlike D3 for n = 5. Both constants come from the sampling distribution of the respective spread statistic at that subgroup size, and they simply do not always evaluate to zero the way D3 does for small n.</t>
  </si>
  <si>
    <t xml:space="preserve">Q2.  Your subgroup size grew from 5 to 12 units per check. What exactly must change on the chart?</t>
  </si>
  <si>
    <t xml:space="preserve">A2.  Switch from Xbar-R to Xbar-S entirely - not just swap constants - because the range becomes an inefficient estimator of spread at n = 12, and the constants A3/B3/B4 for n = 12 must replace A2/D3/D4.</t>
  </si>
  <si>
    <t xml:space="preserve">Q3.  Why is S generally preferred over R once n exceeds about 10?</t>
  </si>
  <si>
    <t xml:space="preserve">A3.  S uses every observation in the subgroup, while R only uses the two extremes. As n grows, the extra observations R ignores carry real information about spread that S captures, making S the more efficient (lower-variance) estimator.</t>
  </si>
  <si>
    <t xml:space="preserve">E-52 — p and np Charts</t>
  </si>
  <si>
    <t xml:space="preserve">Phase: CONTROL   |   Data required: Defectives and lot sizes   |   Min. sample: 25   |   Complexity: 3/5   |   Typical output: p or np chart with variable limits</t>
  </si>
  <si>
    <t xml:space="preserve">Is the proportion of defective units stable, lot to lot?</t>
  </si>
  <si>
    <t xml:space="preserve">Attribute data: each unit is classified pass/fail, and you track how many failed out of how many inspected.</t>
  </si>
  <si>
    <t xml:space="preserve">A p chart (proportion defective) with control limits that widen or narrow with each lot's inspected count.</t>
  </si>
  <si>
    <t xml:space="preserve">A p chart tracks the proportion of defective units per lot. Because it is based on the binomial distribution, its control limits depend on the lot size n: a small lot's proportion is noisier than a large lot's, so the limits must be WIDER for small lots and NARROWER for large ones - the classic p chart has a different UCL/LCL at almost every point when n varies.</t>
  </si>
  <si>
    <t xml:space="preserve">The np chart is the same idea expressed as a count instead of a proportion (np = number defective, not the rate), and it only works cleanly when n is constant lot to lot - otherwise the count alone is not comparable from lot to lot, and the p chart is the correct tool.</t>
  </si>
  <si>
    <t xml:space="preserve">✓  Tracking pass/fail (defective/not) rates when the inspected quantity varies by lot: use p.</t>
  </si>
  <si>
    <t xml:space="preserve">✗  You are counting occurrences that can happen more than once per unit (label defects per bottle): use c or u (E-53).</t>
  </si>
  <si>
    <t xml:space="preserve">✓  Tracking pass/fail counts when the inspected quantity is genuinely constant: np is simpler to read.</t>
  </si>
  <si>
    <t xml:space="preserve">✗  The data is continuous (a measurement): use E-49, E-50 or E-51.</t>
  </si>
  <si>
    <t xml:space="preserve">✓  Any binary quality classification: leaking keg, cracked closure, missing label.</t>
  </si>
  <si>
    <t xml:space="preserve">✗  Subgroup sizes are very large and the limits look implausibly tight: check for overdispersion on E-54.</t>
  </si>
  <si>
    <t xml:space="preserve">Each unit is independently classified pass/fail</t>
  </si>
  <si>
    <t xml:space="preserve">Confirm the operational definition of 'defective'</t>
  </si>
  <si>
    <t xml:space="preserve">Rewrite the definition until every unit has one unambiguous classification</t>
  </si>
  <si>
    <t xml:space="preserve">np chart only if n is truly constant</t>
  </si>
  <si>
    <t xml:space="preserve">Compare n across the last 20+ lots</t>
  </si>
  <si>
    <t xml:space="preserve">Use the p chart if n varies at all</t>
  </si>
  <si>
    <t xml:space="preserve">np or n*p and n*(1-p) both at least about 5</t>
  </si>
  <si>
    <t xml:space="preserve">Check at the smallest lot size observed</t>
  </si>
  <si>
    <t xml:space="preserve">Small np means the normal approximation behind the 3-sigma limits is shaky; consider exact binomial limits</t>
  </si>
  <si>
    <t xml:space="preserve">Per lot i:   p_i = defectives_i / n_i</t>
  </si>
  <si>
    <t xml:space="preserve">Centre line:   pbar = SUM(all defectives) / SUM(all n)</t>
  </si>
  <si>
    <t xml:space="preserve">Variable control limits (recomputed for every lot's own n_i):</t>
  </si>
  <si>
    <t xml:space="preserve">UCL_i = pbar + 3 * SQRT( pbar*(1-pbar) / n_i )          LCL_i = MAX( 0, pbar - 3 * SQRT( pbar*(1-pbar) / n_i ) ) np chart, only valid when n is constant at nbar:</t>
  </si>
  <si>
    <t xml:space="preserve">   CL(np) = nbar * pbar          UCL(np) = nbar*pbar + 3*SQRT(nbar*pbar*(1-pbar))          LCL(np) = MAX(0, nbar*pbar - 3*SQRT(nbar*pbar*(1-pbar)))</t>
  </si>
  <si>
    <t xml:space="preserve">SUM / SQRT</t>
  </si>
  <si>
    <t xml:space="preserve">SQRT(pbar*(1-pbar)/n)</t>
  </si>
  <si>
    <t xml:space="preserve">Variable per-lot control limits from the binomial standard error</t>
  </si>
  <si>
    <t xml:space="preserve">MAX(0,LCL)</t>
  </si>
  <si>
    <t xml:space="preserve">Guards against a negative lower limit, which is not physically meaningful</t>
  </si>
  <si>
    <t xml:space="preserve">IF(p&gt;UCL,"OOC high",...)</t>
  </si>
  <si>
    <t xml:space="preserve">Out-of-control flag per lot</t>
  </si>
  <si>
    <t xml:space="preserve">Overwrite the yellow lot size and defectives columns with your own inspection data.</t>
  </si>
  <si>
    <t xml:space="preserve">Lot</t>
  </si>
  <si>
    <t xml:space="preserve">n inspected</t>
  </si>
  <si>
    <t xml:space="preserve">Defectives</t>
  </si>
  <si>
    <t xml:space="preserve">p</t>
  </si>
  <si>
    <t xml:space="preserve">Flag</t>
  </si>
  <si>
    <t xml:space="preserve">pbar = SUM(defectives)/SUM(n)</t>
  </si>
  <si>
    <t xml:space="preserve">ALTERNATIVE: np chart illustration if n were held constant at the average lot size</t>
  </si>
  <si>
    <t xml:space="preserve">nbar (average lot size)</t>
  </si>
  <si>
    <t xml:space="preserve">CL(np) = nbar*pbar</t>
  </si>
  <si>
    <t xml:space="preserve">UCL(np) = nbar*pbar + 3*SQRT(nbar*pbar*(1-pbar))</t>
  </si>
  <si>
    <t xml:space="preserve">LCL(np) = MAX(0, nbar*pbar - 3*SQRT(...))</t>
  </si>
  <si>
    <t xml:space="preserve">p-chart limits</t>
  </si>
  <si>
    <t xml:space="preserve">pbar ± 3 x SQRT(pbar(1-pbar)/n)</t>
  </si>
  <si>
    <t xml:space="preserve">Widen for small lots, narrow for large ones - recomputed every point</t>
  </si>
  <si>
    <t xml:space="preserve">np-chart validity</t>
  </si>
  <si>
    <t xml:space="preserve">Only when n is truly constant</t>
  </si>
  <si>
    <t xml:space="preserve">A varying n makes raw counts incomparable across lots</t>
  </si>
  <si>
    <t xml:space="preserve">n*pbar and n*(1-pbar) ≥ ~5</t>
  </si>
  <si>
    <t xml:space="preserve">Below this, 3-sigma limits from the normal approximation get unreliable</t>
  </si>
  <si>
    <t xml:space="preserve">•  Using a single, averaged control limit when lot sizes actually vary - the limits should move with each lot's own n.</t>
  </si>
  <si>
    <t xml:space="preserve">•  Switching to an np chart without confirming n is genuinely constant.</t>
  </si>
  <si>
    <t xml:space="preserve">•  Forgetting the LCL floor at zero: a formula that returns a negative lower limit is not meaningful for a proportion.</t>
  </si>
  <si>
    <t xml:space="preserve">•  Reacting to noisy proportions from very small lots, where the normal approximation behind the 3-sigma limits is weak.</t>
  </si>
  <si>
    <t xml:space="preserve">Q1.  Why do the p-chart's control limits get narrower as lot size increases?</t>
  </si>
  <si>
    <t xml:space="preserve">A1.  The standard error of a proportion, SQRT(pbar(1-pbar)/n), shrinks as n grows - larger samples give a more precise estimate of the true proportion, so less random point-to-point wobble is tolerated before a point is flagged.</t>
  </si>
  <si>
    <t xml:space="preserve">Q2.  A colleague wants to switch this p chart to an np chart to make the y-axis easier to read as counts. What do you check first?</t>
  </si>
  <si>
    <t xml:space="preserve">A2.  Whether the lot size n has actually been constant across the recent history. If n varies at all, converting to raw counts (np) makes lots with different sizes visually incomparable, and the p chart (or a u-style rate chart) remains the correct choice.</t>
  </si>
  <si>
    <t xml:space="preserve">Q3.  Lot 16 is flagged OOC high with a much larger n than usual. Could the larger n itself be the reason it was flagged?</t>
  </si>
  <si>
    <t xml:space="preserve">A3.  It could contribute: a larger n tightens the limits around pbar, so the same defect rate that would pass on a small lot might get flagged on a large one. Check whether the actual defect rate materially exceeds pbar, or whether the flag is mostly a side-effect of the tighter limits at that lot size.</t>
  </si>
  <si>
    <t xml:space="preserve">E-53 — c and u Charts</t>
  </si>
  <si>
    <t xml:space="preserve">Phase: CONTROL   |   Data required: Defect counts and exposure   |   Min. sample: 25   |   Complexity: 3/5   |   Typical output: c or u chart with limits</t>
  </si>
  <si>
    <t xml:space="preserve">Is the rate of defects (not defective units - occurrences) stable?</t>
  </si>
  <si>
    <t xml:space="preserve">Counting occurrences that can happen more than once per unit: label defects, scratches, print flaws.</t>
  </si>
  <si>
    <t xml:space="preserve">A u chart (defects per unit of opportunity) with control limits that vary with each point's inspected quantity.</t>
  </si>
  <si>
    <t xml:space="preserve">A p or np chart classifies each unit once, pass or fail. A c or u chart instead counts OCCURRENCES - a single pallet can carry 0, 1, 2 or more label defects, and the chart tracks that count, not a pass/fail classification.</t>
  </si>
  <si>
    <t xml:space="preserve">The u chart divides the defect count by the size of the inspection opportunity (bottles inspected, pallets checked) to get a rate, which is necessary whenever that opportunity varies point to point - exactly like the p chart's relationship to np. The c chart is the special case where the opportunity is constant, so the raw count can be charted directly.</t>
  </si>
  <si>
    <t xml:space="preserve">Both rely on the Poisson distribution rather than the binomial, because occurrences (not pass/fail trials) are being counted.</t>
  </si>
  <si>
    <t xml:space="preserve">✓  Counting defects (occurrences), possibly several per unit, where the inspected quantity varies: use u.</t>
  </si>
  <si>
    <t xml:space="preserve">✗  Each unit gets one pass/fail classification: use p or np (E-52) instead.</t>
  </si>
  <si>
    <t xml:space="preserve">✓  Counting defects where the area or quantity of opportunity is genuinely constant: c is simpler.</t>
  </si>
  <si>
    <t xml:space="preserve">✗  The data is continuous: E-49, E-50 or E-51.</t>
  </si>
  <si>
    <t xml:space="preserve">✓  Label defects, print flaws, weld spatter, any 'how many times did this happen' metric.</t>
  </si>
  <si>
    <t xml:space="preserve">✗  Large, variable opportunity with implausibly tight limits: check overdispersion on E-54.</t>
  </si>
  <si>
    <t xml:space="preserve">Defects are independent of each other within a unit</t>
  </si>
  <si>
    <t xml:space="preserve">One defect should not mechanically cause another</t>
  </si>
  <si>
    <t xml:space="preserve">Investigate clustering before trusting Poisson-based limits</t>
  </si>
  <si>
    <t xml:space="preserve">c chart only if the opportunity is truly constant</t>
  </si>
  <si>
    <t xml:space="preserve">Compare inspected quantity across recent points</t>
  </si>
  <si>
    <t xml:space="preserve">Use the u chart if the opportunity varies</t>
  </si>
  <si>
    <t xml:space="preserve">Average count per point not too small</t>
  </si>
  <si>
    <t xml:space="preserve">cbar or ubar*n at least about 5</t>
  </si>
  <si>
    <t xml:space="preserve">Small counts make the limits unstable; consider pooling more inspection per point</t>
  </si>
  <si>
    <t xml:space="preserve">Per point i:   u_i = defects_i / n_i          (n_i = units, area, or length inspected at point i) Centre line:   ubar = SUM(all defects) / SUM(all n)</t>
  </si>
  <si>
    <t xml:space="preserve">Variable control limits:   UCL_i = ubar + 3*SQRT(ubar/n_i)          LCL_i = MAX(0, ubar - 3*SQRT(ubar/n_i)) c chart, only valid when the opportunity is constant at nbar (defects charted directly, no division needed):</t>
  </si>
  <si>
    <t xml:space="preserve">   CL(c) = cbar          UCL(c) = cbar + 3*SQRT(cbar)          LCL(c) = MAX(0, cbar - 3*SQRT(cbar))</t>
  </si>
  <si>
    <t xml:space="preserve">SQRT(ubar/n)</t>
  </si>
  <si>
    <t xml:space="preserve">Variable per-point control limits from the Poisson standard error</t>
  </si>
  <si>
    <t xml:space="preserve">Guards against a negative lower limit</t>
  </si>
  <si>
    <t xml:space="preserve">IF(u&gt;UCL,"OOC high",...)</t>
  </si>
  <si>
    <t xml:space="preserve">Overwrite the yellow inspected-quantity and defect-count columns with your own inspection data.</t>
  </si>
  <si>
    <t xml:space="preserve">Pallet</t>
  </si>
  <si>
    <t xml:space="preserve">Defects</t>
  </si>
  <si>
    <t xml:space="preserve">u</t>
  </si>
  <si>
    <t xml:space="preserve">ubar = SUM(defects)/SUM(n)</t>
  </si>
  <si>
    <t xml:space="preserve">ALTERNATIVE: c chart illustration if the opportunity were held constant at the average</t>
  </si>
  <si>
    <t xml:space="preserve">nbar (average inspected quantity)</t>
  </si>
  <si>
    <t xml:space="preserve">cbar = nbar*ubar</t>
  </si>
  <si>
    <t xml:space="preserve">UCL(c) = cbar + 3*SQRT(cbar)</t>
  </si>
  <si>
    <t xml:space="preserve">LCL(c) = MAX(0, cbar - 3*SQRT(cbar))</t>
  </si>
  <si>
    <t xml:space="preserve">u-chart limits</t>
  </si>
  <si>
    <t xml:space="preserve">ubar ± 3 x SQRT(ubar/n)</t>
  </si>
  <si>
    <t xml:space="preserve">Widen for small opportunity, narrow for large - recomputed every point</t>
  </si>
  <si>
    <t xml:space="preserve">c-chart validity</t>
  </si>
  <si>
    <t xml:space="preserve">Only when the opportunity is truly constant</t>
  </si>
  <si>
    <t xml:space="preserve">A varying opportunity makes raw counts incomparable</t>
  </si>
  <si>
    <t xml:space="preserve">Poisson approximation</t>
  </si>
  <si>
    <t xml:space="preserve">cbar or ubar*n ≥ ~5</t>
  </si>
  <si>
    <t xml:space="preserve">Below this, treat the 3-sigma limits as approximate</t>
  </si>
  <si>
    <t xml:space="preserve">•  Charting raw defect counts across pallets with different inspected quantities, instead of the rate.</t>
  </si>
  <si>
    <t xml:space="preserve">•  Assuming defects are independent when a single root cause (one bad reel of labels) can produce a cluster - this violates the Poisson assumption and distorts the limits.</t>
  </si>
  <si>
    <t xml:space="preserve">•  Forgetting the LCL floor at zero.</t>
  </si>
  <si>
    <t xml:space="preserve">•  Confusing a u/c chart (occurrences, Poisson) with a p/np chart (pass/fail units, binomial) - they answer different questions.</t>
  </si>
  <si>
    <t xml:space="preserve">Q1.  Why does a u chart use the Poisson distribution while a p chart uses the binomial?</t>
  </si>
  <si>
    <t xml:space="preserve">A1.  A p chart classifies each unit once (pass or fail), which is a binomial trial. A u chart counts how many times an event occurs, with no natural upper bound per unit (a bottle could in principle have several label defects), which is exactly what the Poisson distribution models.</t>
  </si>
  <si>
    <t xml:space="preserve">Q2.  One pallet shows an unusually high defect count, and it turns out one bad reel of labels caused several defects together. Why does this matter for the chart's assumptions?</t>
  </si>
  <si>
    <t xml:space="preserve">A2.  The Poisson model underlying the u/c chart assumes defects occur independently. A single root cause producing a cluster of defects violates that assumption and can make the observed variation look larger (overdispersed) than the simple Poisson limits expect - see E-54.</t>
  </si>
  <si>
    <t xml:space="preserve">Q3.  Why can't you compare raw defect counts directly across pallets with very different inspected quantities?</t>
  </si>
  <si>
    <t xml:space="preserve">A3.  A pallet with more bottles inspected has more opportunity to find defects even at the same true rate. Dividing by the inspected quantity (the u statistic) puts every pallet on the same rate scale so they can be compared fairly.</t>
  </si>
  <si>
    <t xml:space="preserve">E-54 — Laney p' and u' Charts (Overdispersion)</t>
  </si>
  <si>
    <t xml:space="preserve">Phase: CONTROL   |   Data required: Large-subgroup attribute data   |   Min. sample: 25   |   Complexity: 4/5   |   Typical output: Sigma-Z corrected p' or u' chart</t>
  </si>
  <si>
    <t xml:space="preserve">My p or u chart flags almost every point - is the process really that unstable?</t>
  </si>
  <si>
    <t xml:space="preserve">Large or variable subgroup sizes on a p or u chart, where limits become implausibly tight.</t>
  </si>
  <si>
    <t xml:space="preserve">Laney p' (or u') charts that inflate the limits to account for real lot-to-lot variation the simple binomial/Poisson model ignores.</t>
  </si>
  <si>
    <t xml:space="preserve">The plain p and u charts (E-52, E-53) assume every unit's chance of a defect is identical and independent.</t>
  </si>
  <si>
    <t xml:space="preserve">With large subgroups that assumption is often just slightly wrong - a little day-to-day process drift, a little supplier variation - and 'slightly wrong' is enough, because binomial/Poisson limits shrink toward zero width as n grows. The result is a chart that flags nearly every point, not because the process is actually unstable, but because the model is overconfident about how little variation to expect.</t>
  </si>
  <si>
    <t xml:space="preserve">This is overdispersion: the real point-to-point variation is larger than the simple model predicts. Laney's fix estimates how much extra variation is really there, using a Z-score version of the data (which removes the effect of n varying) and its own moving range, then widens the control limits by that same factor.</t>
  </si>
  <si>
    <t xml:space="preserve">✓  A p or u chart with large or highly variable subgroup sizes flags an implausible fraction of points.</t>
  </si>
  <si>
    <t xml:space="preserve">✗  Subgroup sizes are small: overdispersion is rarely detectable and the plain p/u chart (E-52/E-53) is fine.</t>
  </si>
  <si>
    <t xml:space="preserve">✓  Comparing overall visual defect rate across days when daily inspected volume is large (thousands of units).</t>
  </si>
  <si>
    <t xml:space="preserve">✗  The flagging looks correct on investigation - not every case of many flagged points is overdispersion; check for a genuine sustained special cause first.</t>
  </si>
  <si>
    <t xml:space="preserve">✓  Any attribute chart where 'in control' by the plain formula clearly does not match what the floor is reporting.</t>
  </si>
  <si>
    <t xml:space="preserve">At least 20-25 points to estimate sigma_z</t>
  </si>
  <si>
    <t xml:space="preserve">Treat sigma_z as provisional until then</t>
  </si>
  <si>
    <t xml:space="preserve">Genuine overdispersion, not a real sustained shift</t>
  </si>
  <si>
    <t xml:space="preserve">Plot the plain p-chart alongside; if almost everything is flagged, suspect the model, not the process</t>
  </si>
  <si>
    <t xml:space="preserve">Investigate for an actual special cause before assuming overdispersion</t>
  </si>
  <si>
    <t xml:space="preserve">n varies enough for Z-scores to be meaningful</t>
  </si>
  <si>
    <t xml:space="preserve">Compare the smallest and largest n in the data</t>
  </si>
  <si>
    <t xml:space="preserve">With near-constant n, overdispersion is hard to distinguish from a simple shift</t>
  </si>
  <si>
    <t xml:space="preserve">Per point i:   p_i = defects_i/n_i          pbar = SUM(defects)/SUM(n) Standardised deviation (removes the effect of n varying point to point):</t>
  </si>
  <si>
    <t xml:space="preserve">   z_i = (p_i - pbar) / SQRT( pbar*(1-pbar)/n_i )</t>
  </si>
  <si>
    <t xml:space="preserve">Extra dispersion, estimated from the moving range of the z-scores (d2 = 1.128 for a 2-point moving range):</t>
  </si>
  <si>
    <t xml:space="preserve">   sigma_z = AVERAGE( |z_i - z_(i-1)| ) / 1.128</t>
  </si>
  <si>
    <t xml:space="preserve">Laney p' limits (identical to the plain p-chart limits, but widened by sigma_z):</t>
  </si>
  <si>
    <t xml:space="preserve">UCL'_i = pbar + 3*sigma_z*SQRT( pbar*(1-pbar)/n_i )          LCL'_i = MAX( 0, pbar - 3*sigma_z*SQRT( pbar*(1-pbar)/n_i ) ) sigma_z = 1 recovers the plain p-chart exactly; sigma_z &gt; 1 is the signature of overdispersion.</t>
  </si>
  <si>
    <t xml:space="preserve">Binomial standard error per point, used to standardise into z</t>
  </si>
  <si>
    <t xml:space="preserve">ABS(z_i-z_i-1)</t>
  </si>
  <si>
    <t xml:space="preserve">Moving range of the z-scores, the basis for sigma_z</t>
  </si>
  <si>
    <t xml:space="preserve">Guards the lower limit at zero</t>
  </si>
  <si>
    <t xml:space="preserve">Overwrite the yellow inspected-quantity and defect-count columns with your own large-volume inspection data.</t>
  </si>
  <si>
    <t xml:space="preserve">Day</t>
  </si>
  <si>
    <t xml:space="preserve">pbar = SUM(defects)/SUM(n)</t>
  </si>
  <si>
    <t xml:space="preserve">sigma_z = AVERAGE(moving range of z) / 1.128</t>
  </si>
  <si>
    <t xml:space="preserve">Plain p-chart UCL/LCL width factor (sigma_z = 1 comparison)</t>
  </si>
  <si>
    <t xml:space="preserve">Laney UCL</t>
  </si>
  <si>
    <t xml:space="preserve">Laney LCL</t>
  </si>
  <si>
    <t xml:space="preserve">Plain p UCL</t>
  </si>
  <si>
    <t xml:space="preserve">Overdispersion signature</t>
  </si>
  <si>
    <t xml:space="preserve">sigma_z noticeably above 1</t>
  </si>
  <si>
    <t xml:space="preserve">Real extra variation beyond simple binomial/Poisson noise</t>
  </si>
  <si>
    <t xml:space="preserve">Laney vs plain limits</t>
  </si>
  <si>
    <t xml:space="preserve">Laney limits are wider by the factor sigma_z</t>
  </si>
  <si>
    <t xml:space="preserve">Plain limits over-flag when sigma_z &gt; 1</t>
  </si>
  <si>
    <t xml:space="preserve">Still worth investigating</t>
  </si>
  <si>
    <t xml:space="preserve">Any point outside the Laney limits</t>
  </si>
  <si>
    <t xml:space="preserve">Laney corrects the model, it does not excuse real special causes</t>
  </si>
  <si>
    <t xml:space="preserve">•  Tightening a p or u chart's limits (or ignoring flags) instead of recognising overdispersion and correcting the model with sigma_z.</t>
  </si>
  <si>
    <t xml:space="preserve">•  Applying the Laney correction to small subgroups where overdispersion is barely estimable and mostly noise itself.</t>
  </si>
  <si>
    <t xml:space="preserve">•  Treating a large sigma_z as proof nothing is wrong - it means the model needed correcting, not that every point is now automatically fine.</t>
  </si>
  <si>
    <t xml:space="preserve">•  Confusing overdispersion (the model under-estimates spread) with a genuine sustained shift in the true rate - both can produce many flagged points, for different reasons.</t>
  </si>
  <si>
    <t xml:space="preserve">Q1.  Why does a plain p-chart tend to flag more and more points as daily inspection volume grows, even when nothing has really changed?</t>
  </si>
  <si>
    <t xml:space="preserve">A1.  The binomial standard error SQRT(pbar(1-pbar)/n) shrinks as n grows, so the plain chart's limits keep narrowing. Real day-to-day variation that used to fit comfortably inside wide limits eventually exceeds increasingly narrow ones - not because the process changed, but because the model's tolerance for noise shrank.</t>
  </si>
  <si>
    <t xml:space="preserve">Q2.  sigma_z comes back at 2.4. What does that number mean in plain terms?</t>
  </si>
  <si>
    <t xml:space="preserve">A2.  The real point-to-point variation in the defect rate is about 2.4 times larger than the simple binomial model expects. The Laney correction widens the control limits by that same factor so the chart reflects the process's actual behaviour instead of an overconfident model.</t>
  </si>
  <si>
    <t xml:space="preserve">Q3.  Even after applying the Laney correction, three consecutive days sit right at the p' UCL. What should you do?</t>
  </si>
  <si>
    <t xml:space="preserve">A3.  Investigate those three days specifically. The Laney correction fixes the MODEL's tolerance for ordinary variation; it does not immunise the chart against a genuine special cause, and a sustained run near the limit is exactly the kind of pattern E-56's Nelson rules are designed to catch.</t>
  </si>
  <si>
    <t xml:space="preserve">E-55 — CUSUM and EWMA Charts</t>
  </si>
  <si>
    <t xml:space="preserve">Phase: CONTROL   |   Data required: Time-ordered data   |   Min. sample: 25   |   Complexity: 4/5   |   Typical output: CUSUM and EWMA charts with limits</t>
  </si>
  <si>
    <t xml:space="preserve">How do I catch a small, sustained shift faster than a Shewhart chart would?</t>
  </si>
  <si>
    <t xml:space="preserve">Detecting drift of half a sigma to two sigma, where an I-chart or Xbar chart can take many points to react.</t>
  </si>
  <si>
    <t xml:space="preserve">CUSUM (cumulative sum) and EWMA (exponentially weighted moving average) charts, both far more sensitive to small sustained shifts.</t>
  </si>
  <si>
    <t xml:space="preserve">A Shewhart chart (I, Xbar) judges each point almost on its own; a shift of 1 sigma might take 40+ points on average before a single point randomly crosses a 3-sigma limit. CUSUM and EWMA both accumulate information ACROSS points instead of judging each one alone, which is exactly what makes them fast at detecting small, sustained shifts - and correspondingly less useful for spotting one big, isolated spike, which a Shewhart chart still catches better.</t>
  </si>
  <si>
    <t xml:space="preserve">CUSUM keeps a running total of how far each point sits from the target, in each direction, resetting to zero whenever the drift reverses. A large accumulated sum (beyond the decision interval H) means the process has been drifting one way for a while, even if no single point looked unusual.</t>
  </si>
  <si>
    <t xml:space="preserve">EWMA instead computes a weighted average that remembers the past with exponentially decaying weight, controlled by lambda: small lambda (0.05-0.2) remembers a long history and detects small shifts fastest;</t>
  </si>
  <si>
    <t xml:space="preserve">large lambda (close to 1) behaves almost like a Shewhart chart.</t>
  </si>
  <si>
    <t xml:space="preserve">✓  Detecting drift too small for an I-chart or Xbar chart to catch quickly (half a sigma to two sigma).</t>
  </si>
  <si>
    <t xml:space="preserve">✗  Detecting one large, isolated spike is the main concern: a plain Shewhart chart reacts just as well and is easier to read.</t>
  </si>
  <si>
    <t xml:space="preserve">✓  Slow-moving process drift: tool wear, gradual raw-material change, seasonal ambient effects.</t>
  </si>
  <si>
    <t xml:space="preserve">✗  The target and sigma are not well established yet: both charts need a trustworthy baseline first.</t>
  </si>
  <si>
    <t xml:space="preserve">✓  Running alongside a Shewhart chart, not instead of it - a big single spike is still best caught by E-49/E-50/E-51.</t>
  </si>
  <si>
    <t xml:space="preserve">Target and sigma are known from a stable baseline</t>
  </si>
  <si>
    <t xml:space="preserve">Estimate from a Shewhart chart's own in-control period</t>
  </si>
  <si>
    <t xml:space="preserve">Establish the baseline on E-49/E-50/E-51 first</t>
  </si>
  <si>
    <t xml:space="preserve">lambda (EWMA) or k, H (CUSUM) chosen deliberately, not left at software defaults</t>
  </si>
  <si>
    <t xml:space="preserve">Smaller lambda / smaller k for smaller shifts of interest</t>
  </si>
  <si>
    <t xml:space="preserve">Re-tune and re-run rather than reading a mistuned chart</t>
  </si>
  <si>
    <t xml:space="preserve">Still time-ordered data</t>
  </si>
  <si>
    <t xml:space="preserve">Check the collection log</t>
  </si>
  <si>
    <t xml:space="preserve">Reorder before charting</t>
  </si>
  <si>
    <t xml:space="preserve">CUSUM, with target T, allowance k (typically 0.5*sigma) and decision interval H (typically 4-5*sigma):</t>
  </si>
  <si>
    <t xml:space="preserve">SH_i = MAX( 0, SH_(i-1) + (X_i - T) - k )          SL_i = MAX( 0, SL_(i-1) - (X_i - T) - k ) Signal when SH_i &gt; H or SL_i &gt; H.</t>
  </si>
  <si>
    <t xml:space="preserve">EWMA, with smoothing constant lambda (0 &lt; lambda &lt;= 1) and z_0 = target:</t>
  </si>
  <si>
    <t xml:space="preserve">   z_i = lambda*X_i + (1-lambda)*z_(i-1)</t>
  </si>
  <si>
    <t xml:space="preserve">sigma_z_i = sigma * SQRT( lambda/(2-lambda) * (1-(1-lambda)^(2i)) )          UCL_i/LCL_i = T +/- L*sigma_z_i The (1-(1-lambda)^(2i)) term makes the limits narrow (tighter) for the first few points and widen to their steady-state value as i grows - the chart is most cautious right at the start, when it has the least history.</t>
  </si>
  <si>
    <t xml:space="preserve">MAX(0,SH_prev+...)</t>
  </si>
  <si>
    <t xml:space="preserve">CUSUM's reset-to-zero recursion, written as an ordinary (non-array) formula referencing the row above</t>
  </si>
  <si>
    <t xml:space="preserve">SQRT / POWER</t>
  </si>
  <si>
    <t xml:space="preserve">SQRT(lambda/(2-lambda)*(1-(1-lambda)^(2*i)))</t>
  </si>
  <si>
    <t xml:space="preserve">Time-varying EWMA limits that widen toward their steady-state value</t>
  </si>
  <si>
    <t xml:space="preserve">Overwrite the yellow readings, target, sigma, k, H, lambda and L with your own process and tuning.</t>
  </si>
  <si>
    <t xml:space="preserve">Target T</t>
  </si>
  <si>
    <t xml:space="preserve">Sigma (from baseline)</t>
  </si>
  <si>
    <t xml:space="preserve">CUSUM allowance k = 0.5*sigma</t>
  </si>
  <si>
    <t xml:space="preserve">CUSUM decision interval H = 5*sigma</t>
  </si>
  <si>
    <t xml:space="preserve">EWMA lambda</t>
  </si>
  <si>
    <t xml:space="preserve">EWMA L (limit multiple)</t>
  </si>
  <si>
    <t xml:space="preserve">X (ml)</t>
  </si>
  <si>
    <t xml:space="preserve">SH</t>
  </si>
  <si>
    <t xml:space="preserve">SL</t>
  </si>
  <si>
    <t xml:space="preserve">CUSUM flag</t>
  </si>
  <si>
    <t xml:space="preserve">EWMA z</t>
  </si>
  <si>
    <t xml:space="preserve">EWMA UCL</t>
  </si>
  <si>
    <t xml:space="preserve">EWMA LCL</t>
  </si>
  <si>
    <t xml:space="preserve">EWMA flag</t>
  </si>
  <si>
    <t xml:space="preserve">CUSUM signal</t>
  </si>
  <si>
    <t xml:space="preserve">SH or SL &gt; H</t>
  </si>
  <si>
    <t xml:space="preserve">A sustained drift has accumulated beyond the decision interval</t>
  </si>
  <si>
    <t xml:space="preserve">EWMA signal</t>
  </si>
  <si>
    <t xml:space="preserve">z outside UCL/LCL</t>
  </si>
  <si>
    <t xml:space="preserve">The exponentially-weighted average has drifted past its (time-varying) limits</t>
  </si>
  <si>
    <t xml:space="preserve">Tuning trade-off</t>
  </si>
  <si>
    <t xml:space="preserve">Smaller k/lambda -&gt; faster on small shifts, more false alarms on pure noise</t>
  </si>
  <si>
    <t xml:space="preserve">Match the tuning to the shift size that actually matters operationally</t>
  </si>
  <si>
    <t xml:space="preserve">•  Reading only the last point's SH/SL instead of when the accumulation first started climbing - that is where the root cause lives.</t>
  </si>
  <si>
    <t xml:space="preserve">•  Using CUSUM or EWMA in place of a Shewhart chart rather than alongside it; a single big spike can be less obvious on these charts.</t>
  </si>
  <si>
    <t xml:space="preserve">•  Leaving lambda or k at a software default without matching it to the shift size that actually matters for this process.</t>
  </si>
  <si>
    <t xml:space="preserve">•  Forgetting that the EWMA limits are narrower for the first several points; a point near the limit very early is more meaningful than the same distance later on.</t>
  </si>
  <si>
    <t xml:space="preserve">Q1.  Why can CUSUM detect a 1-sigma sustained shift in far fewer points than an I-chart, on average?</t>
  </si>
  <si>
    <t xml:space="preserve">A1.  The I-chart judges each point mostly on its own against a fixed 3-sigma limit, so a modest 1-sigma shift rarely produces one extreme point. CUSUM accumulates the small, consistent deviation from target across many points, and that running total eventually crosses the decision interval H even though no single point looked unusual.</t>
  </si>
  <si>
    <t xml:space="preserve">Q2.  Why does the EWMA control limit widen as more points are plotted, instead of staying constant?</t>
  </si>
  <si>
    <t xml:space="preserve">A2.  Early on, the EWMA statistic is still close to its starting value (the target) and has not yet accumulated much history, so its true variance is smaller; the (1-(1-lambda)^(2i)) term reflects that and only reaches its steady-state (constant) width once enough points have been folded in.</t>
  </si>
  <si>
    <t xml:space="preserve">Q3.  You choose a very small lambda (0.05) for the EWMA. What is the trade-off?</t>
  </si>
  <si>
    <t xml:space="preserve">A3.  A very small lambda makes the chart extremely sensitive to small sustained shifts because it remembers a long history, but it also reacts slowly to a large, sudden shift - by the time it responds, many defective units may already have been produced. Lambda should match the size of shift that matters operationally.</t>
  </si>
  <si>
    <t xml:space="preserve">E-56 — Western Electric and Nelson Rules</t>
  </si>
  <si>
    <t xml:space="preserve">Phase: CONTROL   |   Data required: Control chart data   |   Min. sample: 25   |   Complexity: 3/5   |   Typical output: Rule-by-rule flag columns</t>
  </si>
  <si>
    <t xml:space="preserve">Is there a pattern in this control chart that a single 3-sigma point would miss?</t>
  </si>
  <si>
    <t xml:space="preserve">Reading any Shewhart chart (here, E-49's individuals chart) for anything beyond a single out-of-limits point.</t>
  </si>
  <si>
    <t xml:space="preserve">Five live pattern-detection rules (1, 2, 3, 5, 6) flagging the exact points responsible on E-49's data.</t>
  </si>
  <si>
    <t xml:space="preserve">A single point beyond 3 sigma is the loudest signal a control chart gives, but it is far from the only one.</t>
  </si>
  <si>
    <t xml:space="preserve">Walter Shewhart and later Lloyd Nelson catalogued patterns that are extremely unlikely under pure common-cause variation even when no single point crosses a limit: long runs on one side of the centre line, steady trends, and clusters of points hugging the outer zones.</t>
  </si>
  <si>
    <t xml:space="preserve">Each rule is calibrated so a false alarm under pure common-cause variation is rare (roughly as rare as a single point crossing 3 sigma). Running several rules together catches more real signals, at the cost of a slightly higher overall false-alarm rate - which is why most practitioners run rules 1, 2, 3, 5 and 6 together rather than all eight simultaneously.</t>
  </si>
  <si>
    <t xml:space="preserve">✓  Reading any Shewhart chart (I, Xbar) for subtler signals than a single out-of-limits point.</t>
  </si>
  <si>
    <t xml:space="preserve">✗  The chart already has too few points for the longer rules (9, or even 6) to apply meaningfully.</t>
  </si>
  <si>
    <t xml:space="preserve">✓  Explaining to an operator why a chart with no red points is still being investigated.</t>
  </si>
  <si>
    <t xml:space="preserve">✗  Data is not from a Shewhart chart with fixed 1/2/3-sigma zones: attribute charts need their own pattern logic.</t>
  </si>
  <si>
    <t xml:space="preserve">✓  Catching a sustained drift earlier than a single 3-sigma breach would.</t>
  </si>
  <si>
    <t xml:space="preserve">Zones (1, 2, 3 sigma) computed from a stable baseline</t>
  </si>
  <si>
    <t xml:space="preserve">Confirm the baseline itself passed rule 1 first</t>
  </si>
  <si>
    <t xml:space="preserve">Recompute the baseline once obvious special causes are removed</t>
  </si>
  <si>
    <t xml:space="preserve">Enough points for the rule being applied</t>
  </si>
  <si>
    <t xml:space="preserve">Rule 2 needs 9, rule 3 needs 6, rules 5/6 need 3/5</t>
  </si>
  <si>
    <t xml:space="preserve">Treat early-chart flags near the start as provisional</t>
  </si>
  <si>
    <t xml:space="preserve">Not over-reacting to every rule at once</t>
  </si>
  <si>
    <t xml:space="preserve">Running 5+ rules multiplies the combined false-alarm rate</t>
  </si>
  <si>
    <t xml:space="preserve">Focus investigation on points flagged by more than one rule first</t>
  </si>
  <si>
    <t xml:space="preserve">Zones, built from the same Xbar and sigma (sigma = MRbar/1.128) as the I-chart on E-49:</t>
  </si>
  <si>
    <t xml:space="preserve">   Zone C: Xbar ± 1 sigma          Zone B: Xbar ± 2 sigma          Zone A: Xbar ± 3 sigma (the control limits)</t>
  </si>
  <si>
    <t xml:space="preserve">Rule 1  -  one point beyond Zone A (3 sigma).</t>
  </si>
  <si>
    <t xml:space="preserve">Rule 2  -  9 points in a row on the same side of the centre line.</t>
  </si>
  <si>
    <t xml:space="preserve">Rule 3  -  6 points in a row steadily increasing, or steadily decreasing.</t>
  </si>
  <si>
    <t xml:space="preserve">Rule 5  -  2 out of 3 consecutive points beyond 2 sigma, same side.</t>
  </si>
  <si>
    <t xml:space="preserve">Rule 6  -  4 out of 5 consecutive points beyond 1 sigma, same side.</t>
  </si>
  <si>
    <t xml:space="preserve">COUNTIF(range,"&gt;"&amp;threshold)</t>
  </si>
  <si>
    <t xml:space="preserve">Counts how many points in a small trailing window clear a zone boundary</t>
  </si>
  <si>
    <t xml:space="preserve">SIGN</t>
  </si>
  <si>
    <t xml:space="preserve">SIGN(X_i-X_i-1)</t>
  </si>
  <si>
    <t xml:space="preserve">Direction of each step, used to detect a steady 6-point trend</t>
  </si>
  <si>
    <t xml:space="preserve">OR(cond_high,cond_low)</t>
  </si>
  <si>
    <t xml:space="preserve">Combines the 'same side' condition for both directions</t>
  </si>
  <si>
    <t xml:space="preserve">This sheet reads E-49 live - change the data there and every rule below updates automatically.</t>
  </si>
  <si>
    <t xml:space="preserve">Xbar (from E-49)</t>
  </si>
  <si>
    <t xml:space="preserve">Sigma estimate = MRbar / 1.128 (from E-49)</t>
  </si>
  <si>
    <t xml:space="preserve">Diff sign</t>
  </si>
  <si>
    <t xml:space="preserve">Rule 1</t>
  </si>
  <si>
    <t xml:space="preserve">Rule 2</t>
  </si>
  <si>
    <t xml:space="preserve">Rule 3</t>
  </si>
  <si>
    <t xml:space="preserve">Rule 5</t>
  </si>
  <si>
    <t xml:space="preserve">Rule 6</t>
  </si>
  <si>
    <t xml:space="preserve">Points flagged by Rule 1 (single 3-sigma point)</t>
  </si>
  <si>
    <t xml:space="preserve">Points flagged by Rule 2 (9 in a row, one side)</t>
  </si>
  <si>
    <t xml:space="preserve">Points flagged by Rule 3 (6-point trend)</t>
  </si>
  <si>
    <t xml:space="preserve">Points flagged by Rule 5 (2 of 3 beyond 2 sigma)</t>
  </si>
  <si>
    <t xml:space="preserve">Points flagged by Rule 6 (4 of 5 beyond 1 sigma)</t>
  </si>
  <si>
    <t xml:space="preserve">1 point beyond 3 sigma</t>
  </si>
  <si>
    <t xml:space="preserve">The classic single-point signal, same as E-49's own OOC flag</t>
  </si>
  <si>
    <t xml:space="preserve">Rules 2, 3</t>
  </si>
  <si>
    <t xml:space="preserve">Runs and trends (9, 6 points)</t>
  </si>
  <si>
    <t xml:space="preserve">Catch a sustained shift or drift before any point crosses 3 sigma</t>
  </si>
  <si>
    <t xml:space="preserve">Rules 5, 6</t>
  </si>
  <si>
    <t xml:space="preserve">Clusters near the outer zones (2 of 3, 4 of 5)</t>
  </si>
  <si>
    <t xml:space="preserve">Catch a shift too small for rules 1-3 but still non-random</t>
  </si>
  <si>
    <t xml:space="preserve">•  Running all eight classic Nelson rules at once without accounting for the combined false-alarm rate this creates.</t>
  </si>
  <si>
    <t xml:space="preserve">•  Treating a rule 2 or 3 flag as less serious than a rule 1 flag - a sustained run can represent a more persistent problem than one spike.</t>
  </si>
  <si>
    <t xml:space="preserve">•  Recomputing the zones from data that itself contains an unresolved special cause, which distorts every rule built on those zones.</t>
  </si>
  <si>
    <t xml:space="preserve">•  Ignoring a point flagged by multiple rules simultaneously - that is the strongest signal on the sheet.</t>
  </si>
  <si>
    <t xml:space="preserve">Q1.  Why can Rule 2 (9 points on one side of the centre line) flag a problem that Rule 1 never would?</t>
  </si>
  <si>
    <t xml:space="preserve">A1.  A sustained small shift can keep every point comfortably inside the 3-sigma limits while still keeping all of them on one side of the centre line far more consistently than pure common-cause variation would produce. Rule 1 only reacts to extreme individual points, so it can miss this pattern entirely.</t>
  </si>
  <si>
    <t xml:space="preserve">Q2.  A point is flagged by both Rule 5 and Rule 6. What does that combination suggest?</t>
  </si>
  <si>
    <t xml:space="preserve">A2.  The recent points are clustering unusually close to (or beyond) the outer zones in a way that is consistent both over a very short window (Rule 5, 2 of 3) and a slightly longer one (Rule 6, 4 of 5) - reinforcing that this looks like a real, developing shift rather than one noisy point.</t>
  </si>
  <si>
    <t xml:space="preserve">Q3.  Why do most practitioners run rules 1, 2, 3, 5 and 6 rather than the full classic set of eight?</t>
  </si>
  <si>
    <t xml:space="preserve">A3.  Every additional rule adds its own (small) false-alarm rate under pure common-cause variation, and running many rules simultaneously compounds that rate. Rules 1, 2, 3, 5 and 6 catch most practically important patterns (single points, runs, trends, and clustering) while keeping the combined false-alarm rate manageable.</t>
  </si>
  <si>
    <t xml:space="preserve">E-57 — Cp, Cpk, Pp, Ppk and Cpm</t>
  </si>
  <si>
    <t xml:space="preserve">Phase: MEASURE   |   Data required: Measurements plus spec limits   |   Min. sample: 30   |   Complexity: 3/5   |   Typical output: Capability indices, PPM, capability histogram</t>
  </si>
  <si>
    <t xml:space="preserve">Does this stable process actually fit inside the customer's specification?</t>
  </si>
  <si>
    <t xml:space="preserve">After a control chart (E-49 to E-56) confirms the process is stable - capability on an unstable process is meaningless.</t>
  </si>
  <si>
    <t xml:space="preserve">Cp, Cpk, Pp, Ppk, Cpm, Z-bench and PPM, with within-subgroup and overall sigma clearly kept apart.</t>
  </si>
  <si>
    <t xml:space="preserve">Capability compares the process's own spread against the customer's specification width. Cp and Cpk use 'within-subgroup' sigma - the short-term, common-cause-only spread estimated from a rational subgrouping scheme (here, from the average range within small subgroups). Pp and Ppk use the OVERALL sigma - the plain standard deviation of every individual reading, which also picks up any subgroup-to-subgroup shift.</t>
  </si>
  <si>
    <t xml:space="preserve">When a process is truly stable, within and overall sigma are close and Cpk ≈ Ppk. A meaningful gap between them is itself a diagnostic: it means there is real variation between subgroups (a shift, a drift, a difference between shifts) that a snapshot within one subgroup would never reveal.</t>
  </si>
  <si>
    <t xml:space="preserve">Cpk (and Ppk) look only at the nearer specification limit - they answer 'how many sigmas of room to the closer edge', which is why a process can have a healthy Cp but a poor Cpk if it is simply off-centre.</t>
  </si>
  <si>
    <t xml:space="preserve">✓  Reporting how capable a stable, in-control process is against a two-sided specification.</t>
  </si>
  <si>
    <t xml:space="preserve">✗  The process is not yet shown to be stable: run E-49 to E-56 first - capability on an out-of-control process is not meaningful.</t>
  </si>
  <si>
    <t xml:space="preserve">✓  Comparing Cpk (potential, within-subgroup) against Ppk (actual, overall) to check for hidden instability.</t>
  </si>
  <si>
    <t xml:space="preserve">✗  The data is clearly non-normal or attribute: use E-58 instead.</t>
  </si>
  <si>
    <t xml:space="preserve">✓  Any Black Belt exam question or customer audit asking for Cp/Cpk/Pp/Ppk/PPM by name.</t>
  </si>
  <si>
    <t xml:space="preserve">✗  There is only a one-sided specification: adapt Cpk/Ppk (Cpu or Cpl alone) rather than the two-sided formulas here.</t>
  </si>
  <si>
    <t xml:space="preserve">Process shown stable on a control chart first</t>
  </si>
  <si>
    <t xml:space="preserve">Check E-49/E-50/E-51 before trusting any capability number</t>
  </si>
  <si>
    <t xml:space="preserve">Stabilise the process before reporting capability</t>
  </si>
  <si>
    <t xml:space="preserve">Data approximately normal</t>
  </si>
  <si>
    <t xml:space="preserve">Use the non-normal method on E-58 instead</t>
  </si>
  <si>
    <t xml:space="preserve">At least 30 individual readings</t>
  </si>
  <si>
    <t xml:space="preserve">Treat indices as provisional with fewer</t>
  </si>
  <si>
    <t xml:space="preserve">Potential capability (within-subgroup sigma, sigma_W):</t>
  </si>
  <si>
    <t xml:space="preserve">Cp  = (USL - LSL) / (6*sigma_W)          Cpk = MIN(USL - Xbar, Xbar - LSL) / (3*sigma_W) Actual/overall performance (overall sigma, sigma_O = plain STDEV of every individual reading):</t>
  </si>
  <si>
    <t xml:space="preserve">Pp  = (USL - LSL) / (6*sigma_O)          Ppk = MIN(USL - Xbar, Xbar - LSL) / (3*sigma_O) Capability centred on the target T rather than the midpoint of the spec (penalises being off-target even if centred between LSL/USL):</t>
  </si>
  <si>
    <t xml:space="preserve">Cpm = (USL - LSL) / (6*SQRT(sigma_W^2 + (Xbar - T)^2)) Sigma level and defect rate, from the overall sigma:</t>
  </si>
  <si>
    <t xml:space="preserve">Z(USL) = (USL - Xbar)/sigma_O          Z(LSL) = (Xbar - LSL)/sigma_O PPM(total) = (NORMSDIST(-Z(USL)) + NORMSDIST(-Z(LSL))) * 1,000,000</t>
  </si>
  <si>
    <t xml:space="preserve">STDEV(all readings)</t>
  </si>
  <si>
    <t xml:space="preserve">Overall sigma (Pp, Ppk, Z, PPM)</t>
  </si>
  <si>
    <t xml:space="preserve">MAX / MIN / MIN</t>
  </si>
  <si>
    <t xml:space="preserve">MIN(subgroup)-... </t>
  </si>
  <si>
    <t xml:space="preserve">Subgroup range, used to build the within-subgroup sigma</t>
  </si>
  <si>
    <t xml:space="preserve">NORMSDIST(-Z)</t>
  </si>
  <si>
    <t xml:space="preserve">One-sided tail probability converted to PPM</t>
  </si>
  <si>
    <t xml:space="preserve">Overwrite the yellow readings and spec limits with your own data. Subgroups here are consecutive groups of 5 for the within-sigma estimate.</t>
  </si>
  <si>
    <t xml:space="preserve">LSL (ml)</t>
  </si>
  <si>
    <t xml:space="preserve">Target (ml)</t>
  </si>
  <si>
    <t xml:space="preserve">USL (ml)</t>
  </si>
  <si>
    <t xml:space="preserve">Range</t>
  </si>
  <si>
    <t xml:space="preserve">Xbar (grand mean)</t>
  </si>
  <si>
    <t xml:space="preserve">Rbar (average subgroup range)</t>
  </si>
  <si>
    <t xml:space="preserve">sigma_W = Rbar / 2.326  (d2, n=5)</t>
  </si>
  <si>
    <t xml:space="preserve">sigma_O = STDEV of all 30 readings</t>
  </si>
  <si>
    <t xml:space="preserve">Cp = (USL-LSL)/(6*sigma_W)</t>
  </si>
  <si>
    <t xml:space="preserve">Cpk = MIN(USL-Xbar,Xbar-LSL)/(3*sigma_W)</t>
  </si>
  <si>
    <t xml:space="preserve">Pp = (USL-LSL)/(6*sigma_O)</t>
  </si>
  <si>
    <t xml:space="preserve">Ppk = MIN(USL-Xbar,Xbar-LSL)/(3*sigma_O)</t>
  </si>
  <si>
    <t xml:space="preserve">Cpm = (USL-LSL)/(6*SQRT(sigma_W^2+(Xbar-T)^2))</t>
  </si>
  <si>
    <t xml:space="preserve">Z(USL) = (USL-Xbar)/sigma_O</t>
  </si>
  <si>
    <t xml:space="preserve">Z(LSL) = (Xbar-LSL)/sigma_O</t>
  </si>
  <si>
    <t xml:space="preserve">Z-bench = MIN(Z(USL),Z(LSL))</t>
  </si>
  <si>
    <t xml:space="preserve">PPM (total, both tails)</t>
  </si>
  <si>
    <t xml:space="preserve">HISTOGRAM (10 bins spanning LSL-1 to USL+1)</t>
  </si>
  <si>
    <t xml:space="preserve">Bin low</t>
  </si>
  <si>
    <t xml:space="preserve">Bin high</t>
  </si>
  <si>
    <t xml:space="preserve">Frequency</t>
  </si>
  <si>
    <t xml:space="preserve">LSL marker</t>
  </si>
  <si>
    <t xml:space="preserve">USL marker</t>
  </si>
  <si>
    <t xml:space="preserve">Cpk</t>
  </si>
  <si>
    <t xml:space="preserve">≥ 1.33 capable, 1.0-1.33 marginal, &lt;1.0 not capable</t>
  </si>
  <si>
    <t xml:space="preserve">Common industry thresholds; some sectors (automotive) require 1.67</t>
  </si>
  <si>
    <t xml:space="preserve">Cpk vs Ppk gap</t>
  </si>
  <si>
    <t xml:space="preserve">Difference &gt; ~0.2</t>
  </si>
  <si>
    <t xml:space="preserve">Signals real between-subgroup variation a snapshot Cpk would hide</t>
  </si>
  <si>
    <t xml:space="preserve">Z-bench / PPM</t>
  </si>
  <si>
    <t xml:space="preserve">Higher Z, lower PPM is better</t>
  </si>
  <si>
    <t xml:space="preserve">Directly convertible to an expected defect rate at current performance</t>
  </si>
  <si>
    <t xml:space="preserve">•  Reporting Cpk from a process never shown to be stable on a control chart - the number is not meaningful without that.</t>
  </si>
  <si>
    <t xml:space="preserve">•  Reporting Cp/Cpk (within-subgroup) while quietly having a large Cpk-Ppk gap that signals instability.</t>
  </si>
  <si>
    <t xml:space="preserve">•  Using the normal-distribution formulas here on visibly skewed or attribute data - route to E-58 instead.</t>
  </si>
  <si>
    <t xml:space="preserve">•  Confusing Cpk (nearer limit only) with Cp (both limits, ignores centring) - a well-centred process can have Cp far above Cpk if it later drifts off target.</t>
  </si>
  <si>
    <t xml:space="preserve">Q1.  Cpk = 1.45 but Ppk = 0.95. What does that gap tell you?</t>
  </si>
  <si>
    <t xml:space="preserve">A1.  The process has real subgroup-to-subgroup variation (a shift, drift, or a difference between something like shifts or operators) that a within-subgroup snapshot does not see. The short-term potential is good, but the actual long-term performance customers experience is worse - investigate what is happening between subgroups, likely on a control chart.</t>
  </si>
  <si>
    <t xml:space="preserve">Q2.  Why does Cpm penalise a process that Cp would call perfectly capable?</t>
  </si>
  <si>
    <t xml:space="preserve">A2.  Cp only cares about total spread relative to the specification width, regardless of where the process is centred. Cpm's denominator adds (Xbar - Target)^2, so a process that is well within both limits but sitting off its target still gets a lower Cpm, reflecting the real cost of running off-target even inside spec.</t>
  </si>
  <si>
    <t xml:space="preserve">Q3.  Why must the process be shown stable (via a control chart) before this sheet's numbers mean anything?</t>
  </si>
  <si>
    <t xml:space="preserve">A3.  Capability indices assume the estimated sigma reflects the process's ongoing, predictable behaviour. If the process is not in control, the current data might not represent what happens next - the same numbers calculated from an unstable process describe only that one snapshot, not a dependable future capability.</t>
  </si>
  <si>
    <t xml:space="preserve">E-58 — Non-Normal and Attribute Capability, Z-bench</t>
  </si>
  <si>
    <t xml:space="preserve">Phase: MEASURE   |   Data required: Non-normal or attribute data   |   Min. sample: 30   |   Complexity: 4/5   |   Typical output: Z-bench, sigma level, PPM</t>
  </si>
  <si>
    <t xml:space="preserve">How capable is a visibly skewed measurement, or a simple pass/fail defect rate?</t>
  </si>
  <si>
    <t xml:space="preserve">The data fails normality (E-32), or there is no measurement at all - just a defect rate.</t>
  </si>
  <si>
    <t xml:space="preserve">A percentile-based capability index for skewed continuous data, and a Z-bench/sigma level for attribute defect rates.</t>
  </si>
  <si>
    <t xml:space="preserve">Cp/Cpk/Pp/Ppk on E-57 assume the data is roughly normal - they are built from a symmetric multiple of sigma around the mean. When the data is genuinely skewed (micro-stop durations, particle counts, time-to-repair), that symmetric assumption misrepresents the tails, understating risk on the long-tail side.</t>
  </si>
  <si>
    <t xml:space="preserve">The percentile method sidesteps the normal-curve assumption entirely: it reads the 0.135th, 50th and 99.865th percentiles directly off the empirical data - the same three points a normal curve would place at</t>
  </si>
  <si>
    <t xml:space="preserve">-3, 0 and +3 sigma, but without assuming the distribution's shape in between.</t>
  </si>
  <si>
    <t xml:space="preserve">When there is no measurement at all - only a classification of defective or not - capability collapses to a single number, the defect rate. Z-bench converts that rate into the same sigma-level currency used everywhere else, so a measured process and a pass/fail process can be compared on one scale.</t>
  </si>
  <si>
    <t xml:space="preserve">✓  A normality test on E-32 rejects normality and a transformation on E-33 does not fix it.</t>
  </si>
  <si>
    <t xml:space="preserve">✗  The data is reasonably normal: use the simpler, more familiar Cp/Cpk/Pp/Ppk on E-57.</t>
  </si>
  <si>
    <t xml:space="preserve">✓  Naturally skewed characteristics: time-based metrics, particle counts, defect counts.</t>
  </si>
  <si>
    <t xml:space="preserve">✗  A transformation (Box-Cox on E-33) makes the transformed data normal enough - transform and use E-57 on the transformed scale instead.</t>
  </si>
  <si>
    <t xml:space="preserve">✓  Reporting capability from a straight defect rate, with no underlying continuous measurement at all.</t>
  </si>
  <si>
    <t xml:space="preserve">Enough data for stable percentile estimates</t>
  </si>
  <si>
    <t xml:space="preserve">At least 30, ideally 100+, for the extreme 0.135/99.865 percentiles</t>
  </si>
  <si>
    <t xml:space="preserve">Treat percentile-based indices as rough with small samples</t>
  </si>
  <si>
    <t xml:space="preserve">Confirmed non-normal, not just 'looks skewed'</t>
  </si>
  <si>
    <t xml:space="preserve">Run the formal test on E-32 first</t>
  </si>
  <si>
    <t xml:space="preserve">Do not abandon the normal-theory indices without evidence</t>
  </si>
  <si>
    <t xml:space="preserve">Defect rate stable over the period measured</t>
  </si>
  <si>
    <t xml:space="preserve">Check a p-chart first (E-52)</t>
  </si>
  <si>
    <t xml:space="preserve">A Z-bench from an unstable rate is not meaningful</t>
  </si>
  <si>
    <t xml:space="preserve">Percentile method (one-sided example, upper spec only - e.g. a maximum allowed downtime duration):</t>
  </si>
  <si>
    <t xml:space="preserve">Ppu = (USL - P50) / (P99.865 - P50)          using the empirical 50th and 99.865th percentiles Two-sided form, for reference:   Pp = (USL-LSL)/(P99.865-P0.135)          Ppk = MIN(Ppu, Ppl) Attribute Z-bench, from a defect proportion p (no measurement, just pass/fail):</t>
  </si>
  <si>
    <t xml:space="preserve">   Z-bench = NORMSINV(1 - p)</t>
  </si>
  <si>
    <t xml:space="preserve">Six Sigma convention (short-term sigma level, applying the standard 1.5-sigma shift):</t>
  </si>
  <si>
    <t xml:space="preserve">   Sigma level (short-term) = Z-bench(long-term) + 1.5</t>
  </si>
  <si>
    <t xml:space="preserve">PERCENTILE</t>
  </si>
  <si>
    <t xml:space="preserve">PERCENTILE(range,0.99865)</t>
  </si>
  <si>
    <t xml:space="preserve">Empirical percentile, no normality assumption</t>
  </si>
  <si>
    <t xml:space="preserve">NORMSINV(1-p)</t>
  </si>
  <si>
    <t xml:space="preserve">Converts a defect proportion directly into a sigma level</t>
  </si>
  <si>
    <t xml:space="preserve">Overwrite the yellow readings and USL with your own skewed data.</t>
  </si>
  <si>
    <t xml:space="preserve">USL (s)</t>
  </si>
  <si>
    <t xml:space="preserve">Event</t>
  </si>
  <si>
    <t xml:space="preserve">Duration (s)</t>
  </si>
  <si>
    <t xml:space="preserve">P0.135 (empirical)</t>
  </si>
  <si>
    <t xml:space="preserve">P50 (median)</t>
  </si>
  <si>
    <t xml:space="preserve">P99.865 (empirical)</t>
  </si>
  <si>
    <t xml:space="preserve">Ppu = (USL - P50)/(P99.865 - P50)</t>
  </si>
  <si>
    <t xml:space="preserve">% of readings above USL (empirical)</t>
  </si>
  <si>
    <t xml:space="preserve">Ppu</t>
  </si>
  <si>
    <t xml:space="preserve">≥1.33 capable (same thresholds as Cpk)</t>
  </si>
  <si>
    <t xml:space="preserve">Interpreted the same way as Cpk/Ppk, just built from percentiles instead of sigma</t>
  </si>
  <si>
    <t xml:space="preserve">30 is a minimum; 100+ preferred</t>
  </si>
  <si>
    <t xml:space="preserve">The 99.865th percentile is a tail estimate and needs data to be stable</t>
  </si>
  <si>
    <t xml:space="preserve">Empirical check</t>
  </si>
  <si>
    <t xml:space="preserve">% of readings already above USL</t>
  </si>
  <si>
    <t xml:space="preserve">A direct sanity check independent of any distributional assumption</t>
  </si>
  <si>
    <t xml:space="preserve">•  Applying the normal-theory Cpk formula to visibly skewed data - it will misstate the tail risk, usually optimistically.</t>
  </si>
  <si>
    <t xml:space="preserve">•  Trusting an extreme percentile (99.865th) estimated from a small sample; it is the least stable statistic in the calculation.</t>
  </si>
  <si>
    <t xml:space="preserve">•  Forgetting this is one-sided (Ppu only) when there genuinely is no meaningful lower specification.</t>
  </si>
  <si>
    <t xml:space="preserve">•  Skipping the normality test on E-32 and assuming a distribution is skewed just by eye.</t>
  </si>
  <si>
    <t xml:space="preserve">PART B - Attribute capability from a defect proportion (no measurement, pass/fail only)</t>
  </si>
  <si>
    <t xml:space="preserve">Observed defect proportion p</t>
  </si>
  <si>
    <t xml:space="preserve">Z-bench (long-term) = NORMSINV(1-p)</t>
  </si>
  <si>
    <t xml:space="preserve">Sigma level (short-term, +1.5 shift)</t>
  </si>
  <si>
    <t xml:space="preserve">PPM</t>
  </si>
  <si>
    <t xml:space="preserve">Z-bench</t>
  </si>
  <si>
    <t xml:space="preserve">Higher is better; 6 sigma (short-term) ≈ 3.4 PPM</t>
  </si>
  <si>
    <t xml:space="preserve">A single comparable scale across measured and attribute processes</t>
  </si>
  <si>
    <t xml:space="preserve">1.5-sigma shift</t>
  </si>
  <si>
    <t xml:space="preserve">Six Sigma convention, not a law of nature</t>
  </si>
  <si>
    <t xml:space="preserve">Distinguishes long-term (no shift) from the commonly quoted short-term sigma level</t>
  </si>
  <si>
    <t xml:space="preserve">Defect rate stability</t>
  </si>
  <si>
    <t xml:space="preserve">Confirm on a p-chart (E-52) first</t>
  </si>
  <si>
    <t xml:space="preserve">A Z-bench computed from an unstable rate will not hold going forward</t>
  </si>
  <si>
    <t xml:space="preserve">•  Quoting a 'sigma level' without saying whether it includes the 1.5-sigma shift - the two numbers differ by a fixed 1.5 and are often confused.</t>
  </si>
  <si>
    <t xml:space="preserve">•  Computing Z-bench from a single period's defect rate without checking it is stable over time.</t>
  </si>
  <si>
    <t xml:space="preserve">•  Treating Z-bench as exactly comparable to Cpk-derived sigma levels without noting they come from different models (attribute vs continuous).</t>
  </si>
  <si>
    <t xml:space="preserve">Q1.  Why does the percentile method use the 0.135th and 99.865th percentiles specifically, rather than, say, the 1st and 99th?</t>
  </si>
  <si>
    <t xml:space="preserve">A1.  Those are exactly the percentiles a standard normal distribution places at -3 and +3 sigma. Using them keeps the percentile-based index on the same conceptual scale as Cpk/Ppk (which are built around ±3 sigma), while letting the empirical data - not a normal curve - determine where those percentiles actually fall.</t>
  </si>
  <si>
    <t xml:space="preserve">Q2.  A colleague reports 'we are running at 5 sigma'. What is the first clarifying question to ask?</t>
  </si>
  <si>
    <t xml:space="preserve">A2.  Whether that is the long-term Z-bench or the commonly quoted short-term figure that already includes the 1.5-sigma shift - a long-term 5 sigma and a shifted 5 sigma correspond to noticeably different actual defect rates.</t>
  </si>
  <si>
    <t xml:space="preserve">Q3.  Why is Z-bench from a defect proportion not simply 'the attribute version of Cpk'?</t>
  </si>
  <si>
    <t xml:space="preserve">A3.  Cpk is built from a continuous measurement's distance to a specification limit in units of its own standard deviation. Z-bench from an attribute rate works backwards from an observed proportion defective through the standard normal distribution - there is no underlying continuous measurement or spread being modelled at all, only the pass/fail outcome.</t>
  </si>
  <si>
    <t xml:space="preserve">E-59 — Gage R&amp;R: ANOVA and Range Methods</t>
  </si>
  <si>
    <t xml:space="preserve">Phase: MEASURE   |   Data required: 10 parts x 3 operators x 2 trials   |   Min. sample: 60   |   Complexity: 5/5   |   Typical output: %GRR, ndc and AIAG verdict</t>
  </si>
  <si>
    <t xml:space="preserve">How much of my measured variation is the gauge itself, versus the real parts?</t>
  </si>
  <si>
    <t xml:space="preserve">Before trusting any control chart or capability study - a noisy measurement system invalidates both.</t>
  </si>
  <si>
    <t xml:space="preserve">%GRR (of total variation and of tolerance), the number of distinct categories (ndc), and the AIAG verdict.</t>
  </si>
  <si>
    <t xml:space="preserve">Every measurement has two sources of variation mixed together: how different the parts really are, and how much the measurement process itself adds on top. Gage R&amp;R separates them using a crossed study: several parts, several operators, each measuring each part more than once.</t>
  </si>
  <si>
    <t xml:space="preserve">Repeatability (Equipment Variation, EV) is the spread you would see if the SAME operator measured the SAME part twice - pure equipment/method noise. Reproducibility (Appraiser Variation, AV, plus the part-by-operator interaction) is the extra spread that shows up BETWEEN operators - a training or technique difference, or an instrument that behaves differently in different hands.</t>
  </si>
  <si>
    <t xml:space="preserve">The ANOVA method (used here) is the AIAG-preferred approach because, unlike the older Range method, it can separate out the part-by-operator interaction - cases where one operator struggles specifically with certain parts (a hard-to-grip odd shape, for instance) rather than being uniformly biased.</t>
  </si>
  <si>
    <t xml:space="preserve">✓  Validating any measurement system before it is used for control charts (E-49 to E-56) or capability (E-57, E-58).</t>
  </si>
  <si>
    <t xml:space="preserve">✗  The characteristic is not measured at all (pass/fail only): use E-60's attribute agreement section instead.</t>
  </si>
  <si>
    <t xml:space="preserve">✓  Comparing operators, gauges, or methods when a measurement disagreement is suspected.</t>
  </si>
  <si>
    <t xml:space="preserve">✗  Only one operator or one trial is available: a full crossed study needs both to separate repeatability from reproducibility.</t>
  </si>
  <si>
    <t xml:space="preserve">✓  Any Black Belt exam question on %GRR, ndc, or the ANOVA vs Range method.</t>
  </si>
  <si>
    <t xml:space="preserve">Parts span the real process range</t>
  </si>
  <si>
    <t xml:space="preserve">Deliberately select parts across the full spread, not just convenient ones</t>
  </si>
  <si>
    <t xml:space="preserve">A narrow part range understates PV and inflates %GRR artificially</t>
  </si>
  <si>
    <t xml:space="preserve">Operators and trials genuinely blind to each other's readings</t>
  </si>
  <si>
    <t xml:space="preserve">Confirm the study protocol</t>
  </si>
  <si>
    <t xml:space="preserve">Re-run blind; operators anchoring on a remembered value bias EV downward</t>
  </si>
  <si>
    <t xml:space="preserve">At least 10 parts, 2-3 operators, 2-3 trials</t>
  </si>
  <si>
    <t xml:space="preserve">Standard AIAG minimum design</t>
  </si>
  <si>
    <t xml:space="preserve">Smaller designs make ndc and %GRR unstable</t>
  </si>
  <si>
    <t xml:space="preserve">Two-factor ANOVA (Part, Operator, crossed with interaction), mean squares from the ANOVA table:</t>
  </si>
  <si>
    <t xml:space="preserve">   EV (repeatability)     = SQRT(MSerror)</t>
  </si>
  <si>
    <t xml:space="preserve">AV (reproducibility)   = SQRT( MAX(0,(MSoperator - MSinteraction)/(n_parts*n_trials)) ) INT (part x operator)  = SQRT( MAX(0,(MSinteraction - MSerror)/n_trials) ) GRR = SQRT(EV^2 + AV^2 + INT^2)</t>
  </si>
  <si>
    <t xml:space="preserve">PV (part variation)    = SQRT( MAX(0,(MSpart - MSinteraction)/(n_operators*n_trials)) ) TV = SQRT(GRR^2 + PV^2)</t>
  </si>
  <si>
    <t xml:space="preserve">   %GRR (of TV)       = 100 * GRR / TV</t>
  </si>
  <si>
    <t xml:space="preserve">   %GRR (of tolerance) = 100 * 6*GRR / (USL-LSL)</t>
  </si>
  <si>
    <t xml:space="preserve">   ndc (distinct categories) = 1.41 * (PV/GRR)          rounded down to the nearest whole number</t>
  </si>
  <si>
    <t xml:space="preserve">SUMIF / DEVSQ</t>
  </si>
  <si>
    <t xml:space="preserve">6*DEVSQ(part_means)</t>
  </si>
  <si>
    <t xml:space="preserve">Sum of squares between parts, from the per-part means</t>
  </si>
  <si>
    <t xml:space="preserve">2*SUMSQ(interaction_residuals)</t>
  </si>
  <si>
    <t xml:space="preserve">Interaction sum of squares from the part x operator residuals</t>
  </si>
  <si>
    <t xml:space="preserve">MAX(0,(MS_a-MS_b)/n)</t>
  </si>
  <si>
    <t xml:space="preserve">Guards every variance component at zero - a negative estimate has no physical meaning</t>
  </si>
  <si>
    <t xml:space="preserve">Overwrite the yellow trial readings with your own study. Parts should span the real process range.</t>
  </si>
  <si>
    <t xml:space="preserve">Tolerance (USL-LSL, Nm)</t>
  </si>
  <si>
    <t xml:space="preserve">Part</t>
  </si>
  <si>
    <t xml:space="preserve">Operator</t>
  </si>
  <si>
    <t xml:space="preserve">Trial 1</t>
  </si>
  <si>
    <t xml:space="preserve">Trial 2</t>
  </si>
  <si>
    <t xml:space="preserve">Row sum</t>
  </si>
  <si>
    <t xml:space="preserve">Cell mean</t>
  </si>
  <si>
    <t xml:space="preserve">Grand mean</t>
  </si>
  <si>
    <t xml:space="preserve">Part mean</t>
  </si>
  <si>
    <t xml:space="preserve">Operator mean</t>
  </si>
  <si>
    <t xml:space="preserve">Part x Operator</t>
  </si>
  <si>
    <t xml:space="preserve">Repeatability (error)</t>
  </si>
  <si>
    <t xml:space="preserve">EV (repeatability, Nm)</t>
  </si>
  <si>
    <t xml:space="preserve">AV (reproducibility, Nm)</t>
  </si>
  <si>
    <t xml:space="preserve">INT (part x operator, Nm)</t>
  </si>
  <si>
    <t xml:space="preserve">GRR = SQRT(EV^2+AV^2+INT^2)</t>
  </si>
  <si>
    <t xml:space="preserve">PV (part variation, Nm)</t>
  </si>
  <si>
    <t xml:space="preserve">TV = SQRT(GRR^2+PV^2)</t>
  </si>
  <si>
    <t xml:space="preserve">%GRR of total variation</t>
  </si>
  <si>
    <t xml:space="preserve">%GRR of tolerance</t>
  </si>
  <si>
    <t xml:space="preserve">ndc = 1.41*(PV/GRR)</t>
  </si>
  <si>
    <t xml:space="preserve">Components for the chart: %Contribution to total variance</t>
  </si>
  <si>
    <t xml:space="preserve">Component</t>
  </si>
  <si>
    <t xml:space="preserve">%Contribution</t>
  </si>
  <si>
    <t xml:space="preserve">Repeatability (EV)</t>
  </si>
  <si>
    <t xml:space="preserve">Reproducibility (AV+INT)</t>
  </si>
  <si>
    <t xml:space="preserve">Total GRR</t>
  </si>
  <si>
    <t xml:space="preserve">Part-to-part (PV)</t>
  </si>
  <si>
    <t xml:space="preserve">&lt;10% good, 10-30% marginal, &gt;30% unacceptable</t>
  </si>
  <si>
    <t xml:space="preserve">The standard AIAG acceptance bands</t>
  </si>
  <si>
    <t xml:space="preserve">ndc</t>
  </si>
  <si>
    <t xml:space="preserve">≥ 5 desired</t>
  </si>
  <si>
    <t xml:space="preserve">Fewer distinct categories means the gauge cannot reliably tell parts apart</t>
  </si>
  <si>
    <t xml:space="preserve">Interaction (INT)</t>
  </si>
  <si>
    <t xml:space="preserve">Large INT relative to AV</t>
  </si>
  <si>
    <t xml:space="preserve">Points to specific parts giving specific operators trouble, not a uniform bias</t>
  </si>
  <si>
    <t xml:space="preserve">•  Reporting %GRR of total variation (TV) as if it were %GRR of tolerance - they answer different questions and are easily swapped by mistake.</t>
  </si>
  <si>
    <t xml:space="preserve">•  Running the study with a narrow part range, which shrinks PV and makes %GRR look artificially large.</t>
  </si>
  <si>
    <t xml:space="preserve">•  Skipping the interaction term (using the older, simpler Range method) when the AIAG-preferred ANOVA method is available and more informative.</t>
  </si>
  <si>
    <t xml:space="preserve">•  Treating a negative variance-component estimate as a real negative number rather than the artefact of sampling error it is - always floor it at zero, as the MAX(0,...) terms do here.</t>
  </si>
  <si>
    <t xml:space="preserve">Q1.  Why does the ANOVA method require guarding every variance component with MAX(0, ...)?</t>
  </si>
  <si>
    <t xml:space="preserve">A1.  Mean squares are sample estimates and can, by chance, come out in an order that implies a negative variance (for example MSoperator smaller than MSinteraction). Variance itself can never be negative, so any such estimate is treated as zero rather than reported as a nonsensical negative number.</t>
  </si>
  <si>
    <t xml:space="preserve">Q2.  %GRR of total variation is 18%, but %GRR of tolerance is only 7%. Which one should drive the accept/reject decision, and why?</t>
  </si>
  <si>
    <t xml:space="preserve">A2.  %GRR of tolerance, because it answers the operationally relevant question: can this gauge reliably tell whether a part is inside or outside the specification? %GRR of total variation depends on how much real part-to-part spread happened to be in this particular study, which can make the same gauge look better or worse depending on which parts were sampled.</t>
  </si>
  <si>
    <t xml:space="preserve">Q3.  The interaction term (part x operator) turns out larger than the operator main effect (AV). What does that suggest on the shop floor?</t>
  </si>
  <si>
    <t xml:space="preserve">A3.  It suggests specific operators struggle with specific parts - rather than one operator being uniformly biased high or low across everything - which points toward a training or fixturing issue with particular part geometries rather than a general recalibration of one operator's technique.</t>
  </si>
  <si>
    <t xml:space="preserve">E-60 — MSA: Bias, Linearity, Stability, Attribute Agreement</t>
  </si>
  <si>
    <t xml:space="preserve">Phase: MEASURE   |   Data required: Reference standards, repeat readings   |   Min. sample: 30   |   Complexity: 4/5   |   Typical output: Bias, linearity, stability, Cohen's Kappa</t>
  </si>
  <si>
    <t xml:space="preserve">Beyond repeatability and reproducibility, is my gauge accurate, linear, stable, and consistent between inspectors?</t>
  </si>
  <si>
    <t xml:space="preserve">Rounding out a measurement system study after Gage R&amp;R (E-59), or validating a pass/fail inspection instead of a measurement.</t>
  </si>
  <si>
    <t xml:space="preserve">Bias against a known reference, %Linearity across the range, a stability check, and Cohen's Kappa for attribute agreement.</t>
  </si>
  <si>
    <t xml:space="preserve">Gage R&amp;R (E-59) covers precision - how much the gauge scatters. It says nothing about ACCURACY: whether the gauge reads the true value on average. Bias, linearity and stability are the accuracy side of MSA.</t>
  </si>
  <si>
    <t xml:space="preserve">Bias is the average difference between repeated measurements of a known reference and its certified value.</t>
  </si>
  <si>
    <t xml:space="preserve">Linearity checks whether that bias stays constant across the operating range, or grows/shrinks - a gauge can be perfectly accurate at one point and badly biased at another. Stability asks whether bias, measured on the same reference, holds steady over calendar time.</t>
  </si>
  <si>
    <t xml:space="preserve">When there is no continuous measurement at all - just a pass/fail call - Gage R&amp;R does not apply. Attribute agreement analysis instead checks whether two inspectors (or the same inspector twice) reach the same verdict on the same units, using Cohen's Kappa to correct for the agreement that would happen by chance alone.</t>
  </si>
  <si>
    <t xml:space="preserve">✓  Completing an MSA study after Gage R&amp;R confirms acceptable precision, to check accuracy too.</t>
  </si>
  <si>
    <t xml:space="preserve">✗  Precision (Gage R&amp;R) has not yet been checked: fix that first on E-59 - a biased AND imprecise gauge needs both diagnoses.</t>
  </si>
  <si>
    <t xml:space="preserve">✓  New or recently repaired/calibrated gauges, before trusting them for control charts or capability.</t>
  </si>
  <si>
    <t xml:space="preserve">✗  No certified reference standard is available for bias/linearity: the study cannot proceed without one.</t>
  </si>
  <si>
    <t xml:space="preserve">✓  Attribute (pass/fail, go/no-go) inspection systems, where E-59's ANOVA method does not apply at all.</t>
  </si>
  <si>
    <t xml:space="preserve">A certified reference value is available</t>
  </si>
  <si>
    <t xml:space="preserve">Check the calibration certificate</t>
  </si>
  <si>
    <t xml:space="preserve">Cannot assess bias without a known true value</t>
  </si>
  <si>
    <t xml:space="preserve">References span the real operating range for linearity</t>
  </si>
  <si>
    <t xml:space="preserve">Compare chosen references to the process spread</t>
  </si>
  <si>
    <t xml:space="preserve">A narrow reference range cannot detect a real linearity problem</t>
  </si>
  <si>
    <t xml:space="preserve">Inspectors judge independently for attribute agreement</t>
  </si>
  <si>
    <t xml:space="preserve">Confirm the study protocol prevents inspectors seeing each other's calls</t>
  </si>
  <si>
    <t xml:space="preserve">Re-run blind; visible agreement inflates Kappa artificially</t>
  </si>
  <si>
    <t xml:space="preserve">Bias:   bias = mean(measurements) - reference value          t = bias / (s/SQRT(n))          df = n-1 Linearity: fit   bias_k = b0 + b1*Reference_k   across several reference standards k (least squares);</t>
  </si>
  <si>
    <t xml:space="preserve">   %Linearity = ABS(b1) * 100</t>
  </si>
  <si>
    <t xml:space="preserve">Attribute agreement, from a 2x2 contingency table of Inspector 1 vs Inspector 2 calls:</t>
  </si>
  <si>
    <t xml:space="preserve">   Po (observed agreement) = (agreements) / (total)</t>
  </si>
  <si>
    <t xml:space="preserve">Pe (chance agreement)   = SUM over categories of (row% * column%) Kappa = (Po - Pe) / (1 - Pe)</t>
  </si>
  <si>
    <t xml:space="preserve">AVERAGE / STDEV / TDIST</t>
  </si>
  <si>
    <t xml:space="preserve">bias/(s/SQRT(n))</t>
  </si>
  <si>
    <t xml:space="preserve">One-sample t-test of bias against zero</t>
  </si>
  <si>
    <t xml:space="preserve">SLOPE / INTERCEPT / RSQ</t>
  </si>
  <si>
    <t xml:space="preserve">SLOPE(bias_range,ref_range)</t>
  </si>
  <si>
    <t xml:space="preserve">Least-squares fit of bias against the reference value</t>
  </si>
  <si>
    <t xml:space="preserve">COUNTIFS(insp1,val1,insp2,val2)</t>
  </si>
  <si>
    <t xml:space="preserve">Builds the 2x2 agreement contingency table for Kappa</t>
  </si>
  <si>
    <t xml:space="preserve">Overwrite the yellow readings and reference value with your own study.</t>
  </si>
  <si>
    <t xml:space="preserve">Reference value (ml)</t>
  </si>
  <si>
    <t xml:space="preserve">Reading</t>
  </si>
  <si>
    <t xml:space="preserve">Value (ml)</t>
  </si>
  <si>
    <t xml:space="preserve">Bias = Mean - Reference</t>
  </si>
  <si>
    <t xml:space="preserve">StDev</t>
  </si>
  <si>
    <t xml:space="preserve">t = Bias/(StDev/SQRT(n))</t>
  </si>
  <si>
    <t xml:space="preserve">p-value (two-tailed, df=n-1)</t>
  </si>
  <si>
    <t xml:space="preserve">Bias significance</t>
  </si>
  <si>
    <t xml:space="preserve">Whether the average reading differs from the known true value</t>
  </si>
  <si>
    <t xml:space="preserve">Practical bias</t>
  </si>
  <si>
    <t xml:space="preserve">Compare |bias| to the tolerance</t>
  </si>
  <si>
    <t xml:space="preserve">A statistically significant bias can still be practically negligible</t>
  </si>
  <si>
    <t xml:space="preserve">n for the bias study</t>
  </si>
  <si>
    <t xml:space="preserve">10-15 readings typical</t>
  </si>
  <si>
    <t xml:space="preserve">More readings sharpen the t-test's power to detect a real bias</t>
  </si>
  <si>
    <t xml:space="preserve">•  Testing bias with too few readings and concluding 'no bias' when the study simply lacked power.</t>
  </si>
  <si>
    <t xml:space="preserve">•  Ignoring a statistically significant bias because it 'seems small', without comparing it to the tolerance.</t>
  </si>
  <si>
    <t xml:space="preserve">•  Using an uncertified or poorly-traceable reference value - the whole bias calculation depends on it being correct.</t>
  </si>
  <si>
    <t xml:space="preserve">PART B - LINEARITY: 5 reference standards across the range, 3 repeat readings each</t>
  </si>
  <si>
    <t xml:space="preserve">Reference (ml)</t>
  </si>
  <si>
    <t xml:space="preserve">Rep 1</t>
  </si>
  <si>
    <t xml:space="preserve">Rep 2</t>
  </si>
  <si>
    <t xml:space="preserve">Rep 3</t>
  </si>
  <si>
    <t xml:space="preserve">Bias</t>
  </si>
  <si>
    <t xml:space="preserve">Slope (bias vs reference)</t>
  </si>
  <si>
    <t xml:space="preserve">R-squared</t>
  </si>
  <si>
    <t xml:space="preserve">%Linearity = ABS(slope)*100</t>
  </si>
  <si>
    <t xml:space="preserve">%Linearity</t>
  </si>
  <si>
    <t xml:space="preserve">&lt;5% acceptable as a rule of thumb</t>
  </si>
  <si>
    <t xml:space="preserve">How much bias changes per unit of the reference range</t>
  </si>
  <si>
    <t xml:space="preserve">R-squared of the fit</t>
  </si>
  <si>
    <t xml:space="preserve">High R^2 means the trend is consistent, not noisy</t>
  </si>
  <si>
    <t xml:space="preserve">A low R^2 makes the %Linearity estimate itself unreliable</t>
  </si>
  <si>
    <t xml:space="preserve">Practical relevance</t>
  </si>
  <si>
    <t xml:space="preserve">Compare the bias AT THE OPERATING POINT, not just the average</t>
  </si>
  <si>
    <t xml:space="preserve">A gauge can be fine at the target and still fail linearity near a limit</t>
  </si>
  <si>
    <t xml:space="preserve">•  Testing bias at only one reference point and assuming it holds everywhere across the range.</t>
  </si>
  <si>
    <t xml:space="preserve">•  Reporting %Linearity from a fit with a low R^2, where the 'trend' may just be noise.</t>
  </si>
  <si>
    <t xml:space="preserve">•  Choosing reference standards clustered in the middle of the range, which cannot reveal a linearity problem at the extremes.</t>
  </si>
  <si>
    <t xml:space="preserve">PART C - STABILITY: same reference measured periodically over time (link to a control chart) Stability is tested by plotting the reference part's readings over calendar time on an I-MR chart exactly like E-49, and watching for the same out-of-control signals. Use E-49 directly, loading the reference part's periodic readings in place of the process data there.</t>
  </si>
  <si>
    <t xml:space="preserve">PART D - ATTRIBUTE AGREEMENT: 2 inspectors, 20 units, pass (1) / fail (0)</t>
  </si>
  <si>
    <t xml:space="preserve">Unit</t>
  </si>
  <si>
    <t xml:space="preserve">Inspector 1</t>
  </si>
  <si>
    <t xml:space="preserve">Inspector 2</t>
  </si>
  <si>
    <t xml:space="preserve">Agree?</t>
  </si>
  <si>
    <t xml:space="preserve">n11 (both pass)</t>
  </si>
  <si>
    <t xml:space="preserve">n10 (Insp1 pass, Insp2 fail)</t>
  </si>
  <si>
    <t xml:space="preserve">n01 (Insp1 fail, Insp2 pass)</t>
  </si>
  <si>
    <t xml:space="preserve">n00 (both fail)</t>
  </si>
  <si>
    <t xml:space="preserve">n (total)</t>
  </si>
  <si>
    <t xml:space="preserve">Po (observed agreement)</t>
  </si>
  <si>
    <t xml:space="preserve">Pe (chance agreement)</t>
  </si>
  <si>
    <t xml:space="preserve">Cohen's Kappa = (Po-Pe)/(1-Pe)</t>
  </si>
  <si>
    <t xml:space="preserve">Kappa</t>
  </si>
  <si>
    <t xml:space="preserve">≥0.75 excellent, 0.40-0.75 moderate, &lt;0.40 poor</t>
  </si>
  <si>
    <t xml:space="preserve">Corrects raw % agreement for the agreement expected by pure chance</t>
  </si>
  <si>
    <t xml:space="preserve">Raw % agreement vs Kappa</t>
  </si>
  <si>
    <t xml:space="preserve">Raw % is always ≥ Kappa-implied agreement</t>
  </si>
  <si>
    <t xml:space="preserve">Raw agreement alone overstates consistency, especially with an imbalanced pass/fail rate</t>
  </si>
  <si>
    <t xml:space="preserve">20 units is a minimum</t>
  </si>
  <si>
    <t xml:space="preserve">More units, and ideally a repeat read per inspector, sharpen the estimate</t>
  </si>
  <si>
    <t xml:space="preserve">•  Reporting raw percent agreement instead of Kappa - with a very imbalanced pass rate, high raw agreement can occur almost by chance alone.</t>
  </si>
  <si>
    <t xml:space="preserve">•  Letting inspectors see or discuss each other's calls during the study, which inflates agreement artificially.</t>
  </si>
  <si>
    <t xml:space="preserve">•  Skipping a check against the KNOWN true state (when available) - Kappa alone tells you inspectors agree with each other, not that either is right.</t>
  </si>
  <si>
    <t xml:space="preserve">•  Drawing conclusions from too few units, where a couple of disagreements swing Kappa dramatically.</t>
  </si>
  <si>
    <t xml:space="preserve">Q1.  A gauge shows no significant bias at the process target but fails the linearity check. What does that combination mean in practice?</t>
  </si>
  <si>
    <t xml:space="preserve">A1.  The gauge happens to be accurate right at the one point tested for bias, but its accuracy is not consistent across the range - it may read increasingly high or low as parts move away from that point. Trusting it at the extremes of the specification would be a mistake even though the single-point bias check looked fine.</t>
  </si>
  <si>
    <t xml:space="preserve">Q2.  Why is Cohen's Kappa preferred over simple percent agreement for attribute agreement analysis?</t>
  </si>
  <si>
    <t xml:space="preserve">A2.  Percent agreement does not account for the agreement that would happen purely by chance, which can be substantial when most units are of one type (mostly pass, for instance). Kappa subtracts out that chance agreement, giving a fairer picture of how much real, informative agreement exists between inspectors.</t>
  </si>
  <si>
    <t xml:space="preserve">Q3.  Why can't Gage R&amp;R's ANOVA method (E-59) be used for a pass/fail inspection system?</t>
  </si>
  <si>
    <t xml:space="preserve">A3.  ANOVA Gage R&amp;R needs a continuous measurement to partition into part, operator and error variance components. A pass/fail call has no such continuous scale - the right question is whether inspectors reach the same categorical verdict, which is exactly what attribute agreement analysis and Kappa are built to answer.</t>
  </si>
  <si>
    <t xml:space="preserve">L-01 — The Eight Wastes (DOWNTIME)</t>
  </si>
  <si>
    <t xml:space="preserve">Phase: ANALYZE   |   Data required: Direct process observation at the gemba   |   Min. sample: 1 full shift   |   Complexity: 1/5   |   Output: Ranked waste log with annual cost</t>
  </si>
  <si>
    <t xml:space="preserve">Where is the effort in this process being spent on something the customer would never pay for?</t>
  </si>
  <si>
    <t xml:space="preserve">At the start of any Lean diagnosis, and during a gemba walk, before you have data but after you have eyes on the line.</t>
  </si>
  <si>
    <t xml:space="preserve">A ranked list of the eight wastes with the minutes and the money each one costs per year.</t>
  </si>
  <si>
    <t xml:space="preserve">Lean splits every activity into three buckets: value-added (the customer would pay for it and it changes the product), business-value-added (the customer would not pay for it but you cannot legally or practically drop it — a safety check, a regulatory record), and pure waste.</t>
  </si>
  <si>
    <t xml:space="preserve">DOWNTIME is a memory aid for the eight classic wastes: Defects, Overproduction, Waiting, Non-utilised talent, Transport, Inventory, Motion, Extra processing.</t>
  </si>
  <si>
    <t xml:space="preserve">The eight labels are not the point. The point is that they force you to look at the same line from eight different angles, so you stop seeing only the waste you are used to seeing. On a packaging line, the waste everybody sees is downtime; the waste nobody sees is inventory and motion.</t>
  </si>
  <si>
    <t xml:space="preserve">Overproduction is treated as the worst waste because it manufactures the other seven: it creates inventory, which creates transport, which creates motion, which hides defects.</t>
  </si>
  <si>
    <t xml:space="preserve">✓  Opening a Lean assessment on a line or an area, before choosing a project.</t>
  </si>
  <si>
    <t xml:space="preserve">✗  You already know the problem is a single measurable characteristic out of spec: go statistical instead.</t>
  </si>
  <si>
    <t xml:space="preserve">✓  Structuring a gemba walk so observation is systematic rather than anecdotal.</t>
  </si>
  <si>
    <t xml:space="preserve">✗  The process is unstable and you need to know why before you know where: start with a control chart.</t>
  </si>
  <si>
    <t xml:space="preserve">✓  Converting subjective complaints into a monetary ranking a Champion can act on.</t>
  </si>
  <si>
    <t xml:space="preserve">✗  As a substitute for measurement. This sheet estimates; it does not replace timed data.</t>
  </si>
  <si>
    <t xml:space="preserve">✓  Building the waste list that feeds a Value Stream Map or a Kaizen event.</t>
  </si>
  <si>
    <t xml:space="preserve">Assumption / pre-condition</t>
  </si>
  <si>
    <t xml:space="preserve">Observation covers a representative period</t>
  </si>
  <si>
    <t xml:space="preserve">Walk at least one full shift, on more than one shift pattern</t>
  </si>
  <si>
    <t xml:space="preserve">Extend the observation; a single hour catches only the waste of that hour</t>
  </si>
  <si>
    <t xml:space="preserve">Cost per lost minute is agreed with Finance</t>
  </si>
  <si>
    <t xml:space="preserve">Confirm the contribution margin per minute of line time with Controlling</t>
  </si>
  <si>
    <t xml:space="preserve">Report minutes only, and leave the money column blank until it is agreed</t>
  </si>
  <si>
    <t xml:space="preserve">G-02  Business Case and COPQ</t>
  </si>
  <si>
    <t xml:space="preserve">Events and durations are estimated honestly</t>
  </si>
  <si>
    <t xml:space="preserve">Cross-check two or three lines against the downtime system or the shift log</t>
  </si>
  <si>
    <t xml:space="preserve">Replace estimates with recorded data before the ranking is used to fund anything</t>
  </si>
  <si>
    <t xml:space="preserve">H-05  Check Sheets</t>
  </si>
  <si>
    <t xml:space="preserve">The waste is inside your span of control</t>
  </si>
  <si>
    <t xml:space="preserve">Ask whether your team can change it without another department's budget</t>
  </si>
  <si>
    <t xml:space="preserve">Log it, but route it through the stakeholder and change process</t>
  </si>
  <si>
    <t xml:space="preserve">Minutes lost per shift      = events per shift  x  minutes lost per event Minutes lost per year       = minutes lost per shift  x  shifts worked per year Cost per year               = minutes lost per year  x  cost of one lost minute Share of total waste cost   = cost of this waste / total cost of all eight wastes</t>
  </si>
  <si>
    <t xml:space="preserve">Process Cycle Efficiency, the companion metric computed on L-06:</t>
  </si>
  <si>
    <t xml:space="preserve">   PCE = value-added time / total lead time.   World class for discrete packaging is roughly 25%.</t>
  </si>
  <si>
    <t xml:space="preserve">Note on the cost of a lost minute: for an 18,000 BPH line it is the contribution margin of the 18,000/60 = 300 bottles that minute would have produced, not the labour cost of the crew.</t>
  </si>
  <si>
    <t xml:space="preserve">RANK(value, range, 0)</t>
  </si>
  <si>
    <t xml:space="preserve">0 as third argument ranks largest first, so rank 1 is the worst waste</t>
  </si>
  <si>
    <t xml:space="preserve">LARGE(range, k)</t>
  </si>
  <si>
    <t xml:space="preserve">k-th largest value; used to compute the share of the top two wastes</t>
  </si>
  <si>
    <t xml:space="preserve">INDEX + MATCH</t>
  </si>
  <si>
    <t xml:space="preserve">INDEX(names, MATCH(MAX(costs), costs, 0))</t>
  </si>
  <si>
    <t xml:space="preserve">Returns the name of the waste holding the largest cost</t>
  </si>
  <si>
    <t xml:space="preserve">IFERROR(a/b, 0)</t>
  </si>
  <si>
    <t xml:space="preserve">Protects the percentage column while the table is still empty</t>
  </si>
  <si>
    <t xml:space="preserve">Total annual cost, used as the denominator of the share column</t>
  </si>
  <si>
    <t xml:space="preserve">Scenario: a two-week Lean assessment on the 18,000 BPH PET line. The team walked all four shifts with this sheet on a clipboard, logged what they saw, and priced it with the plant's cost per minute.</t>
  </si>
  <si>
    <t xml:space="preserve">Overwrite the yellow cells with your own observation. Everything green recalculates.</t>
  </si>
  <si>
    <t xml:space="preserve">Global inputs</t>
  </si>
  <si>
    <t xml:space="preserve">Global input</t>
  </si>
  <si>
    <t xml:space="preserve">Value</t>
  </si>
  <si>
    <t xml:space="preserve">Note</t>
  </si>
  <si>
    <t xml:space="preserve">Shifts worked per year</t>
  </si>
  <si>
    <t xml:space="preserve">shifts</t>
  </si>
  <si>
    <t xml:space="preserve">3 shifts/day x 365 days, 24/7 operation</t>
  </si>
  <si>
    <t xml:space="preserve">Cost of one lost minute</t>
  </si>
  <si>
    <t xml:space="preserve">USD/min</t>
  </si>
  <si>
    <t xml:space="preserve">Contribution margin lost per minute of stopped line</t>
  </si>
  <si>
    <t xml:space="preserve">DOWNTIME waste log — one line per waste, observed at the gemba</t>
  </si>
  <si>
    <t xml:space="preserve">Waste (DOWNTIME)</t>
  </si>
  <si>
    <t xml:space="preserve">What it looks like on the PET line</t>
  </si>
  <si>
    <t xml:space="preserve">Events per shift</t>
  </si>
  <si>
    <t xml:space="preserve">Minutes lost per event</t>
  </si>
  <si>
    <t xml:space="preserve">Minutes lost per shift</t>
  </si>
  <si>
    <t xml:space="preserve">Minutes lost per year</t>
  </si>
  <si>
    <t xml:space="preserve">Cost per year (USD)</t>
  </si>
  <si>
    <t xml:space="preserve">% of total waste cost</t>
  </si>
  <si>
    <t xml:space="preserve">D  Defects</t>
  </si>
  <si>
    <t xml:space="preserve">Bottles rejected by the Innocheck FBI and re-blown preforms</t>
  </si>
  <si>
    <t xml:space="preserve">O  Overproduction</t>
  </si>
  <si>
    <t xml:space="preserve">Filling ahead of the palletiser, product waiting on the conveyor</t>
  </si>
  <si>
    <t xml:space="preserve">W  Waiting</t>
  </si>
  <si>
    <t xml:space="preserve">Filler idle waiting for caps / labels / crew during shift change</t>
  </si>
  <si>
    <t xml:space="preserve">N  Non-utilised talent</t>
  </si>
  <si>
    <t xml:space="preserve">Operators not consulted on line settings they know best</t>
  </si>
  <si>
    <t xml:space="preserve">T  Transport</t>
  </si>
  <si>
    <t xml:space="preserve">Pallets moved twice between wrapper and warehouse</t>
  </si>
  <si>
    <t xml:space="preserve">I  Inventory</t>
  </si>
  <si>
    <t xml:space="preserve">Excess preforms and caps blocking the aisle at the blow moulder</t>
  </si>
  <si>
    <t xml:space="preserve">M  Motion</t>
  </si>
  <si>
    <t xml:space="preserve">Operator walking to fetch tools for a valve change</t>
  </si>
  <si>
    <t xml:space="preserve">E  Extra processing</t>
  </si>
  <si>
    <t xml:space="preserve">Manual re-inspection of pallets already checked in line</t>
  </si>
  <si>
    <t xml:space="preserve">TOTAL — all eight wastes</t>
  </si>
  <si>
    <t xml:space="preserve">Priority read-out</t>
  </si>
  <si>
    <t xml:space="preserve">Read-out</t>
  </si>
  <si>
    <t xml:space="preserve">Result</t>
  </si>
  <si>
    <t xml:space="preserve">Largest single waste</t>
  </si>
  <si>
    <t xml:space="preserve">Its annual cost (USD)</t>
  </si>
  <si>
    <t xml:space="preserve">Top 2 wastes as % of total waste cost</t>
  </si>
  <si>
    <t xml:space="preserve">Total waste cost per year (USD)</t>
  </si>
  <si>
    <t xml:space="preserve">Top waste share</t>
  </si>
  <si>
    <t xml:space="preserve">&gt; 30% of total waste cost</t>
  </si>
  <si>
    <t xml:space="preserve">One dominant waste: a focused Kaizen event is usually the right route</t>
  </si>
  <si>
    <t xml:space="preserve">Top two share</t>
  </si>
  <si>
    <t xml:space="preserve">&gt; 60% of total waste cost</t>
  </si>
  <si>
    <t xml:space="preserve">Pareto behaviour confirmed; scope the project on those two only</t>
  </si>
  <si>
    <t xml:space="preserve">Flat distribution</t>
  </si>
  <si>
    <t xml:space="preserve">No waste above ~20%</t>
  </si>
  <si>
    <t xml:space="preserve">Systemic problem, not a point problem: map the value stream before acting</t>
  </si>
  <si>
    <t xml:space="preserve">Annual cost of top waste</t>
  </si>
  <si>
    <t xml:space="preserve">&gt; the cost of the counter-measure</t>
  </si>
  <si>
    <t xml:space="preserve">Necessary condition before any investment is proposed</t>
  </si>
  <si>
    <t xml:space="preserve">•  Counting the same lost minute twice — a defect that stops the line is either a defect or waiting, not both.</t>
  </si>
  <si>
    <t xml:space="preserve">•  Pricing lost minutes at labour cost instead of lost contribution margin, which understates the waste by an order of magnitude.</t>
  </si>
  <si>
    <t xml:space="preserve">•  Treating the eight categories as a filing exercise and stopping at the label, without asking why the waste exists.</t>
  </si>
  <si>
    <t xml:space="preserve">•  Ignoring non-utilised talent because it is uncomfortable; it is often the largest and cheapest to fix.</t>
  </si>
  <si>
    <t xml:space="preserve">•  Attacking the waste that is easiest to see rather than the one this ranking puts first.</t>
  </si>
  <si>
    <t xml:space="preserve">Answer in your head, then select the cell in column N on the same row to reveal the answer (white text).</t>
  </si>
  <si>
    <t xml:space="preserve">Q1.  Why is overproduction called the worst of the eight wastes?</t>
  </si>
  <si>
    <t xml:space="preserve">A1.  Because it generates the other seven: producing early creates inventory, which needs transport and space, adds motion, delays the detection of defects, and consumes capacity that waiting then reveals.</t>
  </si>
  <si>
    <t xml:space="preserve">Q2.  A line stops for 6 minutes because the labeller ran out of labels. Which waste is it, and why does the label matter?</t>
  </si>
  <si>
    <t xml:space="preserve">A2.  Waiting. The label matters only because it points at the counter-measure: waiting caused by material supply is solved by a pull/kanban signal (L-19), whereas waiting caused by breakdown is solved by TPM (L-16).</t>
  </si>
  <si>
    <t xml:space="preserve">Q3.  Your ranking shows no waste above 15% of the total. What does that tell you?</t>
  </si>
  <si>
    <t xml:space="preserve">A3.  That there is no single point problem to attack. A flat distribution means the losses are systemic across the flow, so map the value stream (L-02) before committing to a Kaizen event.</t>
  </si>
  <si>
    <t xml:space="preserve">Alternative / if this is not the right tool</t>
  </si>
  <si>
    <t xml:space="preserve">L-02  Value Stream Map, Current State</t>
  </si>
  <si>
    <t xml:space="preserve">L-02 — Value Stream Map — Current State</t>
  </si>
  <si>
    <t xml:space="preserve">Phase: MEASURE   |   Data required: Cycle times, changeover times, uptime, inventory counts   |   Min. sample: One full pass of the stream   |   Complexity: 3/5   |   Output: Lead time, value-added time and PCE</t>
  </si>
  <si>
    <t xml:space="preserve">How long does material actually take to cross this value stream, and how little of that time adds value?</t>
  </si>
  <si>
    <t xml:space="preserve">Immediately after the project is chartered, before any solution is discussed, and always with your own feet on the floor.</t>
  </si>
  <si>
    <t xml:space="preserve">Production lead time, total process time and Process Cycle Efficiency, plus the location of the constraint and the inventory.</t>
  </si>
  <si>
    <t xml:space="preserve">A value stream map is not a process flowchart. A flowchart shows the sequence of activities; a value stream map shows the sequence of activities together with the material and information that sits between them, and the time each of those two things costs.</t>
  </si>
  <si>
    <t xml:space="preserve">The number the map exists to produce is the ratio between value-added time and total lead time. On most packaging streams the product is being worked on for seconds and waiting for days, so that ratio is a small percentage. Seeing that ratio written down is what makes improvement obvious.</t>
  </si>
  <si>
    <t xml:space="preserve">Inventory is converted to time by dividing it by the customer demand rate: 120,000 preforms in front of a machine that consumes 360,000 bottles a day is one third of a day of lead time, whatever it looks like in the aisle. This is Little's Law applied to the stream (see L-08).</t>
  </si>
  <si>
    <t xml:space="preserve">Map the door-to-door stream first. Only widen the boundary to suppliers and customers once the internal stream is understood, otherwise the map becomes a wall decoration rather than a working document.</t>
  </si>
  <si>
    <t xml:space="preserve">✓  Understanding flow across several process steps rather than inside one machine.</t>
  </si>
  <si>
    <t xml:space="preserve">✗  The scope is a single machine or a single parameter: use a process map (L-04) or go statistical.</t>
  </si>
  <si>
    <t xml:space="preserve">✓  Making inventory visible as time, and therefore as money and as risk.</t>
  </si>
  <si>
    <t xml:space="preserve">✗  The product mix is so varied that no representative family exists — define the family first.</t>
  </si>
  <si>
    <t xml:space="preserve">✓  Setting the baseline that the future state map (L-03) will be measured against.</t>
  </si>
  <si>
    <t xml:space="preserve">✗  You cannot walk the stream. A map built in a meeting room documents opinions, not flow.</t>
  </si>
  <si>
    <t xml:space="preserve">✓  Choosing where to place a pull system, a supermarket or a pacemaker process.</t>
  </si>
  <si>
    <t xml:space="preserve">A single product family has been defined</t>
  </si>
  <si>
    <t xml:space="preserve">Check that the selected products share broadly the same process steps and equipment</t>
  </si>
  <si>
    <t xml:space="preserve">Split the map by family; one map per family</t>
  </si>
  <si>
    <t xml:space="preserve">L-20  Heijunka (Level Loading)</t>
  </si>
  <si>
    <t xml:space="preserve">Cycle times are observed, not taken from the machine nameplate</t>
  </si>
  <si>
    <t xml:space="preserve">Time at least five cycles per process box with a stopwatch</t>
  </si>
  <si>
    <t xml:space="preserve">Re-time on the floor; nameplate rates ignore real losses</t>
  </si>
  <si>
    <t xml:space="preserve">L-14  Standard Work</t>
  </si>
  <si>
    <t xml:space="preserve">Inventory is counted at one moment in time</t>
  </si>
  <si>
    <t xml:space="preserve">Walk the stream once, in one direction, in one pass</t>
  </si>
  <si>
    <t xml:space="preserve">Repeat the count; averaging two passes taken days apart mixes two states</t>
  </si>
  <si>
    <t xml:space="preserve">L-08  Little's Law and WIP</t>
  </si>
  <si>
    <t xml:space="preserve">Demand used for takt is the real customer pull</t>
  </si>
  <si>
    <t xml:space="preserve">Take demand from dispatch, not from the production plan</t>
  </si>
  <si>
    <t xml:space="preserve">Recompute takt with dispatch data before designing the future state</t>
  </si>
  <si>
    <t xml:space="preserve">L-07  Takt, Cycle and Lead Time</t>
  </si>
  <si>
    <t xml:space="preserve">Takt time                = available working time per day / customer demand per day Inventory as time        = inventory quantity / customer demand rate            (Little's Law) Process time of a box    = cycle time x demand / seconds per day                (time the box is working) Production lead time PLT = sum of all inventory time  +  sum of all process time Value-added time VA      = sum of process time on boxes flagged as value-adding Process Cycle Efficiency = VA / PLT</t>
  </si>
  <si>
    <t xml:space="preserve">Rule of thumb: a discrete manufacturing stream at PCE below 5% is dominated by waiting, not by working.</t>
  </si>
  <si>
    <t xml:space="preserve">Improving the machines will therefore change almost nothing until the waiting is attacked.</t>
  </si>
  <si>
    <t xml:space="preserve">Totals for inventory, process time and changeover</t>
  </si>
  <si>
    <t xml:space="preserve">SUMIF</t>
  </si>
  <si>
    <t xml:space="preserve">SUMIF(flag, "YES", times)</t>
  </si>
  <si>
    <t xml:space="preserve">Adds process time only on the rows flagged as value-added</t>
  </si>
  <si>
    <t xml:space="preserve">INDEX(boxes, MATCH(MAX(ct), ct, 0))</t>
  </si>
  <si>
    <t xml:space="preserve">Names the process box holding the longest cycle time</t>
  </si>
  <si>
    <t xml:space="preserve">Keeps the map clean while rows are still empty</t>
  </si>
  <si>
    <t xml:space="preserve">Bottleneck cycle time</t>
  </si>
  <si>
    <t xml:space="preserve">Scenario: door-to-door map of the 500 ml PET family, from preform delivery at the Blomax to the pallet leaving the warehouse. Demand is 360,000 bottles a day; the stream runs 1,380 productive minutes a day.</t>
  </si>
  <si>
    <t xml:space="preserve">Overwrite the yellow cells with your own observation. The summary underneath recalculates.</t>
  </si>
  <si>
    <t xml:space="preserve">Customer demand and available time</t>
  </si>
  <si>
    <t xml:space="preserve">Customer demand</t>
  </si>
  <si>
    <t xml:space="preserve">bottles/day</t>
  </si>
  <si>
    <t xml:space="preserve">Average daily pull from the warehouse</t>
  </si>
  <si>
    <t xml:space="preserve">Working time available</t>
  </si>
  <si>
    <t xml:space="preserve">min/day</t>
  </si>
  <si>
    <t xml:space="preserve">3 shifts x 480 min minus 60 min planned stops</t>
  </si>
  <si>
    <t xml:space="preserve">Takt time</t>
  </si>
  <si>
    <t xml:space="preserve">sec/bottle</t>
  </si>
  <si>
    <t xml:space="preserve">Available seconds divided by demand</t>
  </si>
  <si>
    <t xml:space="preserve">Current state value stream — one row per process box, in flow order</t>
  </si>
  <si>
    <t xml:space="preserve">Process box</t>
  </si>
  <si>
    <t xml:space="preserve">Cycle time (sec/bottle)</t>
  </si>
  <si>
    <t xml:space="preserve">Changeover (min)</t>
  </si>
  <si>
    <t xml:space="preserve">Uptime (%)</t>
  </si>
  <si>
    <t xml:space="preserve">Inventory waiting BEFORE this box (bottles)</t>
  </si>
  <si>
    <t xml:space="preserve">Inventory as days of demand</t>
  </si>
  <si>
    <t xml:space="preserve">Effective cycle time with uptime (sec)</t>
  </si>
  <si>
    <t xml:space="preserve">Value-added?</t>
  </si>
  <si>
    <t xml:space="preserve">1  Blow moulding (Blomax)</t>
  </si>
  <si>
    <t xml:space="preserve">YES</t>
  </si>
  <si>
    <t xml:space="preserve">2  Filling (Innofil)</t>
  </si>
  <si>
    <t xml:space="preserve">3  Labelling (Innoket)</t>
  </si>
  <si>
    <t xml:space="preserve">4  Inspection (Innocheck FBI)</t>
  </si>
  <si>
    <t xml:space="preserve">NO</t>
  </si>
  <si>
    <t xml:space="preserve">5  Packing (Innopack)</t>
  </si>
  <si>
    <t xml:space="preserve">6  Palletising (Innopal)</t>
  </si>
  <si>
    <t xml:space="preserve">7  Wrapping (Robopac)</t>
  </si>
  <si>
    <t xml:space="preserve">8  Warehouse to dispatch</t>
  </si>
  <si>
    <t xml:space="preserve">Value stream summary</t>
  </si>
  <si>
    <t xml:space="preserve">How it is built</t>
  </si>
  <si>
    <t xml:space="preserve">Total inventory in the stream</t>
  </si>
  <si>
    <t xml:space="preserve">bottles</t>
  </si>
  <si>
    <t xml:space="preserve">Sum of the inventory column</t>
  </si>
  <si>
    <t xml:space="preserve">Inventory waiting time</t>
  </si>
  <si>
    <t xml:space="preserve">days</t>
  </si>
  <si>
    <t xml:space="preserve">Sum of inventory converted to days by Little's Law</t>
  </si>
  <si>
    <t xml:space="preserve">Total process time</t>
  </si>
  <si>
    <t xml:space="preserve">Sum of the cycle times — the time a bottle is actually worked on</t>
  </si>
  <si>
    <t xml:space="preserve">Value-added time</t>
  </si>
  <si>
    <t xml:space="preserve">Cycle time on the rows flagged YES</t>
  </si>
  <si>
    <t xml:space="preserve">Production lead time (PLT)</t>
  </si>
  <si>
    <t xml:space="preserve">Inventory days plus process time expressed in days</t>
  </si>
  <si>
    <t xml:space="preserve">Process Cycle Efficiency (PCE)</t>
  </si>
  <si>
    <t xml:space="preserve">Value-added seconds / lead time seconds</t>
  </si>
  <si>
    <t xml:space="preserve">Bottleneck effective cycle time</t>
  </si>
  <si>
    <t xml:space="preserve">Largest cycle time once uptime is taken into account</t>
  </si>
  <si>
    <t xml:space="preserve">Bottleneck process</t>
  </si>
  <si>
    <t xml:space="preserve">Process box holding that effective cycle time</t>
  </si>
  <si>
    <t xml:space="preserve">Total changeover time</t>
  </si>
  <si>
    <t xml:space="preserve">min</t>
  </si>
  <si>
    <t xml:space="preserve">Sum of the changeover column — the SMED target</t>
  </si>
  <si>
    <t xml:space="preserve">Process Cycle Efficiency</t>
  </si>
  <si>
    <t xml:space="preserve">Below ~0.1% in a stream carrying days of stock; the absolute value matters less than the direction</t>
  </si>
  <si>
    <t xml:space="preserve">Tells you whether to attack waiting or attack the machines. Compare only against your own earlier map</t>
  </si>
  <si>
    <t xml:space="preserve">Inventory days</t>
  </si>
  <si>
    <t xml:space="preserve">Any single point above ~0.5 day of demand</t>
  </si>
  <si>
    <t xml:space="preserve">That inventory is a candidate for a supermarket with a kanban limit</t>
  </si>
  <si>
    <t xml:space="preserve">Bottleneck effective CT vs takt</t>
  </si>
  <si>
    <t xml:space="preserve">Effective CT (cycle time / uptime) must be below takt</t>
  </si>
  <si>
    <t xml:space="preserve">If it is above takt, the stream cannot meet demand at any efficiency</t>
  </si>
  <si>
    <t xml:space="preserve">Compare against available time lost per day</t>
  </si>
  <si>
    <t xml:space="preserve">Sizes the SMED opportunity on L-15</t>
  </si>
  <si>
    <t xml:space="preserve">•  Drawing the map from the ERP system instead of walking it — the map then documents the plan, not reality.</t>
  </si>
  <si>
    <t xml:space="preserve">•  Mapping every product instead of one family, producing a diagram nobody can act on.</t>
  </si>
  <si>
    <t xml:space="preserve">•  Recording nameplate speeds as cycle times, which hides exactly the losses the map exists to expose.</t>
  </si>
  <si>
    <t xml:space="preserve">•  Forgetting the information flow: what triggers each process box is usually where the real problem lives.</t>
  </si>
  <si>
    <t xml:space="preserve">•  Treating the current state map as the deliverable. The deliverable is the future state and its action plan.</t>
  </si>
  <si>
    <t xml:space="preserve">Q1.  A bottle is worked on for 1.25 seconds and takes 2.1 days to cross the stream. Where should the project focus?</t>
  </si>
  <si>
    <t xml:space="preserve">A1.  On the waiting, not on the working. The bottle is idle for essentially all of its lead time, so cutting a machine cycle time by even 20% changes the lead time by almost nothing. Attack inventory, batch size and changeover first.</t>
  </si>
  <si>
    <t xml:space="preserve">Q2.  Why is inventory expressed in days rather than in units?</t>
  </si>
  <si>
    <t xml:space="preserve">A2.  Because days are directly comparable with lead time and with customer expectations, and because dividing by the demand rate (Little's Law) is the only way to compare an inventory of preforms with an inventory of pallets.</t>
  </si>
  <si>
    <t xml:space="preserve">Q3.  Both the filler and the palletiser have a cycle time below takt, yet the line misses demand. What is the map missing?</t>
  </si>
  <si>
    <t xml:space="preserve">A3.  Uptime and changeover. The effective cycle time is the observed cycle time divided by uptime, and every changeover consumes available time. A box at 0.20 s and 91% uptime behaves like 0.22 s.</t>
  </si>
  <si>
    <t xml:space="preserve">L-01  The Eight Wastes</t>
  </si>
  <si>
    <t xml:space="preserve">L-03  Value Stream Map, Future State</t>
  </si>
  <si>
    <t xml:space="preserve">L-04  Process Mapping and Swimlanes</t>
  </si>
  <si>
    <t xml:space="preserve">L-03 — Value Stream Map — Future State</t>
  </si>
  <si>
    <t xml:space="preserve">Phase: IMPROVE   |   Data required: Current state map plus the design decisions of the team   |   Min. sample: n/a   |   Complexity: 4/5   |   Output: Target lead time, target PCE and the kaizen action plan</t>
  </si>
  <si>
    <t xml:space="preserve">What should this value stream look like in six months, and what exactly has to change to get there?</t>
  </si>
  <si>
    <t xml:space="preserve">Straight after the current state map is agreed, in the same workshop, with the same people who walked the line.</t>
  </si>
  <si>
    <t xml:space="preserve">A quantified target condition and a numbered action plan with owners and dates.</t>
  </si>
  <si>
    <t xml:space="preserve">The future state map is a design, not a forecast. It answers a fixed list of questions: what is the takt, do we build to shipping or to a supermarket, where can we make continuous flow, where must we use a pull system, at which single point do we schedule (the pacemaker), how do we level the mix, and what process improvements are required for the design to be possible.</t>
  </si>
  <si>
    <t xml:space="preserve">Only one process in the stream should be scheduled. Everything upstream of the pacemaker pulls from the process after it; everything downstream flows. Scheduling every machine independently is the root cause of most of the inventory on the current state map.</t>
  </si>
  <si>
    <t xml:space="preserve">A future state map that does not carry owners and dates is a drawing. The kaizen bursts on the map are the project list, and each one should trace to a tool sheet in this workbook.</t>
  </si>
  <si>
    <t xml:space="preserve">Set the horizon at six to twelve months. Beyond that, the design is speculation; below that, the design is just a to-do list.</t>
  </si>
  <si>
    <t xml:space="preserve">✓  Designing the target condition after the current state is measured and agreed.</t>
  </si>
  <si>
    <t xml:space="preserve">✗  The current state has not been walked and measured — you would be designing against a guess.</t>
  </si>
  <si>
    <t xml:space="preserve">✓  Deciding where to place pull loops, supermarkets, FIFO lanes and the pacemaker.</t>
  </si>
  <si>
    <t xml:space="preserve">✗  The process is statistically unstable: stabilise first, then design flow.</t>
  </si>
  <si>
    <t xml:space="preserve">✓  Converting a Lean assessment into a funded, dated improvement plan.</t>
  </si>
  <si>
    <t xml:space="preserve">✗  As a wish list. Every burst on this map must have an owner who has accepted it.</t>
  </si>
  <si>
    <t xml:space="preserve">✓  Communicating one page of intent to a steering committee.</t>
  </si>
  <si>
    <t xml:space="preserve">The current state map is accurate and agreed</t>
  </si>
  <si>
    <t xml:space="preserve">Both maps built by the same team, from the same walk</t>
  </si>
  <si>
    <t xml:space="preserve">Re-walk the stream; a future state on a wrong baseline optimises the wrong thing</t>
  </si>
  <si>
    <t xml:space="preserve">L-02  VSM Current State</t>
  </si>
  <si>
    <t xml:space="preserve">Target cycle times are achievable at the constraint</t>
  </si>
  <si>
    <t xml:space="preserve">Compare every target cycle time against takt and against demonstrated best performance</t>
  </si>
  <si>
    <t xml:space="preserve">Re-set the target, or add a capacity action to the plan</t>
  </si>
  <si>
    <t xml:space="preserve">L-09  Theory of Constraints</t>
  </si>
  <si>
    <t xml:space="preserve">Changeover reductions are supported by a real SMED plan</t>
  </si>
  <si>
    <t xml:space="preserve">Each reduced changeover must reference a SMED analysis, not an aspiration</t>
  </si>
  <si>
    <t xml:space="preserve">Run the SMED workshop before committing the number</t>
  </si>
  <si>
    <t xml:space="preserve">The plan has owners with the authority to act</t>
  </si>
  <si>
    <t xml:space="preserve">Named owner per burst, confirmed in the room</t>
  </si>
  <si>
    <t xml:space="preserve">Escalate through the stakeholder map before the plan is published</t>
  </si>
  <si>
    <t xml:space="preserve">The arithmetic is identical to the current state map, applied to the target values:</t>
  </si>
  <si>
    <t xml:space="preserve">   Inventory as time  = target inventory / demand rate</t>
  </si>
  <si>
    <t xml:space="preserve">PLT (future)       = sum of target inventory time  +  sum of target process time PCE (future)       = value-added time / PLT (future)</t>
  </si>
  <si>
    <t xml:space="preserve">Improvement           = (current - future) / current</t>
  </si>
  <si>
    <t xml:space="preserve">Supermarket sizing, used when a pull loop replaces a schedule (detail on L-19):</t>
  </si>
  <si>
    <t xml:space="preserve">   Kanban quantity = demand rate x replenishment lead time x (1 + safety factor) / container size</t>
  </si>
  <si>
    <t xml:space="preserve">Pacemaker rule: schedule one process only. Upstream pulls, downstream flows.</t>
  </si>
  <si>
    <t xml:space="preserve">Quoted cross-sheet reference</t>
  </si>
  <si>
    <t xml:space="preserve">'L-02 VSM Current State'!$C$97</t>
  </si>
  <si>
    <t xml:space="preserve">Pulls the current state result, written after an equals sign; the quotes are mandatory because the sheet name contains spaces</t>
  </si>
  <si>
    <t xml:space="preserve">Future state totals</t>
  </si>
  <si>
    <t xml:space="preserve">DATEVALUE + TODAY</t>
  </si>
  <si>
    <t xml:space="preserve">IFERROR(DATEVALUE(text)-TODAY(),"")</t>
  </si>
  <si>
    <t xml:space="preserve">Days remaining to each target date, from a date typed as text</t>
  </si>
  <si>
    <t xml:space="preserve">Protects every percentage while the plan is still being filled in</t>
  </si>
  <si>
    <t xml:space="preserve">Scenario: the same 500 ml PET family. The team coupled the blower to the filler, halved the filler changeover with SMED, put labels on a kanban and made the filler the single scheduling point.</t>
  </si>
  <si>
    <t xml:space="preserve">Overwrite the yellow targets with your own design; the comparison table shows what the design is worth.</t>
  </si>
  <si>
    <t xml:space="preserve">Future state design — target condition for each process box</t>
  </si>
  <si>
    <t xml:space="preserve">Target cycle time (sec/bottle)</t>
  </si>
  <si>
    <t xml:space="preserve">Target changeover (min)</t>
  </si>
  <si>
    <t xml:space="preserve">Target inventory before box (bottles)</t>
  </si>
  <si>
    <t xml:space="preserve">Lean counter-measure applied</t>
  </si>
  <si>
    <t xml:space="preserve">Blow-fill coupled, buffer cut to 1 hour</t>
  </si>
  <si>
    <t xml:space="preserve">SMED on valve change (L-15)</t>
  </si>
  <si>
    <t xml:space="preserve">Label reel pre-staged, external setup</t>
  </si>
  <si>
    <t xml:space="preserve">Unchanged</t>
  </si>
  <si>
    <t xml:space="preserve">Standard work applied (L-14)</t>
  </si>
  <si>
    <t xml:space="preserve">Pattern change made external</t>
  </si>
  <si>
    <t xml:space="preserve">FIFO lane, stock halved by levelling</t>
  </si>
  <si>
    <t xml:space="preserve">Current state versus future state</t>
  </si>
  <si>
    <t xml:space="preserve">Current state (from L-02)</t>
  </si>
  <si>
    <t xml:space="preserve">Future state</t>
  </si>
  <si>
    <t xml:space="preserve">Improvement</t>
  </si>
  <si>
    <t xml:space="preserve">Production lead time</t>
  </si>
  <si>
    <t xml:space="preserve">Total inventory in stream</t>
  </si>
  <si>
    <t xml:space="preserve">Value-added time (unchanged by flow work)</t>
  </si>
  <si>
    <t xml:space="preserve">—</t>
  </si>
  <si>
    <t xml:space="preserve">PCE multiplied by</t>
  </si>
  <si>
    <t xml:space="preserve">Future state action plan — what has to happen for the design above to be real</t>
  </si>
  <si>
    <t xml:space="preserve">#</t>
  </si>
  <si>
    <t xml:space="preserve">Loop / kaizen burst</t>
  </si>
  <si>
    <t xml:space="preserve">Counter-measure</t>
  </si>
  <si>
    <t xml:space="preserve">Target date</t>
  </si>
  <si>
    <t xml:space="preserve">Status</t>
  </si>
  <si>
    <t xml:space="preserve">Days to target</t>
  </si>
  <si>
    <t xml:space="preserve">Blow-fill loop</t>
  </si>
  <si>
    <t xml:space="preserve">Couple blower and filler, cap the buffer at 1 hour of demand</t>
  </si>
  <si>
    <t xml:space="preserve">Process Engineer</t>
  </si>
  <si>
    <t xml:space="preserve">In progress</t>
  </si>
  <si>
    <t xml:space="preserve">2</t>
  </si>
  <si>
    <t xml:space="preserve">Filler changeover</t>
  </si>
  <si>
    <t xml:space="preserve">SMED workshop on valve and format change (L-15)</t>
  </si>
  <si>
    <t xml:space="preserve">Packaging Manager</t>
  </si>
  <si>
    <t xml:space="preserve">3</t>
  </si>
  <si>
    <t xml:space="preserve">Label supply loop</t>
  </si>
  <si>
    <t xml:space="preserve">Kanban signal for label reels, two-bin at line side (L-19)</t>
  </si>
  <si>
    <t xml:space="preserve">Materials Supervisor</t>
  </si>
  <si>
    <t xml:space="preserve">Not started</t>
  </si>
  <si>
    <t xml:space="preserve">4</t>
  </si>
  <si>
    <t xml:space="preserve">Pacemaker</t>
  </si>
  <si>
    <t xml:space="preserve">Schedule only the filler; everything upstream pulls</t>
  </si>
  <si>
    <t xml:space="preserve">Planner</t>
  </si>
  <si>
    <t xml:space="preserve">Levelling</t>
  </si>
  <si>
    <t xml:space="preserve">Level the weekly mix into a daily pitch (L-20)</t>
  </si>
  <si>
    <t xml:space="preserve">Plan completion</t>
  </si>
  <si>
    <t xml:space="preserve">Share of kaizen bursts marked Done in the Status column</t>
  </si>
  <si>
    <t xml:space="preserve">Lead time reduction</t>
  </si>
  <si>
    <t xml:space="preserve">A credible first future state cuts PLT by 30-50%</t>
  </si>
  <si>
    <t xml:space="preserve">Below 20% the design is timid; above 70% check the assumptions</t>
  </si>
  <si>
    <t xml:space="preserve">PCE improvement</t>
  </si>
  <si>
    <t xml:space="preserve">Should at least double</t>
  </si>
  <si>
    <t xml:space="preserve">If PCE barely moves, the design removed inventory but not waiting</t>
  </si>
  <si>
    <t xml:space="preserve">Number of scheduling points</t>
  </si>
  <si>
    <t xml:space="preserve">Exactly one (the pacemaker)</t>
  </si>
  <si>
    <t xml:space="preserve">More than one scheduling point rebuilds the inventory you just removed</t>
  </si>
  <si>
    <t xml:space="preserve">Actions with a named owner</t>
  </si>
  <si>
    <t xml:space="preserve">An unowned burst never happens</t>
  </si>
  <si>
    <t xml:space="preserve">•  Designing a future state that requires capital before exhausting the changes that require none.</t>
  </si>
  <si>
    <t xml:space="preserve">•  Leaving more than one scheduling point, which quietly re-creates the current state.</t>
  </si>
  <si>
    <t xml:space="preserve">•  Reducing inventory on paper without the pull rules and buffer sizing that make the reduction survivable.</t>
  </si>
  <si>
    <t xml:space="preserve">•  Promising changeover reductions that no SMED analysis supports.</t>
  </si>
  <si>
    <t xml:space="preserve">•  Publishing the map without dates, so the plan silently becomes optional.</t>
  </si>
  <si>
    <t xml:space="preserve">Q1.  Why should only one process in the stream be scheduled?</t>
  </si>
  <si>
    <t xml:space="preserve">A1.  Because every additional scheduling point lets two processes run to different signals, and the mismatch between them accumulates as inventory. One pacemaker plus pull upstream and flow downstream keeps the whole stream synchronised to one signal.</t>
  </si>
  <si>
    <t xml:space="preserve">Q2.  The future state halves the inventory but the lead time barely moves. What went wrong?</t>
  </si>
  <si>
    <t xml:space="preserve">A2.  The inventory removed was not the inventory holding the lead time. Most of the stream's waiting sits in one or two large queues — usually finished goods and the buffer in front of the constraint — so halving several small ones changes almost nothing. Attack the largest inventory days first.</t>
  </si>
  <si>
    <t xml:space="preserve">Q3.  What makes a kaizen burst on the map legitimate?</t>
  </si>
  <si>
    <t xml:space="preserve">A3.  A named owner, a date, and a specific counter-measure that traces to a method — SMED, kanban, standard work, TPM. A burst that says only 'improve changeover' is an aspiration, not a plan.</t>
  </si>
  <si>
    <t xml:space="preserve">L-21  Kaizen Event Planning</t>
  </si>
  <si>
    <t xml:space="preserve">L-04 — Process Mapping and Swimlane Flowcharts</t>
  </si>
  <si>
    <t xml:space="preserve">Phase: MEASURE   |   Data required: Step sequence, owner of each step, step and waiting times   |   Min. sample: One complete pass of the process   |   Complexity: 2/5   |   Output: Step-level map with PCE and handoff count</t>
  </si>
  <si>
    <t xml:space="preserve">What are the steps of this process, who owns each one, and where does the work sit still?</t>
  </si>
  <si>
    <t xml:space="preserve">Whenever the problem crosses departments, or when nobody in the room can agree on how the process actually runs.</t>
  </si>
  <si>
    <t xml:space="preserve">A step-level map with times, handoffs, rework loops and a Process Cycle Efficiency.</t>
  </si>
  <si>
    <t xml:space="preserve">A process map is the agreed version of how work actually happens. Its value comes less from the diagram than from the argument the team has while drawing it — that argument is where the undocumented rework loops and the informal workarounds surface.</t>
  </si>
  <si>
    <t xml:space="preserve">A swimlane map adds one thing an ordinary flowchart lacks: the owner of each step. As soon as ownership is visible, the handoffs become visible, and handoffs are where processes lose time, information and accountability. Counting handoffs is often more useful than timing steps.</t>
  </si>
  <si>
    <t xml:space="preserve">Classify every step as VA (the customer would pay for it and it transforms the product), BVA (required by law, safety or the business but not paid for) or NVA (pure waste). Do not argue too long about the boundary between VA and BVA; the NVA column is where the money is.</t>
  </si>
  <si>
    <t xml:space="preserve">Map the as-is, not the should-be. A map of the procedure is a map of what people were told to do.</t>
  </si>
  <si>
    <t xml:space="preserve">✓  The process crosses more than one department or shift and the handoffs are suspected.</t>
  </si>
  <si>
    <t xml:space="preserve">✗  The scope is a whole value stream with inventory between steps: use a VSM (L-02) instead.</t>
  </si>
  <si>
    <t xml:space="preserve">✓  Before a Kaizen event, to give the team a shared picture of the current process.</t>
  </si>
  <si>
    <t xml:space="preserve">✗  The problem is one machine parameter — go straight to data.</t>
  </si>
  <si>
    <t xml:space="preserve">✓  To locate where in a long process the measurements should be taken.</t>
  </si>
  <si>
    <t xml:space="preserve">✗  You only have the written procedure. Map with the people who do the work, or do not map at all.</t>
  </si>
  <si>
    <t xml:space="preserve">✓  To document a process for standard work, training or an audit.</t>
  </si>
  <si>
    <t xml:space="preserve">The map reflects what happens, not what is written</t>
  </si>
  <si>
    <t xml:space="preserve">Walk the process and ask the operator to narrate it</t>
  </si>
  <si>
    <t xml:space="preserve">Re-map at the gemba with the people who run it</t>
  </si>
  <si>
    <t xml:space="preserve">Every step has one identified owner</t>
  </si>
  <si>
    <t xml:space="preserve">Check that each row names a lane</t>
  </si>
  <si>
    <t xml:space="preserve">Resolve the ownership question first — it is usually the real finding</t>
  </si>
  <si>
    <t xml:space="preserve">Times are observed, not remembered</t>
  </si>
  <si>
    <t xml:space="preserve">Time at least three passes of each step</t>
  </si>
  <si>
    <t xml:space="preserve">Mark estimated rows clearly and re-time before using them in a business case</t>
  </si>
  <si>
    <t xml:space="preserve">Rework loops are drawn, not hidden</t>
  </si>
  <si>
    <t xml:space="preserve">Ask directly: what happens when this step fails?</t>
  </si>
  <si>
    <t xml:space="preserve">Add the loop; the hidden factory is usually the largest single waste</t>
  </si>
  <si>
    <t xml:space="preserve">Total elapsed time  = sum of step times  +  sum of waiting times Value-added time    = sum of step times on rows classified VA PCE                 = value-added time / total elapsed time Handoffs            = count of steps whose output passes to a different lane</t>
  </si>
  <si>
    <t xml:space="preserve">Three classifications, applied to every step:</t>
  </si>
  <si>
    <t xml:space="preserve">VA   the customer would pay for it AND it changes form, fit or function, AND it is done right first time BVA  it fails the test above but is required by law, safety, finance or the customer's own audit NVA  everything else — transport, waiting, searching, re-checking, re-entering, re-working</t>
  </si>
  <si>
    <t xml:space="preserve">Rule of thumb: each handoff adds a queue. Reducing handoffs usually beats speeding up steps.</t>
  </si>
  <si>
    <t xml:space="preserve">COUNTIF(range, "VA")</t>
  </si>
  <si>
    <t xml:space="preserve">Counts steps in each classification and counts handoffs</t>
  </si>
  <si>
    <t xml:space="preserve">SUMIF(type, "VA", time)</t>
  </si>
  <si>
    <t xml:space="preserve">Adds step time only on the value-added rows</t>
  </si>
  <si>
    <t xml:space="preserve">SUM with a mixed anchor</t>
  </si>
  <si>
    <t xml:space="preserve">SUM($E$60:E64)</t>
  </si>
  <si>
    <t xml:space="preserve">Running total: the start of the range is locked, the end moves with the row</t>
  </si>
  <si>
    <t xml:space="preserve">Number of steps actually filled in</t>
  </si>
  <si>
    <t xml:space="preserve">Keeps PCE clean while the map is still empty</t>
  </si>
  <si>
    <t xml:space="preserve">Scenario: the 500 ml to 1.5 L format changeover on the PET line, mapped across four lanes — Planning, Supervision, Operations, Maintenance and Quality — from the release of the order to the line being released.</t>
  </si>
  <si>
    <t xml:space="preserve">Overwrite the yellow cells. The read-out and the verdict recalculate.</t>
  </si>
  <si>
    <t xml:space="preserve">Swimlane process map — one row per step, in sequence</t>
  </si>
  <si>
    <t xml:space="preserve">Process step</t>
  </si>
  <si>
    <t xml:space="preserve">Lane (who does it)</t>
  </si>
  <si>
    <t xml:space="preserve">Type VA / BVA / NVA</t>
  </si>
  <si>
    <t xml:space="preserve">Step time (min)</t>
  </si>
  <si>
    <t xml:space="preserve">Waiting after the step (min)</t>
  </si>
  <si>
    <t xml:space="preserve">Handoff to another lane?</t>
  </si>
  <si>
    <t xml:space="preserve">Part of a rework loop?</t>
  </si>
  <si>
    <t xml:space="preserve">Elapsed time from start (min)</t>
  </si>
  <si>
    <t xml:space="preserve">1  Planner releases format change order</t>
  </si>
  <si>
    <t xml:space="preserve">Planning</t>
  </si>
  <si>
    <t xml:space="preserve">BVA</t>
  </si>
  <si>
    <t xml:space="preserve">2  Supervisor prints and hands over the order</t>
  </si>
  <si>
    <t xml:space="preserve">Supervision</t>
  </si>
  <si>
    <t xml:space="preserve">NVA</t>
  </si>
  <si>
    <t xml:space="preserve">3  Operator fetches change parts from the store</t>
  </si>
  <si>
    <t xml:space="preserve">Operations</t>
  </si>
  <si>
    <t xml:space="preserve">4  Operator drains and empties the filler bowl</t>
  </si>
  <si>
    <t xml:space="preserve">5  Operator changes filling valves and neck guides</t>
  </si>
  <si>
    <t xml:space="preserve">VA</t>
  </si>
  <si>
    <t xml:space="preserve">6  Operator changes labeller format set</t>
  </si>
  <si>
    <t xml:space="preserve">7  Technician adjusts blow moulder recipe</t>
  </si>
  <si>
    <t xml:space="preserve">Maintenance</t>
  </si>
  <si>
    <t xml:space="preserve">8  Start-up and first-article check</t>
  </si>
  <si>
    <t xml:space="preserve">Quality</t>
  </si>
  <si>
    <t xml:space="preserve">9  Adjust and repeat first article if rejected</t>
  </si>
  <si>
    <t xml:space="preserve">10  Quality releases the line</t>
  </si>
  <si>
    <t xml:space="preserve">Map read-out</t>
  </si>
  <si>
    <t xml:space="preserve">Steps mapped</t>
  </si>
  <si>
    <t xml:space="preserve">steps</t>
  </si>
  <si>
    <t xml:space="preserve">Total number of steps in the map</t>
  </si>
  <si>
    <t xml:space="preserve">Value-added steps</t>
  </si>
  <si>
    <t xml:space="preserve">Steps the customer would pay for</t>
  </si>
  <si>
    <t xml:space="preserve">Business-value-added steps</t>
  </si>
  <si>
    <t xml:space="preserve">Required, but not paid for by the customer</t>
  </si>
  <si>
    <t xml:space="preserve">Non-value-added steps</t>
  </si>
  <si>
    <t xml:space="preserve">Pure waste — the first candidates for elimination</t>
  </si>
  <si>
    <t xml:space="preserve">Total step time</t>
  </si>
  <si>
    <t xml:space="preserve">Time spent doing something</t>
  </si>
  <si>
    <t xml:space="preserve">Total waiting time</t>
  </si>
  <si>
    <t xml:space="preserve">Time spent doing nothing</t>
  </si>
  <si>
    <t xml:space="preserve">Total elapsed time</t>
  </si>
  <si>
    <t xml:space="preserve">What the clock on the wall says</t>
  </si>
  <si>
    <t xml:space="preserve">Step time on VA rows only</t>
  </si>
  <si>
    <t xml:space="preserve">Value-added time / total elapsed time</t>
  </si>
  <si>
    <t xml:space="preserve">Handoffs between lanes</t>
  </si>
  <si>
    <t xml:space="preserve">handoffs</t>
  </si>
  <si>
    <t xml:space="preserve">Each handoff is a queue and a chance to lose information</t>
  </si>
  <si>
    <t xml:space="preserve">Steps inside a rework loop</t>
  </si>
  <si>
    <t xml:space="preserve">Hidden factory — work done twice</t>
  </si>
  <si>
    <t xml:space="preserve">PCE of the mapped process</t>
  </si>
  <si>
    <t xml:space="preserve">Under 25% is normal in a cross-functional process</t>
  </si>
  <si>
    <t xml:space="preserve">Below 10%, the process is mostly waiting: attack the queues</t>
  </si>
  <si>
    <t xml:space="preserve">Handoffs</t>
  </si>
  <si>
    <t xml:space="preserve">Every handoff is a queue</t>
  </si>
  <si>
    <t xml:space="preserve">More than three handoffs in a short process is usually the main finding</t>
  </si>
  <si>
    <t xml:space="preserve">NVA step count</t>
  </si>
  <si>
    <t xml:space="preserve">Any NVA step is a candidate for elimination</t>
  </si>
  <si>
    <t xml:space="preserve">Eliminate before you automate or accelerate</t>
  </si>
  <si>
    <t xml:space="preserve">Rework loop</t>
  </si>
  <si>
    <t xml:space="preserve">Any loop at all</t>
  </si>
  <si>
    <t xml:space="preserve">Quantify it: the hidden factory is rarely in the official numbers</t>
  </si>
  <si>
    <t xml:space="preserve">•  Mapping the written procedure instead of the observed process, which produces a map that hides the problem.</t>
  </si>
  <si>
    <t xml:space="preserve">•  Drawing beautiful boxes and never adding time, so the map cannot prioritise anything.</t>
  </si>
  <si>
    <t xml:space="preserve">•  Forgetting the waiting between steps, which is usually far larger than the steps themselves.</t>
  </si>
  <si>
    <t xml:space="preserve">•  Letting the team spend an hour arguing whether a step is VA or BVA when it is clearly not NVA.</t>
  </si>
  <si>
    <t xml:space="preserve">•  Leaving rework loops off the map because they are considered exceptional — they rarely are.</t>
  </si>
  <si>
    <t xml:space="preserve">Q1.  Why does a swimlane map usually reveal more than a plain flowchart?</t>
  </si>
  <si>
    <t xml:space="preserve">A1.  Because it makes ownership explicit, and therefore makes handoffs visible. Handoffs are where queues form and where information is lost, so counting them often identifies the problem faster than timing the steps.</t>
  </si>
  <si>
    <t xml:space="preserve">Q2.  A step is required by the plant's food-safety system but the customer would never pay for it. How is it classified?</t>
  </si>
  <si>
    <t xml:space="preserve">A2.  BVA — business-value-added. It cannot be eliminated, but it can be streamlined, made faster, or moved off the critical path. NVA is reserved for work that could disappear entirely with no consequence.</t>
  </si>
  <si>
    <t xml:space="preserve">Q3.  The map shows 10 steps and 6 handoffs. What is the first improvement to consider?</t>
  </si>
  <si>
    <t xml:space="preserve">A3.  Reducing handoffs — by combining steps into one lane, or by removing approvals that add no decision. Six handoffs in ten steps means the process spends more time being passed around than being done.</t>
  </si>
  <si>
    <t xml:space="preserve">L-06  Value-Added Analysis</t>
  </si>
  <si>
    <t xml:space="preserve">L-05 — Spaghetti Diagram</t>
  </si>
  <si>
    <t xml:space="preserve">Phase: MEASURE   |   Data required: Observed movement: from, to, distance and frequency   |   Min. sample: One full shift of observation   |   Complexity: 1/5   |   Output: Distance, time and cost of movement, before and after</t>
  </si>
  <si>
    <t xml:space="preserve">How far does the operator actually walk in a shift, and what does that walking cost?</t>
  </si>
  <si>
    <t xml:space="preserve">When the crew looks busy but output is flat, and whenever a layout, a store or a tool location is being discussed.</t>
  </si>
  <si>
    <t xml:space="preserve">Metres walked per shift, the share of the shift it consumes, its annual cost, and the value of a proposed layout change.</t>
  </si>
  <si>
    <t xml:space="preserve">A spaghetti diagram is a drawing of the operator's path on a plan of the area, made by following one person for one shift with a pen. The name comes from what the drawing looks like afterwards.</t>
  </si>
  <si>
    <t xml:space="preserve">Motion is one of the eight wastes, and it is the one that is invisible to everyone except the person doing it, because walking looks like work. Converting the path into metres, then into minutes, then into money is what turns 'the store is a bit far' into a funded layout change.</t>
  </si>
  <si>
    <t xml:space="preserve">The tool measures the layout, not the operator. The right conclusion is almost never 'walk faster'; it is 'put what is used every ten minutes within ten steps'.</t>
  </si>
  <si>
    <t xml:space="preserve">Do the same exercise for material as well as for people. On a packaging line the film, the caps and the labels usually travel further than the crew.</t>
  </si>
  <si>
    <t xml:space="preserve">✓  Designing or challenging a layout, a tool board, a store location or a line-side supermarket.</t>
  </si>
  <si>
    <t xml:space="preserve">✗  The operator is stationary and the loss is machine downtime — go to L-11 and L-16.</t>
  </si>
  <si>
    <t xml:space="preserve">✓  Preparing a 5S exercise, where the diagram gives the 'set in order' step its target.</t>
  </si>
  <si>
    <t xml:space="preserve">✗  The distance is trivial and the real loss is waiting for material — go to L-19.</t>
  </si>
  <si>
    <t xml:space="preserve">✓  Quantifying the motion waste identified on L-01 so it can compete for funding.</t>
  </si>
  <si>
    <t xml:space="preserve">✗  As a performance measure for an individual. This measures the layout, and using it otherwise destroys trust.</t>
  </si>
  <si>
    <t xml:space="preserve">✓  Comparing the same job across shifts, where the path differs but the layout does not.</t>
  </si>
  <si>
    <t xml:space="preserve">The observation covers a representative shift</t>
  </si>
  <si>
    <t xml:space="preserve">Observe a normal production shift, not a changeover or a breakdown</t>
  </si>
  <si>
    <t xml:space="preserve">Repeat on a second shift and compare before acting</t>
  </si>
  <si>
    <t xml:space="preserve">Distances are measured, not paced</t>
  </si>
  <si>
    <t xml:space="preserve">Measure once with a wheel or from the plant drawing</t>
  </si>
  <si>
    <t xml:space="preserve">Correct the distances; the whole result scales linearly with them</t>
  </si>
  <si>
    <t xml:space="preserve">Trip frequency counts every trip, including short ones</t>
  </si>
  <si>
    <t xml:space="preserve">Tally with a counter, not from memory</t>
  </si>
  <si>
    <t xml:space="preserve">Re-observe; short frequent trips usually dominate the total</t>
  </si>
  <si>
    <t xml:space="preserve">The operator understands why the observation is happening</t>
  </si>
  <si>
    <t xml:space="preserve">Explain the purpose before starting</t>
  </si>
  <si>
    <t xml:space="preserve">Stop. Data collected without consent will be wrong and will cost you the team</t>
  </si>
  <si>
    <t xml:space="preserve">G-06  Change Management</t>
  </si>
  <si>
    <t xml:space="preserve">Metres per shift        = distance of the leg  x  trips per shift Walking time per shift  = metres per shift / walking speed (m/s) / 60 Share of the shift      = walking minutes / shift minutes Kilometres per year     = metres per shift x shifts per year / 1000 Cost of walking         = walking hours per year  x  fully loaded labour rate</t>
  </si>
  <si>
    <t xml:space="preserve">For the 'after' case the same arithmetic is applied to the proposed distances:</t>
  </si>
  <si>
    <t xml:space="preserve">   metres after = SUMPRODUCT(distance after, trips per shift)</t>
  </si>
  <si>
    <t xml:space="preserve">Normal walking speed is about 1.2 m/s (4.3 km/h). In a congested line aisle, use 1.0 m/s.</t>
  </si>
  <si>
    <t xml:space="preserve">SUMPRODUCT(distance_after, trips)</t>
  </si>
  <si>
    <t xml:space="preserve">Multiplies two columns row by row and adds the result in one cell</t>
  </si>
  <si>
    <t xml:space="preserve">Absolute reference</t>
  </si>
  <si>
    <t xml:space="preserve">$C$62</t>
  </si>
  <si>
    <t xml:space="preserve">Locks the global inputs so the formula can be copied down</t>
  </si>
  <si>
    <t xml:space="preserve">Protects every division while the log is still empty</t>
  </si>
  <si>
    <t xml:space="preserve">Totals for distance and time</t>
  </si>
  <si>
    <t xml:space="preserve">Scenario: one filler operator followed for a full shift on the PET line. Every trip away from the platform was tallied and every distance measured on the plant drawing. The last column holds the distances that would apply after moving the tool cabinet, the cap hopper and the film store line-side.</t>
  </si>
  <si>
    <t xml:space="preserve">Walking speed</t>
  </si>
  <si>
    <t xml:space="preserve">m/s</t>
  </si>
  <si>
    <t xml:space="preserve">Normal unobstructed walking speed of an adult</t>
  </si>
  <si>
    <t xml:space="preserve">Shift length</t>
  </si>
  <si>
    <t xml:space="preserve">One shift</t>
  </si>
  <si>
    <t xml:space="preserve">Shifts per year</t>
  </si>
  <si>
    <t xml:space="preserve">3 shifts/day x 365 days</t>
  </si>
  <si>
    <t xml:space="preserve">Fully loaded labour cost</t>
  </si>
  <si>
    <t xml:space="preserve">USD/h</t>
  </si>
  <si>
    <t xml:space="preserve">Used to price the walking time</t>
  </si>
  <si>
    <t xml:space="preserve">Movement log — one row per leg of travel observed during the shift</t>
  </si>
  <si>
    <t xml:space="preserve">Leg of travel</t>
  </si>
  <si>
    <t xml:space="preserve">From</t>
  </si>
  <si>
    <t xml:space="preserve">To</t>
  </si>
  <si>
    <t xml:space="preserve">Distance one way (m)</t>
  </si>
  <si>
    <t xml:space="preserve">Trips per shift</t>
  </si>
  <si>
    <t xml:space="preserve">Metres walked per shift</t>
  </si>
  <si>
    <t xml:space="preserve">Walking time per shift (min)</t>
  </si>
  <si>
    <t xml:space="preserve">% of the shift</t>
  </si>
  <si>
    <t xml:space="preserve">Distance AFTER the layout change (m)</t>
  </si>
  <si>
    <t xml:space="preserve">Filler → tool cabinet</t>
  </si>
  <si>
    <t xml:space="preserve">Filler platform</t>
  </si>
  <si>
    <t xml:space="preserve">Tool cabinet</t>
  </si>
  <si>
    <t xml:space="preserve">Filler → cap hopper</t>
  </si>
  <si>
    <t xml:space="preserve">Cap hopper</t>
  </si>
  <si>
    <t xml:space="preserve">Labeller → label store</t>
  </si>
  <si>
    <t xml:space="preserve">Labeller</t>
  </si>
  <si>
    <t xml:space="preserve">Label store</t>
  </si>
  <si>
    <t xml:space="preserve">Line → quality lab</t>
  </si>
  <si>
    <t xml:space="preserve">Line centre</t>
  </si>
  <si>
    <t xml:space="preserve">QA lab</t>
  </si>
  <si>
    <t xml:space="preserve">Line → supervisor office</t>
  </si>
  <si>
    <t xml:space="preserve">Office</t>
  </si>
  <si>
    <t xml:space="preserve">Palletiser → wrap film store</t>
  </si>
  <si>
    <t xml:space="preserve">Palletiser</t>
  </si>
  <si>
    <t xml:space="preserve">Film store</t>
  </si>
  <si>
    <t xml:space="preserve">Line → waste compactor</t>
  </si>
  <si>
    <t xml:space="preserve">Compactor</t>
  </si>
  <si>
    <t xml:space="preserve">Line → spare parts store</t>
  </si>
  <si>
    <t xml:space="preserve">Spares store</t>
  </si>
  <si>
    <t xml:space="preserve">Read-out — before and after the layout change</t>
  </si>
  <si>
    <t xml:space="preserve">Before</t>
  </si>
  <si>
    <t xml:space="preserve">After</t>
  </si>
  <si>
    <t xml:space="preserve">Saving</t>
  </si>
  <si>
    <t xml:space="preserve">Distance walked per shift</t>
  </si>
  <si>
    <t xml:space="preserve">m</t>
  </si>
  <si>
    <t xml:space="preserve">Distance walked per year</t>
  </si>
  <si>
    <t xml:space="preserve">km</t>
  </si>
  <si>
    <t xml:space="preserve">Walking time per shift</t>
  </si>
  <si>
    <t xml:space="preserve">Share of the shift spent walking</t>
  </si>
  <si>
    <t xml:space="preserve">Labour cost of walking per year</t>
  </si>
  <si>
    <t xml:space="preserve">USD</t>
  </si>
  <si>
    <t xml:space="preserve">Share of shift spent walking</t>
  </si>
  <si>
    <t xml:space="preserve">&gt; 10% is a layout problem</t>
  </si>
  <si>
    <t xml:space="preserve">Above this, no amount of operator effort will recover the time</t>
  </si>
  <si>
    <t xml:space="preserve">Longest single leg</t>
  </si>
  <si>
    <t xml:space="preserve">Any leg over ~50 m used more than 5 times a shift</t>
  </si>
  <si>
    <t xml:space="preserve">First candidate to relocate line-side</t>
  </si>
  <si>
    <t xml:space="preserve">Trips per shift to one destination</t>
  </si>
  <si>
    <t xml:space="preserve">&gt; 10</t>
  </si>
  <si>
    <t xml:space="preserve">Frequency beats distance: relocate the frequent, not the far</t>
  </si>
  <si>
    <t xml:space="preserve">Annual cost of walking</t>
  </si>
  <si>
    <t xml:space="preserve">Compare against the cost of moving the item</t>
  </si>
  <si>
    <t xml:space="preserve">Most line-side relocations pay back in weeks</t>
  </si>
  <si>
    <t xml:space="preserve">•  Drawing the diagram without measuring the distances, which produces a picture but no business case.</t>
  </si>
  <si>
    <t xml:space="preserve">•  Counting only the long trips and ignoring the frequent short ones, which usually dominate the total.</t>
  </si>
  <si>
    <t xml:space="preserve">•  Using the diagram to judge the operator rather than the layout.</t>
  </si>
  <si>
    <t xml:space="preserve">•  Improving one operator's path and pushing the walking onto someone else's.</t>
  </si>
  <si>
    <t xml:space="preserve">•  Forgetting material movement, which on a packaging line is often larger than people movement.</t>
  </si>
  <si>
    <t xml:space="preserve">Q1.  Why is trip frequency usually more important than trip distance?</t>
  </si>
  <si>
    <t xml:space="preserve">A1.  Because total distance is the product of the two, and a 20 m trip made 18 times a shift (360 m) beats a 120 m trip made 3 times (360 m) in terms of interruption — the short frequent trip also breaks the work cycle every few minutes, which costs more than the metres suggest.</t>
  </si>
  <si>
    <t xml:space="preserve">Q2.  The diagram shows 14% of the shift spent walking. Is that an operator problem?</t>
  </si>
  <si>
    <t xml:space="preserve">A2.  No. It is a layout problem. The correct counter-measures are relocating what is fetched most often, line-side storage, tool shadow boards at the point of use, and kitting — not asking anyone to walk faster.</t>
  </si>
  <si>
    <t xml:space="preserve">Q3.  How does this sheet connect to 5S?</t>
  </si>
  <si>
    <t xml:space="preserve">A3.  It gives the 'set in order' step (the second S) a measurable target. 5S without a spaghetti diagram tends to tidy things where they already are; with one, it puts them where they are used.</t>
  </si>
  <si>
    <t xml:space="preserve">L-06 — Value-Added / Non-Value-Added Analysis</t>
  </si>
  <si>
    <t xml:space="preserve">Phase: ANALYZE   |   Data required: Step list with observed times   |   Min. sample: One complete pass of the process   |   Complexity: 2/5   |   Output: VA / BVA / NVA split, PCE and the time released by removing waste</t>
  </si>
  <si>
    <t xml:space="preserve">Of all the time this process consumes, how much of it would the customer actually pay for?</t>
  </si>
  <si>
    <t xml:space="preserve">After the process is mapped and timed, when the team needs to decide what to attack rather than what to admire.</t>
  </si>
  <si>
    <t xml:space="preserve">The split of time between value-added, business-value-added and pure waste, and the size of the prize.</t>
  </si>
  <si>
    <t xml:space="preserve">Every step in every process belongs to one of three categories. Value-added work changes the product in a way the customer would pay for, and is done right the first time. Business-value-added work fails that test but cannot simply be dropped — a legal record, a safety lock-out, a food-safety inspection.</t>
  </si>
  <si>
    <t xml:space="preserve">Everything else is non-value-added: transport, waiting, searching, checking, correcting, re-entering.</t>
  </si>
  <si>
    <t xml:space="preserve">The three-question test is what keeps the classification honest: would the customer pay for it, does it change form, fit or function, and is it done right the first time. A step that fails the third question is rework, and rework is never value-added no matter how skilfully it is performed.</t>
  </si>
  <si>
    <t xml:space="preserve">The categories imply different actions, and confusing them is the classic error. Value-added work is made faster and more repeatable but never removed. Business-value-added work is streamlined or moved off the critical path. Only non-value-added work is eliminated.</t>
  </si>
  <si>
    <t xml:space="preserve">In most first analyses the NVA share is between 30% and 60% of process time, and almost all of it can be removed without any capital at all.</t>
  </si>
  <si>
    <t xml:space="preserve">✓  Deciding where to focus after a process map or a changeover study.</t>
  </si>
  <si>
    <t xml:space="preserve">✗  The step times are guessed. The whole output is a time split, so guessed input gives a guessed answer.</t>
  </si>
  <si>
    <t xml:space="preserve">✓  Sizing the prize before a Kaizen event, so the team commits to a number.</t>
  </si>
  <si>
    <t xml:space="preserve">✗  The process is not yet stable or not yet defined — define it first (L-04).</t>
  </si>
  <si>
    <t xml:space="preserve">✓  Separating 'we must do this' from 'we have always done this'.</t>
  </si>
  <si>
    <t xml:space="preserve">✗  The question is about quality, not about time. Use a Pareto (H-06) instead.</t>
  </si>
  <si>
    <t xml:space="preserve">✓  Preparing a SMED analysis, where the same classification is applied to internal and external work.</t>
  </si>
  <si>
    <t xml:space="preserve">Times are observed on the floor</t>
  </si>
  <si>
    <t xml:space="preserve">At least three timed passes of each step</t>
  </si>
  <si>
    <t xml:space="preserve">Re-time. This analysis is only as good as its stopwatch</t>
  </si>
  <si>
    <t xml:space="preserve">Classification is agreed by the team, not by one person</t>
  </si>
  <si>
    <t xml:space="preserve">Do the classification in the room, out loud</t>
  </si>
  <si>
    <t xml:space="preserve">Re-run the classification with the operators present</t>
  </si>
  <si>
    <t xml:space="preserve">L-21  Kaizen Event</t>
  </si>
  <si>
    <t xml:space="preserve">Rework steps are declared</t>
  </si>
  <si>
    <t xml:space="preserve">Ask what happens when the step fails, and count that time</t>
  </si>
  <si>
    <t xml:space="preserve">Add the loop; hidden rework invalidates the split</t>
  </si>
  <si>
    <t xml:space="preserve">The process boundary is fixed</t>
  </si>
  <si>
    <t xml:space="preserve">Agree the first and last step before timing anything</t>
  </si>
  <si>
    <t xml:space="preserve">Re-set the boundary; a moving boundary makes before/after comparison impossible</t>
  </si>
  <si>
    <t xml:space="preserve">For each step:   VA time  = time if class = VA, otherwise 0        (and likewise for BVA and NVA)</t>
  </si>
  <si>
    <t xml:space="preserve">Totals:          VA total, BVA total, NVA total, and total time = the sum of the three PCE           =  VA total / total time</t>
  </si>
  <si>
    <t xml:space="preserve">Prize         =  NVA total  — the time released if all pure waste is removed</t>
  </si>
  <si>
    <t xml:space="preserve">The three-question test, in order:</t>
  </si>
  <si>
    <t xml:space="preserve">   1. Would the customer knowingly pay for this step?</t>
  </si>
  <si>
    <t xml:space="preserve">   2. Does it change the form, fit or function of the product?</t>
  </si>
  <si>
    <t xml:space="preserve">   3. Is it done right the first time?</t>
  </si>
  <si>
    <t xml:space="preserve">   All three YES  → VA.   Otherwise, is it legally or contractually required?  YES → BVA, NO → NVA.</t>
  </si>
  <si>
    <t xml:space="preserve">IF(class="VA", time, 0)</t>
  </si>
  <si>
    <t xml:space="preserve">Splits the time column into three parallel columns by classification</t>
  </si>
  <si>
    <t xml:space="preserve">Category totals</t>
  </si>
  <si>
    <t xml:space="preserve">Protects the percentages while the table is empty</t>
  </si>
  <si>
    <t xml:space="preserve">$C$70:$C$81</t>
  </si>
  <si>
    <t xml:space="preserve">Locks the total-time range so every percentage uses the same denominator</t>
  </si>
  <si>
    <t xml:space="preserve">Scenario: the 154-minute format changeover on the PET line, broken into twelve steps and classified by the changeover team with the operators in the room.</t>
  </si>
  <si>
    <t xml:space="preserve">Overwrite the yellow times and classes with your own process; the split and the verdict recalculate.</t>
  </si>
  <si>
    <t xml:space="preserve">Classification test — apply all three questions to every step</t>
  </si>
  <si>
    <t xml:space="preserve">Question</t>
  </si>
  <si>
    <t xml:space="preserve">If the answer is YES</t>
  </si>
  <si>
    <t xml:space="preserve">If the answer is NO</t>
  </si>
  <si>
    <t xml:space="preserve">Would the customer knowingly pay for this step?</t>
  </si>
  <si>
    <t xml:space="preserve">Continue to question 2</t>
  </si>
  <si>
    <t xml:space="preserve">It is not VA — go to question 3</t>
  </si>
  <si>
    <t xml:space="preserve">Does the step change form, fit or function of the product?</t>
  </si>
  <si>
    <t xml:space="preserve">Continue to question 3</t>
  </si>
  <si>
    <t xml:space="preserve">Is the step done right the first time?</t>
  </si>
  <si>
    <t xml:space="preserve">The step is VALUE-ADDED</t>
  </si>
  <si>
    <t xml:space="preserve">It is not VA</t>
  </si>
  <si>
    <t xml:space="preserve">Is the step required by law, safety, finance or the customer's audit?</t>
  </si>
  <si>
    <t xml:space="preserve">The step is BUSINESS-VALUE-ADDED</t>
  </si>
  <si>
    <t xml:space="preserve">The step is NON-VALUE-ADDED — eliminate it</t>
  </si>
  <si>
    <t xml:space="preserve">Step-by-step classification of the changeover process</t>
  </si>
  <si>
    <t xml:space="preserve">Time (min)</t>
  </si>
  <si>
    <t xml:space="preserve">Class VA / BVA / NVA</t>
  </si>
  <si>
    <t xml:space="preserve">Why it is classified this way</t>
  </si>
  <si>
    <t xml:space="preserve">VA time (min)</t>
  </si>
  <si>
    <t xml:space="preserve">BVA time (min)</t>
  </si>
  <si>
    <t xml:space="preserve">NVA time (min)</t>
  </si>
  <si>
    <t xml:space="preserve">Action decided</t>
  </si>
  <si>
    <t xml:space="preserve">Fetch change parts from the store</t>
  </si>
  <si>
    <t xml:space="preserve">Pure motion — parts could be kitted line-side</t>
  </si>
  <si>
    <t xml:space="preserve">Eliminate: kit line-side</t>
  </si>
  <si>
    <t xml:space="preserve">Wait for the filler bowl to drain</t>
  </si>
  <si>
    <t xml:space="preserve">Required by hygiene, but could run while other work continues</t>
  </si>
  <si>
    <t xml:space="preserve">Convert to external (L-15)</t>
  </si>
  <si>
    <t xml:space="preserve">Change filling valves</t>
  </si>
  <si>
    <t xml:space="preserve">Physically converts the machine to the new format</t>
  </si>
  <si>
    <t xml:space="preserve">Streamline: quick-release clamps</t>
  </si>
  <si>
    <t xml:space="preserve">Change neck guides and star wheels</t>
  </si>
  <si>
    <t xml:space="preserve">Physically converts the machine</t>
  </si>
  <si>
    <t xml:space="preserve">Streamline: pre-set cassette</t>
  </si>
  <si>
    <t xml:space="preserve">Look for the correct setting sheet</t>
  </si>
  <si>
    <t xml:space="preserve">Searching — the information should be at the machine</t>
  </si>
  <si>
    <t xml:space="preserve">Eliminate: visual standard at the point of use</t>
  </si>
  <si>
    <t xml:space="preserve">Change labeller format set</t>
  </si>
  <si>
    <t xml:space="preserve">Streamline</t>
  </si>
  <si>
    <t xml:space="preserve">Wait for the technician to arrive</t>
  </si>
  <si>
    <t xml:space="preserve">Waiting caused by resourcing, not by the job</t>
  </si>
  <si>
    <t xml:space="preserve">Eliminate: train operators for the task</t>
  </si>
  <si>
    <t xml:space="preserve">Adjust blow moulder recipe</t>
  </si>
  <si>
    <t xml:space="preserve">Physically converts the process</t>
  </si>
  <si>
    <t xml:space="preserve">Streamline: recipe recall</t>
  </si>
  <si>
    <t xml:space="preserve">First-article inspection</t>
  </si>
  <si>
    <t xml:space="preserve">Required by the quality system</t>
  </si>
  <si>
    <t xml:space="preserve">Streamline: in-line check</t>
  </si>
  <si>
    <t xml:space="preserve">Re-adjust after a failed first article</t>
  </si>
  <si>
    <t xml:space="preserve">Rework — the hidden factory</t>
  </si>
  <si>
    <t xml:space="preserve">Eliminate: capable set-up</t>
  </si>
  <si>
    <t xml:space="preserve">Clear packaging left from the previous format</t>
  </si>
  <si>
    <t xml:space="preserve">Should have been done before the stop</t>
  </si>
  <si>
    <t xml:space="preserve">Line release paperwork</t>
  </si>
  <si>
    <t xml:space="preserve">Streamline: digital release</t>
  </si>
  <si>
    <t xml:space="preserve">Category</t>
  </si>
  <si>
    <t xml:space="preserve">% of total</t>
  </si>
  <si>
    <t xml:space="preserve">Standard Lean action</t>
  </si>
  <si>
    <t xml:space="preserve">Value-added</t>
  </si>
  <si>
    <t xml:space="preserve">Make it faster and more repeatable — never eliminate it</t>
  </si>
  <si>
    <t xml:space="preserve">Business-value-added</t>
  </si>
  <si>
    <t xml:space="preserve">Streamline, simplify, or move it off the critical path</t>
  </si>
  <si>
    <t xml:space="preserve">Non-value-added</t>
  </si>
  <si>
    <t xml:space="preserve">Eliminate it — this is the money</t>
  </si>
  <si>
    <t xml:space="preserve">VA time divided by total time</t>
  </si>
  <si>
    <t xml:space="preserve">Time released if all NVA is removed</t>
  </si>
  <si>
    <t xml:space="preserve">The realistic first-pass target for the improvement</t>
  </si>
  <si>
    <t xml:space="preserve">NVA share</t>
  </si>
  <si>
    <t xml:space="preserve">&gt; 30% of process time</t>
  </si>
  <si>
    <t xml:space="preserve">A Kaizen event is justified: the waste is large enough to fund the week</t>
  </si>
  <si>
    <t xml:space="preserve">PCE</t>
  </si>
  <si>
    <t xml:space="preserve">&lt; 20% in a cross-functional process</t>
  </si>
  <si>
    <t xml:space="preserve">Normal, and the reason process improvement beats machine improvement</t>
  </si>
  <si>
    <t xml:space="preserve">Rework time</t>
  </si>
  <si>
    <t xml:space="preserve">Any</t>
  </si>
  <si>
    <t xml:space="preserve">Every rework minute is counted twice — once wasted, once repeated</t>
  </si>
  <si>
    <t xml:space="preserve">BVA share</t>
  </si>
  <si>
    <t xml:space="preserve">&gt; 40%</t>
  </si>
  <si>
    <t xml:space="preserve">The compliance load itself is the problem: challenge the checks, not the operator</t>
  </si>
  <si>
    <t xml:space="preserve">•  Classifying inspection as value-added. The customer pays for a good bottle, not for the act of checking it.</t>
  </si>
  <si>
    <t xml:space="preserve">•  Calling a step BVA because removing it would be difficult. BVA means legally or contractually required, not inconvenient.</t>
  </si>
  <si>
    <t xml:space="preserve">•  Eliminating a BVA step and discovering later that an auditor required it.</t>
  </si>
  <si>
    <t xml:space="preserve">•  Trying to speed up value-added work first, when the waste sitting next to it is three times larger.</t>
  </si>
  <si>
    <t xml:space="preserve">•  Doing the classification alone at a desk instead of with the people who do the work.</t>
  </si>
  <si>
    <t xml:space="preserve">Q1.  An operator re-torques a cap that the capper applied incorrectly. Value-added or not?</t>
  </si>
  <si>
    <t xml:space="preserve">A1.  Not value-added. It fails the third question — done right the first time. It is rework, and therefore NVA, even though the finished bottle needs the correct torque. The value-added step was the original capping.</t>
  </si>
  <si>
    <t xml:space="preserve">Q2.  Why does the distinction between BVA and NVA matter if the customer pays for neither?</t>
  </si>
  <si>
    <t xml:space="preserve">A2.  Because the action differs. NVA is eliminated outright; BVA can only be streamlined or moved off the critical path. Mixing them up leads either to wasted effort defending real waste, or to removing a step an auditor requires.</t>
  </si>
  <si>
    <t xml:space="preserve">Q3.  The analysis shows PCE of 12% and NVA of 45%. What is the size of the realistic prize?</t>
  </si>
  <si>
    <t xml:space="preserve">A3.  The 45% of NVA time, most of which can usually be removed without capital. That is the number to put in the Kaizen event charter — not the theoretical 88% gap to a perfect process.</t>
  </si>
  <si>
    <t xml:space="preserve">L-04  Process Mapping</t>
  </si>
  <si>
    <t xml:space="preserve">L-07 — Takt Time, Cycle Time and Lead Time</t>
  </si>
  <si>
    <t xml:space="preserve">Phase: MEASURE   |   Data required: Available time, customer demand, station cycle times and uptime   |   Min. sample: One shift of observation   |   Complexity: 2/5   |   Output: Takt, effective cycle times, the constraint and order lead time</t>
  </si>
  <si>
    <t xml:space="preserve">How fast must this line run to satisfy the customer, and can any of its stations actually hold that pace?</t>
  </si>
  <si>
    <t xml:space="preserve">At the start of any flow or capacity discussion, and every time the demand or the product mix changes.</t>
  </si>
  <si>
    <t xml:space="preserve">Takt time, each station's effective cycle time against takt, the constraint, and the lead time of an order.</t>
  </si>
  <si>
    <t xml:space="preserve">Three times are constantly confused, and confusing them causes bad decisions.</t>
  </si>
  <si>
    <t xml:space="preserve">Takt time is set by the customer: available working time divided by customer demand. It is not a speed the line achieves; it is the speed the line must achieve. Takt changes when demand changes, even if nothing on the line changes at all.</t>
  </si>
  <si>
    <t xml:space="preserve">Cycle time is set by the process: the time between two consecutive units leaving a station. Effective cycle time divides that by uptime, because a machine at 0.20 s and 91% availability delivers a unit every 0.22 s on average, and it is the average that has to beat takt.</t>
  </si>
  <si>
    <t xml:space="preserve">Lead time is set by the queue: the total elapsed time from order to delivery, dominated almost everywhere by waiting rather than by working (see Little's Law on L-08).</t>
  </si>
  <si>
    <t xml:space="preserve">The decision rule is simple. If every station's effective cycle time is below takt, the line can meet demand and the gap to plan is losses — go to OEE. If any station is above takt, no amount of discipline will close the gap, and capacity work at that station is the only route.</t>
  </si>
  <si>
    <t xml:space="preserve">✓  Setting the pace for a line, a cell or a manual operation.</t>
  </si>
  <si>
    <t xml:space="preserve">✗  Demand is so erratic that no meaningful average exists — level it first (L-20).</t>
  </si>
  <si>
    <t xml:space="preserve">✓  Checking whether a demand increase is feasible before committing to it.</t>
  </si>
  <si>
    <t xml:space="preserve">✗  The process is a batch chemical or thermal process where cycle time is not per unit.</t>
  </si>
  <si>
    <t xml:space="preserve">✓  Identifying the constraint from timing data rather than from opinion.</t>
  </si>
  <si>
    <t xml:space="preserve">✗  As a productivity target for individuals; takt paces the process, not the person.</t>
  </si>
  <si>
    <t xml:space="preserve">✓  Line balancing (L-10), where takt is the target every station is balanced against.</t>
  </si>
  <si>
    <t xml:space="preserve">Available time excludes only genuinely planned stops</t>
  </si>
  <si>
    <t xml:space="preserve">Breaks, meetings and planned maintenance are subtracted; breakdowns are not</t>
  </si>
  <si>
    <t xml:space="preserve">Move breakdowns out of available time and into the OEE losses where they belong</t>
  </si>
  <si>
    <t xml:space="preserve">Demand is real customer pull</t>
  </si>
  <si>
    <t xml:space="preserve">Take it from dispatch or from the order book, not from the production plan</t>
  </si>
  <si>
    <t xml:space="preserve">Recompute; planning to a padded plan builds the padding into the takt</t>
  </si>
  <si>
    <t xml:space="preserve">Cycle times are observed, not nameplate</t>
  </si>
  <si>
    <t xml:space="preserve">Time at least five consecutive cycles per station</t>
  </si>
  <si>
    <t xml:space="preserve">Re-time on the floor before the constraint is declared</t>
  </si>
  <si>
    <t xml:space="preserve">Uptime is measured over the same period as the cycle times</t>
  </si>
  <si>
    <t xml:space="preserve">Take uptime from the downtime system for the same shift</t>
  </si>
  <si>
    <t xml:space="preserve">Use the measured availability from the OEE sheet instead</t>
  </si>
  <si>
    <t xml:space="preserve">Net available time  = shift length  -  planned breaks  -  planned maintenance TAKT TIME           = net available time / customer demand              (seconds per unit) Takt as a rate      = 3600 / takt                                       (units per hour)</t>
  </si>
  <si>
    <t xml:space="preserve">Effective cycle time of a station = observed cycle time / uptime Line capacity                     = 3600 / slowest effective cycle time (units per hour) Capacity margin                   = line capacity / demand rate  -  1</t>
  </si>
  <si>
    <t xml:space="preserve">Lead time of an order = order quantity x slowest effective cycle time  +  queue time before the order starts</t>
  </si>
  <si>
    <t xml:space="preserve">Decision rule:  effective CT &lt; takt at every station  →  demand achievable. effective CT &gt; takt anywhere          →  that station is the constraint (L-09).</t>
  </si>
  <si>
    <t xml:space="preserve">Slowest effective cycle time — the pace of the whole line</t>
  </si>
  <si>
    <t xml:space="preserve">INDEX(stations, MATCH(MAX(ct), ct, 0))</t>
  </si>
  <si>
    <t xml:space="preserve">Names the constraint station</t>
  </si>
  <si>
    <t xml:space="preserve">IF(ct&gt;takt,"OVER TAKT",IF(ct&gt;0.9*takt,"Close","OK"))</t>
  </si>
  <si>
    <t xml:space="preserve">Three-level status flag per station</t>
  </si>
  <si>
    <t xml:space="preserve">Protects every division while inputs are still blank</t>
  </si>
  <si>
    <t xml:space="preserve">$C$66</t>
  </si>
  <si>
    <t xml:space="preserve">Locks takt so the station table can be copied down</t>
  </si>
  <si>
    <t xml:space="preserve">Scenario: the PET line must deliver 120,000 bottles in a shift of 480 min with 45 min of breaks and 55 min of planned CIP and maintenance. Eight stations were timed and their uptime taken from the downtime system for the same shift.</t>
  </si>
  <si>
    <t xml:space="preserve">Step 1 — compute takt time from customer demand</t>
  </si>
  <si>
    <t xml:space="preserve">Input</t>
  </si>
  <si>
    <t xml:space="preserve">Gross time paid</t>
  </si>
  <si>
    <t xml:space="preserve">Planned breaks and meetings</t>
  </si>
  <si>
    <t xml:space="preserve">Time the line is legitimately not available</t>
  </si>
  <si>
    <t xml:space="preserve">Planned maintenance and CIP</t>
  </si>
  <si>
    <t xml:space="preserve">Planned stops — subtract, do not treat as loss</t>
  </si>
  <si>
    <t xml:space="preserve">Net available time</t>
  </si>
  <si>
    <t xml:space="preserve">What is left to produce in</t>
  </si>
  <si>
    <t xml:space="preserve">Customer demand this shift</t>
  </si>
  <si>
    <t xml:space="preserve">Real customer pull, not the plan</t>
  </si>
  <si>
    <t xml:space="preserve">TAKT TIME</t>
  </si>
  <si>
    <t xml:space="preserve">The heartbeat: one bottle every this many seconds</t>
  </si>
  <si>
    <t xml:space="preserve">Takt expressed as a rate</t>
  </si>
  <si>
    <t xml:space="preserve">bottles/h</t>
  </si>
  <si>
    <t xml:space="preserve">Rate the line must sustain</t>
  </si>
  <si>
    <t xml:space="preserve">Step 2 — compare every station's cycle time against takt</t>
  </si>
  <si>
    <t xml:space="preserve">Station</t>
  </si>
  <si>
    <t xml:space="preserve">Observed cycle time (sec/bottle)</t>
  </si>
  <si>
    <t xml:space="preserve">Effective cycle time (sec/bottle)</t>
  </si>
  <si>
    <t xml:space="preserve">Effective CT as % of takt</t>
  </si>
  <si>
    <t xml:space="preserve">Spare time vs takt (sec)</t>
  </si>
  <si>
    <t xml:space="preserve">Blow moulder (Blomax)</t>
  </si>
  <si>
    <t xml:space="preserve">Filler (Innofil)</t>
  </si>
  <si>
    <t xml:space="preserve">Capper</t>
  </si>
  <si>
    <t xml:space="preserve">Labeller (Innoket)</t>
  </si>
  <si>
    <t xml:space="preserve">Inspection (Innocheck FBI)</t>
  </si>
  <si>
    <t xml:space="preserve">Packer (Innopack)</t>
  </si>
  <si>
    <t xml:space="preserve">Palletiser (Innopal)</t>
  </si>
  <si>
    <t xml:space="preserve">Wrapper (Robopac)</t>
  </si>
  <si>
    <t xml:space="preserve">Step 3 — lead time for one order through the line</t>
  </si>
  <si>
    <t xml:space="preserve">Slowest effective cycle time</t>
  </si>
  <si>
    <t xml:space="preserve">The pace the line can really hold</t>
  </si>
  <si>
    <t xml:space="preserve">Constraint station</t>
  </si>
  <si>
    <t xml:space="preserve">Where every improvement hour should go first</t>
  </si>
  <si>
    <t xml:space="preserve">Line capacity at that pace</t>
  </si>
  <si>
    <t xml:space="preserve">3600 divided by the slowest effective cycle time</t>
  </si>
  <si>
    <t xml:space="preserve">Demand rate required</t>
  </si>
  <si>
    <t xml:space="preserve">3600 divided by takt</t>
  </si>
  <si>
    <t xml:space="preserve">Capacity margin</t>
  </si>
  <si>
    <t xml:space="preserve">Positive means the line can meet demand</t>
  </si>
  <si>
    <t xml:space="preserve">Order quantity</t>
  </si>
  <si>
    <t xml:space="preserve">Size of the order being quoted</t>
  </si>
  <si>
    <t xml:space="preserve">Order run time</t>
  </si>
  <si>
    <t xml:space="preserve">Quantity x slowest effective cycle time</t>
  </si>
  <si>
    <t xml:space="preserve">Queue before the line starts</t>
  </si>
  <si>
    <t xml:space="preserve">Waiting before the first bottle is blown</t>
  </si>
  <si>
    <t xml:space="preserve">LEAD TIME for the order</t>
  </si>
  <si>
    <t xml:space="preserve">Run time plus the queue in front of it</t>
  </si>
  <si>
    <t xml:space="preserve">Effective CT vs takt</t>
  </si>
  <si>
    <t xml:space="preserve">Every station must be below takt</t>
  </si>
  <si>
    <t xml:space="preserve">Above takt anywhere means demand is physically unachievable</t>
  </si>
  <si>
    <t xml:space="preserve">Aim for 10-20%</t>
  </si>
  <si>
    <t xml:space="preserve">Below 10% every minor loss becomes a missed order; above 30% you are paying for idle capacity</t>
  </si>
  <si>
    <t xml:space="preserve">Stations close to takt</t>
  </si>
  <si>
    <t xml:space="preserve">Within 10% of takt</t>
  </si>
  <si>
    <t xml:space="preserve">These become the constraint as soon as anything goes wrong</t>
  </si>
  <si>
    <t xml:space="preserve">Lead time vs queue</t>
  </si>
  <si>
    <t xml:space="preserve">Queue &gt; run time</t>
  </si>
  <si>
    <t xml:space="preserve">Confirms that the order is waiting more than it is running — go to L-08</t>
  </si>
  <si>
    <t xml:space="preserve">•  Comparing nameplate cycle times against takt and concluding the line has capacity it does not have.</t>
  </si>
  <si>
    <t xml:space="preserve">•  Subtracting breakdowns from available time, which flatters takt and hides the real losses.</t>
  </si>
  <si>
    <t xml:space="preserve">•  Using the production plan as demand, so takt inherits whatever padding the plan contains.</t>
  </si>
  <si>
    <t xml:space="preserve">•  Treating takt as a target for the operator rather than a requirement on the process.</t>
  </si>
  <si>
    <t xml:space="preserve">•  Forgetting to recompute takt when demand or the product mix changes — takt is not a constant.</t>
  </si>
  <si>
    <t xml:space="preserve">Q1.  Demand falls by 20% and nothing on the line changes. What happens to takt, and what should happen to the line?</t>
  </si>
  <si>
    <t xml:space="preserve">A1.  Takt increases by 25% (the line has more time per unit). The correct response is to reduce the number of stations or shifts staffed, not to keep running at the old pace and build inventory — that would convert a demand fall into overproduction.</t>
  </si>
  <si>
    <t xml:space="preserve">Q2.  A station has a cycle time of 0.20 s against a takt of 0.23 s, but the line still misses demand. Why?</t>
  </si>
  <si>
    <t xml:space="preserve">A2.  Because 0.20 s is the observed cycle time, not the effective one. At 85% uptime the effective cycle time is 0.235 s, which is above takt. Effective cycle time — cycle time divided by uptime — is the number that must beat takt.</t>
  </si>
  <si>
    <t xml:space="preserve">Q3.  Why is lead time not simply quantity multiplied by cycle time?</t>
  </si>
  <si>
    <t xml:space="preserve">A3.  Because the order spends most of its life waiting, not running. Lead time is queue time plus run time, and in almost every real process the queue dominates. That is why Little's Law (L-08) matters more than machine speed for delivery performance.</t>
  </si>
  <si>
    <t xml:space="preserve">L-08 — Little's Law and Work in Process</t>
  </si>
  <si>
    <t xml:space="preserve">Phase: ANALYZE   |   Data required: WIP count and throughput over the same period   |   Min. sample: One stable period of production   |   Complexity: 2/5   |   Output: Lead time, allowable WIP and buffer assessment</t>
  </si>
  <si>
    <t xml:space="preserve">How long will a unit take to get through, given how much work is already in the queue?</t>
  </si>
  <si>
    <t xml:space="preserve">Whenever delivery time is the complaint, whenever buffers are being sized, and before anyone proposes to add capacity.</t>
  </si>
  <si>
    <t xml:space="preserve">The arithmetic link between work in process, throughput and lead time — and the size of each buffer in minutes.</t>
  </si>
  <si>
    <t xml:space="preserve">Little's Law states that lead time equals work in process divided by throughput. It holds for any stable system over a long enough period, regardless of the distribution of arrivals, the order of processing or the number of steps. It is one of the few laws in operations that is genuinely a law.</t>
  </si>
  <si>
    <t xml:space="preserve">Its practical consequence is uncomfortable: if you cannot increase throughput, the only way to shorten lead time is to hold less work in process. Expediting one order does not change the average; it simply moves the delay to somebody else's order.</t>
  </si>
  <si>
    <t xml:space="preserve">The law also explains why buffers feel helpful and behave badly. A large accumulation table protects the line from short stops, and simultaneously lengthens lead time and hides the stops that caused it to be built. Measure every buffer in minutes of production, not in units — that is the number that tells you what it is really protecting.</t>
  </si>
  <si>
    <t xml:space="preserve">On a packaging line, apply the law twice: once across the whole stream in days (the VSM on L-02), and once across the line itself in minutes (this sheet). Both are the same equation at different scales.</t>
  </si>
  <si>
    <t xml:space="preserve">✓  Converting an inventory count into a lead time, and vice versa.</t>
  </si>
  <si>
    <t xml:space="preserve">✗  The system is not stable — arrivals and departures must balance over the measurement period.</t>
  </si>
  <si>
    <t xml:space="preserve">✓  Sizing accumulation tables and supermarkets so they protect the line without hiding the reason.</t>
  </si>
  <si>
    <t xml:space="preserve">✗  You are measuring over a period so short that the average has no meaning.</t>
  </si>
  <si>
    <t xml:space="preserve">✓  Testing whether a promised delivery date is arithmetically possible.</t>
  </si>
  <si>
    <t xml:space="preserve">✗  The scope boundaries are unclear. WIP and throughput must be counted across the same boundary.</t>
  </si>
  <si>
    <t xml:space="preserve">✓  Setting a WIP cap for a pull system or a CONWIP loop.</t>
  </si>
  <si>
    <t xml:space="preserve">The system is stable over the measurement window</t>
  </si>
  <si>
    <t xml:space="preserve">Check that what goes in over the period roughly equals what comes out</t>
  </si>
  <si>
    <t xml:space="preserve">Extend the window, or measure during a stable period</t>
  </si>
  <si>
    <t xml:space="preserve">E-47  Common vs Special Cause</t>
  </si>
  <si>
    <t xml:space="preserve">WIP and throughput share the same boundary and the same units</t>
  </si>
  <si>
    <t xml:space="preserve">Count everything inside the scope, and count exits at the same scope boundary</t>
  </si>
  <si>
    <t xml:space="preserve">Redraw the boundary and recount before using the number</t>
  </si>
  <si>
    <t xml:space="preserve">Throughput is the exit rate, not the nameplate rate</t>
  </si>
  <si>
    <t xml:space="preserve">Use bottles actually produced per hour, including the effect of stops</t>
  </si>
  <si>
    <t xml:space="preserve">Take the real rate from the OEE calculation</t>
  </si>
  <si>
    <t xml:space="preserve">Units are consistent</t>
  </si>
  <si>
    <t xml:space="preserve">Bottles, cases and pallets are not interchangeable — convert first</t>
  </si>
  <si>
    <t xml:space="preserve">Convert everything to a single unit before applying the law</t>
  </si>
  <si>
    <t xml:space="preserve">LITTLE'S LAW:</t>
  </si>
  <si>
    <t xml:space="preserve">   Lead time  =  Work in Process  /  Throughput</t>
  </si>
  <si>
    <t xml:space="preserve">Rearranged, the same law answers the other two questions:</t>
  </si>
  <si>
    <t xml:space="preserve">   WIP allowed  =  target lead time  x  throughput</t>
  </si>
  <si>
    <t xml:space="preserve">   Throughput needed  =  WIP  /  target lead time</t>
  </si>
  <si>
    <t xml:space="preserve">Applied to a buffer:   minutes of protection = buffer capacity / throughput per hour x 60</t>
  </si>
  <si>
    <t xml:space="preserve">Units must agree. If throughput is bottles per hour, WIP must be bottles and lead time comes out in hours.</t>
  </si>
  <si>
    <t xml:space="preserve">The law is exact for a stable system averaged over time; it says nothing about any individual unit.</t>
  </si>
  <si>
    <t xml:space="preserve">Simple division</t>
  </si>
  <si>
    <t xml:space="preserve">WIP / throughput</t>
  </si>
  <si>
    <t xml:space="preserve">The whole law is one division — the discipline is in the definitions</t>
  </si>
  <si>
    <t xml:space="preserve">Guards against a throughput of zero</t>
  </si>
  <si>
    <t xml:space="preserve">MAX + INDEX/MATCH</t>
  </si>
  <si>
    <t xml:space="preserve">INDEX(buffers, MATCH(MAX(cap), cap, 0))</t>
  </si>
  <si>
    <t xml:space="preserve">Finds the buffer holding the most work</t>
  </si>
  <si>
    <t xml:space="preserve">IF(min&lt;2,"Too small",IF(min&gt;20,"Oversized","Reasonable"))</t>
  </si>
  <si>
    <t xml:space="preserve">Assesses each buffer against its protection time</t>
  </si>
  <si>
    <t xml:space="preserve">Scenario: the PET line holds roughly 45,000 bottles between the blow moulder and the warehouse staging area, and actually delivers 16,400 bottles an hour. The buffer table lists every accumulation point and its capacity when full.</t>
  </si>
  <si>
    <t xml:space="preserve">Little's Law calculator — fill in any two, the third is calculated</t>
  </si>
  <si>
    <t xml:space="preserve">Work in process (WIP)</t>
  </si>
  <si>
    <t xml:space="preserve">Everything between the first and last step of the scope</t>
  </si>
  <si>
    <t xml:space="preserve">Throughput (exit rate)</t>
  </si>
  <si>
    <t xml:space="preserve">Units actually leaving the scope per hour</t>
  </si>
  <si>
    <t xml:space="preserve">LEAD TIME</t>
  </si>
  <si>
    <t xml:space="preserve">hours</t>
  </si>
  <si>
    <t xml:space="preserve">WIP divided by throughput</t>
  </si>
  <si>
    <t xml:space="preserve">Lead time in minutes</t>
  </si>
  <si>
    <t xml:space="preserve">Same result, easier to argue with</t>
  </si>
  <si>
    <t xml:space="preserve">The same law solved the other two ways</t>
  </si>
  <si>
    <t xml:space="preserve">I want to know</t>
  </si>
  <si>
    <t xml:space="preserve">Given</t>
  </si>
  <si>
    <t xml:space="preserve">Formula</t>
  </si>
  <si>
    <t xml:space="preserve">Lead time</t>
  </si>
  <si>
    <t xml:space="preserve">LT = WIP / TH</t>
  </si>
  <si>
    <t xml:space="preserve">WIP allowed</t>
  </si>
  <si>
    <t xml:space="preserve">Target lead time and throughput</t>
  </si>
  <si>
    <t xml:space="preserve">WIP = LT x TH</t>
  </si>
  <si>
    <t xml:space="preserve">hours target</t>
  </si>
  <si>
    <t xml:space="preserve">bottles allowed</t>
  </si>
  <si>
    <t xml:space="preserve">Throughput needed</t>
  </si>
  <si>
    <t xml:space="preserve">WIP and target lead time</t>
  </si>
  <si>
    <t xml:space="preserve">TH = WIP / LT</t>
  </si>
  <si>
    <t xml:space="preserve">Where the WIP actually sits — accumulation table sizing</t>
  </si>
  <si>
    <t xml:space="preserve">Buffer / accumulation point</t>
  </si>
  <si>
    <t xml:space="preserve">Bottles held when full</t>
  </si>
  <si>
    <t xml:space="preserve">Minutes of production it protects</t>
  </si>
  <si>
    <t xml:space="preserve">% of total WIP</t>
  </si>
  <si>
    <t xml:space="preserve">Assessment</t>
  </si>
  <si>
    <t xml:space="preserve">Blow moulder to filler air conveyor</t>
  </si>
  <si>
    <t xml:space="preserve">Filler to labeller table</t>
  </si>
  <si>
    <t xml:space="preserve">Labeller to inspection</t>
  </si>
  <si>
    <t xml:space="preserve">Inspection to packer accumulation</t>
  </si>
  <si>
    <t xml:space="preserve">Packer to palletiser case conveyor</t>
  </si>
  <si>
    <t xml:space="preserve">Palletiser to wrapper</t>
  </si>
  <si>
    <t xml:space="preserve">Wrapper to warehouse staging</t>
  </si>
  <si>
    <t xml:space="preserve">Total buffered WIP</t>
  </si>
  <si>
    <t xml:space="preserve">Sum of all accumulation capacity</t>
  </si>
  <si>
    <t xml:space="preserve">Lead time from buffers alone</t>
  </si>
  <si>
    <t xml:space="preserve">Little's Law applied to the buffers</t>
  </si>
  <si>
    <t xml:space="preserve">Largest single buffer</t>
  </si>
  <si>
    <t xml:space="preserve">The biggest single contributor to lead time</t>
  </si>
  <si>
    <t xml:space="preserve">Where it is</t>
  </si>
  <si>
    <t xml:space="preserve">Halving this buffer is the fastest lead-time win</t>
  </si>
  <si>
    <t xml:space="preserve">Lead time if WIP were halved</t>
  </si>
  <si>
    <t xml:space="preserve">Little's Law is linear: half the WIP, half the lead time</t>
  </si>
  <si>
    <t xml:space="preserve">Buffer protection time</t>
  </si>
  <si>
    <t xml:space="preserve">2 to 20 minutes of production</t>
  </si>
  <si>
    <t xml:space="preserve">Below 2 min a short stop propagates instantly; above 20 min the buffer hides a reliability problem</t>
  </si>
  <si>
    <t xml:space="preserve">Lead time vs promised time</t>
  </si>
  <si>
    <t xml:space="preserve">Lead time must be below the promise</t>
  </si>
  <si>
    <t xml:space="preserve">If not, the promise is arithmetically impossible at current WIP</t>
  </si>
  <si>
    <t xml:space="preserve">WIP reduction</t>
  </si>
  <si>
    <t xml:space="preserve">Lead time falls in exact proportion</t>
  </si>
  <si>
    <t xml:space="preserve">The law is linear — half the WIP is half the lead time at constant throughput</t>
  </si>
  <si>
    <t xml:space="preserve">Stability</t>
  </si>
  <si>
    <t xml:space="preserve">Input rate ≈ output rate over the window</t>
  </si>
  <si>
    <t xml:space="preserve">Necessary condition for the law to apply at all</t>
  </si>
  <si>
    <t xml:space="preserve">•  Applying the law to an unstable system and then blaming the law when the number does not match reality.</t>
  </si>
  <si>
    <t xml:space="preserve">•  Counting WIP in bottles and throughput in cases, which produces a confidently wrong lead time.</t>
  </si>
  <si>
    <t xml:space="preserve">•  Expediting individual orders and expecting the average lead time to improve — it cannot.</t>
  </si>
  <si>
    <t xml:space="preserve">•  Sizing buffers by how bad the worst stop was, which permanently institutionalises that stop.</t>
  </si>
  <si>
    <t xml:space="preserve">•  Using nameplate throughput instead of real exit rate, which understates lead time by the size of the losses.</t>
  </si>
  <si>
    <t xml:space="preserve">Q1.  A line holds 45,000 bottles and delivers 15,000 an hour. What is the lead time, and what happens if WIP is halved?</t>
  </si>
  <si>
    <t xml:space="preserve">A1.  Lead time is 3 hours. Halving WIP to 22,500 halves lead time to 1.5 hours, provided throughput stays at 15,000/h. The law is strictly linear in WIP at constant throughput.</t>
  </si>
  <si>
    <t xml:space="preserve">Q2.  Why can a large accumulation table make the line worse even though it prevents short stops?</t>
  </si>
  <si>
    <t xml:space="preserve">A2.  Because it lengthens lead time in exact proportion to its size, and because it removes the pressure that would otherwise force the underlying stop to be fixed. The buffer converts a visible reliability problem into an invisible lead-time problem.</t>
  </si>
  <si>
    <t xml:space="preserve">Q3.  Under what condition does Little's Law fail?</t>
  </si>
  <si>
    <t xml:space="preserve">A3.  When the system is not stable over the measurement window — that is, when what enters and what leaves do not balance, so WIP is systematically growing or shrinking. Over a long enough stable period it always holds.</t>
  </si>
  <si>
    <t xml:space="preserve">L-09 — Theory of Constraints and Bottleneck Analysis</t>
  </si>
  <si>
    <t xml:space="preserve">Phase: ANALYZE   |   Data required: Station rates and availability, demand, contribution margin   |   Min. sample: One shift of rate data   |   Complexity: 3/5   |   Output: The constraint, system throughput and the value of elevating it</t>
  </si>
  <si>
    <t xml:space="preserve">Which single station sets the output of this whole line, and what is an hour of it worth?</t>
  </si>
  <si>
    <t xml:space="preserve">Whenever output is below demand, before any capital request, and every time somebody proposes to improve a machine that is not the slowest.</t>
  </si>
  <si>
    <t xml:space="preserve">The constraint, the system throughput it imposes, and the money value of protecting or elevating it.</t>
  </si>
  <si>
    <t xml:space="preserve">A chain is exactly as strong as its weakest link, and a line is exactly as fast as its slowest effective station. Everything else is spare capacity. That single observation is the whole of the Theory of Constraints, and almost every plant violates it daily by improving whatever is easiest to improve.</t>
  </si>
  <si>
    <t xml:space="preserve">Two consequences follow, and both are counter-intuitive. First, an hour lost at the constraint is an hour lost by the entire plant and can never be recovered; an hour lost at a non-constraint costs nothing at all, provided it stays inside that station's spare capacity. Second, running non-constraints at full speed does not increase output — it only increases inventory in front of the constraint.</t>
  </si>
  <si>
    <t xml:space="preserve">The five focusing steps are: IDENTIFY the constraint, EXPLOIT it (get everything possible from it without spending money), SUBORDINATE everything else to it (the rest of the line exists to keep it fed and unblocked), ELEVATE it (spend money to add capacity), and then GO BACK — because once elevated, the constraint moves, and the fifth step warns explicitly against letting inertia become the new constraint.</t>
  </si>
  <si>
    <t xml:space="preserve">Throughput accounting, which pairs with TOC, values a decision by its effect on throughput first, then inventory, then operating expense — the reverse of the usual cost-accounting instinct.</t>
  </si>
  <si>
    <t xml:space="preserve">✓  Deciding where to spend improvement effort on a multi-station line.</t>
  </si>
  <si>
    <t xml:space="preserve">✗  The constraint is outside the plant — if demand is the constraint, the answer is commercial, not technical.</t>
  </si>
  <si>
    <t xml:space="preserve">✓  Valuing downtime correctly: at the constraint it is money, elsewhere it is usually not.</t>
  </si>
  <si>
    <t xml:space="preserve">✗  The line is a single machine; there is nothing to compare.</t>
  </si>
  <si>
    <t xml:space="preserve">✓  Sizing the buffer that protects the constraint from upstream stops (drum-buffer-rope).</t>
  </si>
  <si>
    <t xml:space="preserve">✗  Rates are unknown or estimated. TOC decisions made on nameplate data are usually wrong.</t>
  </si>
  <si>
    <t xml:space="preserve">✓  Challenging a capital request aimed at a station that is not the constraint.</t>
  </si>
  <si>
    <t xml:space="preserve">Capacities are effective, not nameplate</t>
  </si>
  <si>
    <t xml:space="preserve">Multiply every nameplate rate by its measured availability</t>
  </si>
  <si>
    <t xml:space="preserve">Take availability from the OEE calculation before identifying anything</t>
  </si>
  <si>
    <t xml:space="preserve">The constraint is stable, not wandering</t>
  </si>
  <si>
    <t xml:space="preserve">Check whether the same station is slowest across several shifts and products</t>
  </si>
  <si>
    <t xml:space="preserve">If it moves with the product, treat it as a mix problem and level the schedule</t>
  </si>
  <si>
    <t xml:space="preserve">Contribution margin is truly variable cost only</t>
  </si>
  <si>
    <t xml:space="preserve">Confirm with Finance that no allocated fixed cost is included</t>
  </si>
  <si>
    <t xml:space="preserve">Report bottles rather than money until the margin is agreed</t>
  </si>
  <si>
    <t xml:space="preserve">The constraint is protected by a buffer</t>
  </si>
  <si>
    <t xml:space="preserve">Check that a stop upstream does not starve it within minutes</t>
  </si>
  <si>
    <t xml:space="preserve">Size the buffer with Little's Law before elevating anything</t>
  </si>
  <si>
    <t xml:space="preserve">Effective capacity of a station  =  nameplate rate  x  availability System throughput                =  MIN(effective capacity of all stations) The constraint                   =  the station holding that minimum</t>
  </si>
  <si>
    <t xml:space="preserve">Value of one hour lost at the constraint  =  system throughput  x  contribution margin per unit Value of one hour lost at a non-constraint =  0, while the loss stays inside that station's spare capacity</t>
  </si>
  <si>
    <t xml:space="preserve">Elevation, and why it stops paying:</t>
  </si>
  <si>
    <t xml:space="preserve">new system throughput = MIN( improved constraint capacity , second-slowest station capacity ) Beyond that point the constraint has MOVED and further investment here returns nothing.</t>
  </si>
  <si>
    <t xml:space="preserve">THE FIVE FOCUSING STEPS:  1 Identify · 2 Exploit · 3 Subordinate · 4 Elevate · 5 Go back, beware inertia.</t>
  </si>
  <si>
    <t xml:space="preserve">System throughput is the minimum effective capacity</t>
  </si>
  <si>
    <t xml:space="preserve">SMALL(range, 2)</t>
  </si>
  <si>
    <t xml:space="preserve">Second-smallest capacity — the ceiling that caps any elevation of the constraint</t>
  </si>
  <si>
    <t xml:space="preserve">INDEX(stations, MATCH(MIN(cap), cap, 0))</t>
  </si>
  <si>
    <t xml:space="preserve">Names the constraint</t>
  </si>
  <si>
    <t xml:space="preserve">IF(cap=MIN(range),"CONSTRAINT",...)</t>
  </si>
  <si>
    <t xml:space="preserve">Flags the constraint and any other station below demand</t>
  </si>
  <si>
    <t xml:space="preserve">Number of stations, used to compute unusable spare capacity</t>
  </si>
  <si>
    <t xml:space="preserve">Scenario: the PET line has eight stations. Nameplate rates come from the equipment files and availability from the downtime system for the last four weeks. Demand is 16,000 bottles an hour and the contribution margin is 0.11 USD a bottle.</t>
  </si>
  <si>
    <t xml:space="preserve">Step 1 — IDENTIFY the constraint</t>
  </si>
  <si>
    <t xml:space="preserve">Demand required from the line</t>
  </si>
  <si>
    <t xml:space="preserve">What the customer needs the line to deliver</t>
  </si>
  <si>
    <t xml:space="preserve">Contribution margin per bottle</t>
  </si>
  <si>
    <t xml:space="preserve">USD/bottle</t>
  </si>
  <si>
    <t xml:space="preserve">Throughput accounting: price minus truly variable cost</t>
  </si>
  <si>
    <t xml:space="preserve">Hours run per year</t>
  </si>
  <si>
    <t xml:space="preserve">h/year</t>
  </si>
  <si>
    <t xml:space="preserve">Operating hours of the line</t>
  </si>
  <si>
    <t xml:space="preserve">Nameplate rate (bottles/h)</t>
  </si>
  <si>
    <t xml:space="preserve">Availability (%)</t>
  </si>
  <si>
    <t xml:space="preserve">Effective capacity (bottles/h)</t>
  </si>
  <si>
    <t xml:space="preserve">Load vs this station</t>
  </si>
  <si>
    <t xml:space="preserve">Role</t>
  </si>
  <si>
    <t xml:space="preserve">Step 2 — EXPLOIT and Step 3 — SUBORDINATE</t>
  </si>
  <si>
    <t xml:space="preserve">System throughput</t>
  </si>
  <si>
    <t xml:space="preserve">The whole line runs at the pace of its slowest effective station</t>
  </si>
  <si>
    <t xml:space="preserve">Constraint</t>
  </si>
  <si>
    <t xml:space="preserve">Every improvement hour belongs here first</t>
  </si>
  <si>
    <t xml:space="preserve">Gap to demand</t>
  </si>
  <si>
    <t xml:space="preserve">Negative means the line cannot meet demand at all</t>
  </si>
  <si>
    <t xml:space="preserve">Idle capacity at non-constraints</t>
  </si>
  <si>
    <t xml:space="preserve">Capacity that cannot be sold — improving it is worthless</t>
  </si>
  <si>
    <t xml:space="preserve">Value of one hour lost at the constraint</t>
  </si>
  <si>
    <t xml:space="preserve">An hour lost at the constraint is an hour lost by the whole plant</t>
  </si>
  <si>
    <t xml:space="preserve">Value of one hour lost elsewhere</t>
  </si>
  <si>
    <t xml:space="preserve">0</t>
  </si>
  <si>
    <t xml:space="preserve">An hour lost at a non-constraint costs nothing if it stays within its spare capacity</t>
  </si>
  <si>
    <t xml:space="preserve">Step 4 — ELEVATE: what a capacity improvement at the constraint is worth</t>
  </si>
  <si>
    <t xml:space="preserve">Scenario</t>
  </si>
  <si>
    <t xml:space="preserve">Improvement at the constraint</t>
  </si>
  <si>
    <t xml:space="preserve">New constraint capacity</t>
  </si>
  <si>
    <t xml:space="preserve">New system throughput</t>
  </si>
  <si>
    <t xml:space="preserve">Extra bottles per year</t>
  </si>
  <si>
    <t xml:space="preserve">Extra margin per year (USD)</t>
  </si>
  <si>
    <t xml:space="preserve">Do nothing</t>
  </si>
  <si>
    <t xml:space="preserve">SMED: 30 min changeover saved per day</t>
  </si>
  <si>
    <t xml:space="preserve">TPM: micro-stops halved at the constraint</t>
  </si>
  <si>
    <t xml:space="preserve">Both, plus a speed increase</t>
  </si>
  <si>
    <t xml:space="preserve">The 'new system throughput' column is capped by the second-slowest station: once you improve the constraint past that point, the constraint moves and further improvement there is worth nothing. That cap is step 5 of the five focusing steps — go back to step 1 and do not let inertia become the new constraint.</t>
  </si>
  <si>
    <t xml:space="preserve">Constraint vs demand</t>
  </si>
  <si>
    <t xml:space="preserve">Effective capacity of the constraint must exceed demand</t>
  </si>
  <si>
    <t xml:space="preserve">If not, no scheduling discipline can deliver the plan</t>
  </si>
  <si>
    <t xml:space="preserve">Improvement location</t>
  </si>
  <si>
    <t xml:space="preserve">100% of effort at the constraint until it is no longer the constraint</t>
  </si>
  <si>
    <t xml:space="preserve">Effort spent elsewhere returns nothing to the plant</t>
  </si>
  <si>
    <t xml:space="preserve">Elevation ceiling</t>
  </si>
  <si>
    <t xml:space="preserve">Second-slowest station capacity</t>
  </si>
  <si>
    <t xml:space="preserve">Improvement beyond this point does not increase output — the constraint has moved</t>
  </si>
  <si>
    <t xml:space="preserve">Constraint buffer</t>
  </si>
  <si>
    <t xml:space="preserve">Enough to absorb the typical upstream stop</t>
  </si>
  <si>
    <t xml:space="preserve">Drum-buffer-rope: the constraint must never be starved</t>
  </si>
  <si>
    <t xml:space="preserve">•  Improving the machine that is easiest to improve, or the one with the loudest sponsor, rather than the constraint.</t>
  </si>
  <si>
    <t xml:space="preserve">•  Running non-constraints at maximum speed, which builds inventory and hides nothing but effort.</t>
  </si>
  <si>
    <t xml:space="preserve">•  Valuing downtime the same everywhere, which sends maintenance to the wrong machine.</t>
  </si>
  <si>
    <t xml:space="preserve">•  Elevating the constraint past the second-slowest station and being surprised that output did not follow.</t>
  </si>
  <si>
    <t xml:space="preserve">•  Forgetting step five, so the organisation keeps optimising a station that stopped being the constraint months ago.</t>
  </si>
  <si>
    <t xml:space="preserve">Q1.  The wrapper is stopped for 40 minutes and it is not the constraint. What did that cost the plant?</t>
  </si>
  <si>
    <t xml:space="preserve">A1.  Nothing, provided the wrapper had at least 40 minutes of spare capacity in the period and a buffer absorbed the interruption. Non-constraint downtime is only expensive when it exceeds the spare capacity or when it starves or blocks the constraint.</t>
  </si>
  <si>
    <t xml:space="preserve">Q2.  Why does the value of elevating the constraint stop at the second-slowest station?</t>
  </si>
  <si>
    <t xml:space="preserve">A2.  Because once the improved station is faster than the next-slowest, the next-slowest becomes the constraint and sets system throughput. Any capacity added beyond that point cannot be sold — it becomes spare.</t>
  </si>
  <si>
    <t xml:space="preserve">Q3.  What is the fifth focusing step warning against?</t>
  </si>
  <si>
    <t xml:space="preserve">A3.  Inertia. Once a constraint is elevated it usually moves somewhere else, but organisations keep managing, measuring and investing as though it had not. The rule is to return to step one and re-identify.</t>
  </si>
  <si>
    <t xml:space="preserve">L-10 — Line Balancing and Yamazumi</t>
  </si>
  <si>
    <t xml:space="preserve">Phase: IMPROVE   |   Data required: Task times and precedence, takt time   |   Min. sample: Every task timed at least 3 times   |   Complexity: 3/5   |   Output: Station loads, balance efficiency and the minimum number of stations</t>
  </si>
  <si>
    <t xml:space="preserve">How should the work be divided between stations so that every station finishes inside takt?</t>
  </si>
  <si>
    <t xml:space="preserve">Whenever a manual cell misses its rate, when demand changes, or when a station is visibly waiting for another.</t>
  </si>
  <si>
    <t xml:space="preserve">A Yamazumi load chart per station, the theoretical minimum number of stations, and the balance efficiency.</t>
  </si>
  <si>
    <t xml:space="preserve">Line balancing distributes a fixed amount of work content across stations so that no station exceeds takt and as few stations as possible are used. The work content itself does not change when you rebalance — only its distribution does, which is why balancing is free and speeding up tasks is not.</t>
  </si>
  <si>
    <t xml:space="preserve">A Yamazumi chart stacks each station's tasks into a column and draws takt as a horizontal line. Any column above the line cannot hold the pace; the space below the line is idle time you are paying for.</t>
  </si>
  <si>
    <t xml:space="preserve">The theoretical minimum number of stations is total work content divided by takt, rounded up. Real cells need more, because precedence constraints and indivisible tasks prevent perfect packing — the gap between theory and reality is the balance delay.</t>
  </si>
  <si>
    <t xml:space="preserve">Balance efficiency above 85% is normally the practical target. Chasing 100% produces a design with no tolerance at all: the first variation in one task stops the cell.</t>
  </si>
  <si>
    <t xml:space="preserve">Rebalancing usually frees a whole operator rather than making everyone slightly less busy. Spreading the idle time evenly across four stations captures nothing; concentrating it releases a person.</t>
  </si>
  <si>
    <t xml:space="preserve">✓  Manual or semi-manual cells where work can be moved between people.</t>
  </si>
  <si>
    <t xml:space="preserve">✗  A fully automatic line where task allocation is fixed by the machine — use TOC (L-09) instead.</t>
  </si>
  <si>
    <t xml:space="preserve">✓  Reacting to a demand change without changing the equipment.</t>
  </si>
  <si>
    <t xml:space="preserve">✗  Task times have not been observed. Balancing to estimated times balances nothing.</t>
  </si>
  <si>
    <t xml:space="preserve">✓  Deciding how many operators a cell genuinely needs.</t>
  </si>
  <si>
    <t xml:space="preserve">✗  The process is unstable: stabilise before designing the allocation.</t>
  </si>
  <si>
    <t xml:space="preserve">✓  Preparing standard work, which requires a balanced allocation first.</t>
  </si>
  <si>
    <t xml:space="preserve">Task times are observed and repeatable</t>
  </si>
  <si>
    <t xml:space="preserve">Time each task at least three times on more than one operator</t>
  </si>
  <si>
    <t xml:space="preserve">Re-time. A balance built on one lucky cycle collapses in production</t>
  </si>
  <si>
    <t xml:space="preserve">Precedence constraints are real, not habitual</t>
  </si>
  <si>
    <t xml:space="preserve">Ask why each task must follow another; many 'must' answers are only 'always'</t>
  </si>
  <si>
    <t xml:space="preserve">Challenge the sequence — freed precedence is where balance gains come from</t>
  </si>
  <si>
    <t xml:space="preserve">Takt is current</t>
  </si>
  <si>
    <t xml:space="preserve">Recompute takt whenever demand changes</t>
  </si>
  <si>
    <t xml:space="preserve">Rebalance; a balance is only valid for the takt it was designed against</t>
  </si>
  <si>
    <t xml:space="preserve">Task variation is small relative to takt</t>
  </si>
  <si>
    <t xml:space="preserve">Look at the spread of the timed cycles, not just the average</t>
  </si>
  <si>
    <t xml:space="preserve">Leave more margin below takt, or reduce the variation first</t>
  </si>
  <si>
    <t xml:space="preserve">E-03  Descriptive Statistics</t>
  </si>
  <si>
    <t xml:space="preserve">TAKT TIME                     = net available time / demand Station load                  = sum of the task times allocated to that station Theoretical minimum stations  = ROUNDUP( total work content / takt ) Bottleneck load               = MAX( station loads )   — this is the real cycle time of the cell</t>
  </si>
  <si>
    <t xml:space="preserve">Line balance efficiency = total work content / ( number of stations x bottleneck load ) Balance delay           = 1 - line balance efficiency</t>
  </si>
  <si>
    <t xml:space="preserve">Cell output capability  = 3600 / bottleneck load          (units per hour)</t>
  </si>
  <si>
    <t xml:space="preserve">Design rule: every station load must be below takt, with a margin for task variation.</t>
  </si>
  <si>
    <t xml:space="preserve">Target: balance efficiency &gt;= 85%. Above 95% the design has no tolerance for variation.</t>
  </si>
  <si>
    <t xml:space="preserve">SUMIF(station_column, 2, task_times)</t>
  </si>
  <si>
    <t xml:space="preserve">Adds the task times allocated to one station</t>
  </si>
  <si>
    <t xml:space="preserve">MAX(station loads)</t>
  </si>
  <si>
    <t xml:space="preserve">Bottleneck load — the cell's real cycle time</t>
  </si>
  <si>
    <t xml:space="preserve">ROUNDUP(work/takt, 0)</t>
  </si>
  <si>
    <t xml:space="preserve">Theoretical minimum number of stations, always rounded up</t>
  </si>
  <si>
    <t xml:space="preserve">COUNTIF(loads, "&gt;0")</t>
  </si>
  <si>
    <t xml:space="preserve">Counts stations that actually carry work</t>
  </si>
  <si>
    <t xml:space="preserve">IF(load&gt;takt,"OVERLOADED",...)</t>
  </si>
  <si>
    <t xml:space="preserve">Flags any station that cannot hold the pace</t>
  </si>
  <si>
    <t xml:space="preserve">Scenario: the secondary packing cell that builds six-bottle promotional multipacks. Eight tasks, timed over three operators, currently spread across three stations. The last column holds a proposed re-allocation across four stations.</t>
  </si>
  <si>
    <t xml:space="preserve">Step 1 — takt time for the manual assembly cell</t>
  </si>
  <si>
    <t xml:space="preserve">Net available time per shift</t>
  </si>
  <si>
    <t xml:space="preserve">After breaks and planned stops</t>
  </si>
  <si>
    <t xml:space="preserve">Demand per shift</t>
  </si>
  <si>
    <t xml:space="preserve">cases</t>
  </si>
  <si>
    <t xml:space="preserve">Secondary packing cell, shrink-wrapped multipacks</t>
  </si>
  <si>
    <t xml:space="preserve">sec/case</t>
  </si>
  <si>
    <t xml:space="preserve">One case must leave every this many seconds</t>
  </si>
  <si>
    <t xml:space="preserve">Step 2 — task list with times and precedence</t>
  </si>
  <si>
    <t xml:space="preserve">Task</t>
  </si>
  <si>
    <t xml:space="preserve">Task time (sec)</t>
  </si>
  <si>
    <t xml:space="preserve">Must follow</t>
  </si>
  <si>
    <t xml:space="preserve">Station today</t>
  </si>
  <si>
    <t xml:space="preserve">Station proposed</t>
  </si>
  <si>
    <t xml:space="preserve">A  Erect the carton</t>
  </si>
  <si>
    <t xml:space="preserve">B  Insert the divider</t>
  </si>
  <si>
    <t xml:space="preserve">C  Load six bottles</t>
  </si>
  <si>
    <t xml:space="preserve">D  Check fill level visually</t>
  </si>
  <si>
    <t xml:space="preserve">E  Apply the promotional sleeve</t>
  </si>
  <si>
    <t xml:space="preserve">F  Close and tape the carton</t>
  </si>
  <si>
    <t xml:space="preserve">D, E</t>
  </si>
  <si>
    <t xml:space="preserve">G  Apply the case label</t>
  </si>
  <si>
    <t xml:space="preserve">H  Scan and place on the conveyor</t>
  </si>
  <si>
    <t xml:space="preserve">Step 3 — Yamazumi: load per station, today and proposed</t>
  </si>
  <si>
    <t xml:space="preserve">Load today (sec)</t>
  </si>
  <si>
    <t xml:space="preserve">Load today as % of takt</t>
  </si>
  <si>
    <t xml:space="preserve">Load proposed (sec)</t>
  </si>
  <si>
    <t xml:space="preserve">Load proposed as % of takt</t>
  </si>
  <si>
    <t xml:space="preserve">Idle time vs takt (sec)</t>
  </si>
  <si>
    <t xml:space="preserve">Station 1</t>
  </si>
  <si>
    <t xml:space="preserve">Station 2</t>
  </si>
  <si>
    <t xml:space="preserve">Station 3</t>
  </si>
  <si>
    <t xml:space="preserve">Station 4</t>
  </si>
  <si>
    <t xml:space="preserve">Step 4 — balance metrics</t>
  </si>
  <si>
    <t xml:space="preserve">Today</t>
  </si>
  <si>
    <t xml:space="preserve">Proposed</t>
  </si>
  <si>
    <t xml:space="preserve">Total work content</t>
  </si>
  <si>
    <t xml:space="preserve">sec</t>
  </si>
  <si>
    <t xml:space="preserve">Sum of all task times — unchanged by rebalancing</t>
  </si>
  <si>
    <t xml:space="preserve">Stations used</t>
  </si>
  <si>
    <t xml:space="preserve">stations</t>
  </si>
  <si>
    <t xml:space="preserve">Stations carrying at least one task</t>
  </si>
  <si>
    <t xml:space="preserve">Bottleneck station load</t>
  </si>
  <si>
    <t xml:space="preserve">The real cycle time of the cell</t>
  </si>
  <si>
    <t xml:space="preserve">Theoretical minimum stations</t>
  </si>
  <si>
    <t xml:space="preserve">Work content divided by takt, rounded up</t>
  </si>
  <si>
    <t xml:space="preserve">Line balance efficiency</t>
  </si>
  <si>
    <t xml:space="preserve">Work content / (stations x bottleneck load)</t>
  </si>
  <si>
    <t xml:space="preserve">Balance delay (loss)</t>
  </si>
  <si>
    <t xml:space="preserve">The idle share built into the design</t>
  </si>
  <si>
    <t xml:space="preserve">Cell output capability</t>
  </si>
  <si>
    <t xml:space="preserve">cases/h</t>
  </si>
  <si>
    <t xml:space="preserve">3600 divided by the bottleneck load</t>
  </si>
  <si>
    <t xml:space="preserve">Station load vs takt</t>
  </si>
  <si>
    <t xml:space="preserve">Every station strictly below takt</t>
  </si>
  <si>
    <t xml:space="preserve">A station above takt caps the whole cell</t>
  </si>
  <si>
    <t xml:space="preserve">&gt;= 85% good, 70-85% workable, &lt; 70% poor</t>
  </si>
  <si>
    <t xml:space="preserve">Below 70% you are paying for idle time by design</t>
  </si>
  <si>
    <t xml:space="preserve">Stations vs theoretical minimum</t>
  </si>
  <si>
    <t xml:space="preserve">Within one station of the minimum</t>
  </si>
  <si>
    <t xml:space="preserve">A gap of two or more means the precedence rules deserve challenging</t>
  </si>
  <si>
    <t xml:space="preserve">Margin below takt</t>
  </si>
  <si>
    <t xml:space="preserve">5-10% of takt</t>
  </si>
  <si>
    <t xml:space="preserve">Room for normal task variation; without it the cell stops on the first slow cycle</t>
  </si>
  <si>
    <t xml:space="preserve">•  Balancing to the average task time and ignoring its variation, so the cell fails on every slow cycle.</t>
  </si>
  <si>
    <t xml:space="preserve">•  Spreading idle time evenly across all stations instead of concentrating it to release one operator.</t>
  </si>
  <si>
    <t xml:space="preserve">•  Accepting precedence constraints that are habit rather than physics.</t>
  </si>
  <si>
    <t xml:space="preserve">•  Rebalancing without rewriting the standard work, so the new allocation lasts one shift.</t>
  </si>
  <si>
    <t xml:space="preserve">•  Designing to 100% balance efficiency, which leaves no tolerance for anything at all.</t>
  </si>
  <si>
    <t xml:space="preserve">Q1.  Work content is 55 s, takt is 20 s. What is the theoretical minimum number of stations, and why will you probably need more?</t>
  </si>
  <si>
    <t xml:space="preserve">A1.  ROUNDUP(55/20) = 3 stations. You will usually need more because tasks are indivisible and precedence constraints prevent packing them perfectly; that gap is the balance delay.</t>
  </si>
  <si>
    <t xml:space="preserve">Q2.  Why is it better to concentrate idle time in one station than to spread it evenly?</t>
  </si>
  <si>
    <t xml:space="preserve">A2.  Because concentrated idle time releases a whole operator, who can be redeployed. Idle time spread evenly across four stations releases nobody — the cell simply costs the same and works slightly slower.</t>
  </si>
  <si>
    <t xml:space="preserve">Q3.  Balance efficiency is 97%. Is that good?</t>
  </si>
  <si>
    <t xml:space="preserve">A3.  Not necessarily. At 97% every station is essentially at takt, so the first slow cycle, quality check or material shortage stops the cell. A design target of 85-90% leaves the tolerance that real work needs.</t>
  </si>
  <si>
    <t xml:space="preserve">L-11 — Overall Equipment Effectiveness</t>
  </si>
  <si>
    <t xml:space="preserve">Phase: MEASURE   |   Data required: Shift time ladder, downtime by cause, units started and good units   |   Min. sample: One full shift   |   Complexity: 3/5   |   Output: Availability, Performance, Quality, OEE, TEEP and the six big losses</t>
  </si>
  <si>
    <t xml:space="preserve">Of the time this line was supposed to be producing, how much of it produced good product at full speed?</t>
  </si>
  <si>
    <t xml:space="preserve">Every shift, as the standard measure of equipment loss, and always before anyone proposes buying capacity.</t>
  </si>
  <si>
    <t xml:space="preserve">Three factors, one OEE number, and the six big losses ranked in bottles, each pointing at the tool that fixes it.</t>
  </si>
  <si>
    <t xml:space="preserve">OEE multiplies three independent losses: the time the machine did not run (availability), the speed it lost while running (performance), and the product it spoiled while running (quality). Multiplying them is deliberate — three respectable-looking factors of 90%, 90% and 95% produce an OEE of 77%.</t>
  </si>
  <si>
    <t xml:space="preserve">The number itself is far less useful than its decomposition. An OEE of 65% says nothing actionable; 82% availability, 85% performance and 93% quality says exactly where to go, and the six big losses say exactly which tool to take when you get there.</t>
  </si>
  <si>
    <t xml:space="preserve">The most common way to get OEE wrong is to manipulate the denominator. Planned production time excludes genuinely planned shutdown — no demand, no crew, scheduled CIP — and nothing else. Moving breakdowns into 'planned' inflates availability and destroys the measure's usefulness.</t>
  </si>
  <si>
    <t xml:space="preserve">Performance loss is the least documented and usually the largest. Micro-stops of under five minutes are rarely logged anywhere, yet on a high-speed packaging line they routinely account for more lost bottles than breakdowns do.</t>
  </si>
  <si>
    <t xml:space="preserve">TEEP extends the same arithmetic over calendar time, and answers a different question: not 'how well did we run' but 'how much of the asset we own did we use'.</t>
  </si>
  <si>
    <t xml:space="preserve">✓  As the standard loss measure on any piece of equipment with a defined ideal rate.</t>
  </si>
  <si>
    <t xml:space="preserve">✗  There is no agreed ideal cycle rate; without it, performance is undefined.</t>
  </si>
  <si>
    <t xml:space="preserve">✓  To decide whether the constraint needs reliability work, speed work or quality work.</t>
  </si>
  <si>
    <t xml:space="preserve">✗  As a comparison between different lines or different plants — the denominators are never the same.</t>
  </si>
  <si>
    <t xml:space="preserve">✓  To convert a capacity request into a loss-recovery plan first.</t>
  </si>
  <si>
    <t xml:space="preserve">✗  As an operator performance measure. OEE measures the equipment and its management, not the crew.</t>
  </si>
  <si>
    <t xml:space="preserve">✓  To compare the same machine against itself over time — never against a different machine.</t>
  </si>
  <si>
    <t xml:space="preserve">Planned production time excludes only genuine planned shutdown</t>
  </si>
  <si>
    <t xml:space="preserve">Check that no breakdown or changeover has been moved into 'planned'</t>
  </si>
  <si>
    <t xml:space="preserve">Rebuild the time ladder; a manipulated denominator makes every number meaningless</t>
  </si>
  <si>
    <t xml:space="preserve">The ideal cycle rate is the nameplate rate, not a negotiated target</t>
  </si>
  <si>
    <t xml:space="preserve">Confirm against the equipment specification</t>
  </si>
  <si>
    <t xml:space="preserve">Use the nameplate rate; a soft target hides the speed loss you are trying to find</t>
  </si>
  <si>
    <t xml:space="preserve">Micro-stops are captured</t>
  </si>
  <si>
    <t xml:space="preserve">Compare the logged downtime against the gap between theoretical and actual output</t>
  </si>
  <si>
    <t xml:space="preserve">The difference is unlogged micro-stops — count them before trusting performance</t>
  </si>
  <si>
    <t xml:space="preserve">H-08  Run Chart</t>
  </si>
  <si>
    <t xml:space="preserve">Quality counts first-pass units only</t>
  </si>
  <si>
    <t xml:space="preserve">Reworked units must not be counted as good</t>
  </si>
  <si>
    <t xml:space="preserve">Recount; rework counted as good hides the entire hidden factory</t>
  </si>
  <si>
    <t xml:space="preserve">PLANNED PRODUCTION TIME = calendar time  -  planned shutdown Run time                = planned production time  -  breakdowns  -  set-up and adjustment</t>
  </si>
  <si>
    <t xml:space="preserve">AVAILABILITY = run time / planned production time</t>
  </si>
  <si>
    <t xml:space="preserve">PERFORMANCE  = total units started / run time / ideal cycle rate QUALITY      = good first-pass units / total units started</t>
  </si>
  <si>
    <t xml:space="preserve">OEE  = Availability  x  Performance  x  Quality</t>
  </si>
  <si>
    <t xml:space="preserve">TEEP = OEE  x  ( planned production time / calendar time )</t>
  </si>
  <si>
    <t xml:space="preserve">THE SIX BIG LOSSES:</t>
  </si>
  <si>
    <t xml:space="preserve">Availability:  1 breakdowns   ·   2 set-up and adjustment Performance:   3 idling and minor stops   ·   4 reduced speed Quality:       5 process defects and rework   ·   6 start-up and yield losses</t>
  </si>
  <si>
    <t xml:space="preserve">World class reference: A 90%, P 95%, Q 99.9%  →  OEE 85%. On a real PET line, 60-75% is common.</t>
  </si>
  <si>
    <t xml:space="preserve">SUMIF(factor, "Availability", minutes)</t>
  </si>
  <si>
    <t xml:space="preserve">Adds only the losses that damage a given OEE factor</t>
  </si>
  <si>
    <t xml:space="preserve">IF(A&gt;=0.9,"At world class",...)</t>
  </si>
  <si>
    <t xml:space="preserve">Assesses each factor against its benchmark</t>
  </si>
  <si>
    <t xml:space="preserve">INDEX(losses, MATCH(MAX(units), units, 0))</t>
  </si>
  <si>
    <t xml:space="preserve">Names the largest single loss in bottles</t>
  </si>
  <si>
    <t xml:space="preserve">Guards every division while the shift log is empty</t>
  </si>
  <si>
    <t xml:space="preserve">Native bar chart</t>
  </si>
  <si>
    <t xml:space="preserve">openpyxl BarChart</t>
  </si>
  <si>
    <t xml:space="preserve">The waterfall of remaining minutes after each loss</t>
  </si>
  <si>
    <t xml:space="preserve">Scenario: one shift on the PET line. 480 minutes of calendar time, 55 minutes of planned CIP and handover, and a downtime log that separates breakdowns from changeover and micro-stops. The filler started 78,500 bottles and 71,700 passed first time.</t>
  </si>
  <si>
    <t xml:space="preserve">Step 1 — the time ladder for one shift</t>
  </si>
  <si>
    <t xml:space="preserve">Time bucket</t>
  </si>
  <si>
    <t xml:space="preserve">Minutes</t>
  </si>
  <si>
    <t xml:space="preserve">Type</t>
  </si>
  <si>
    <t xml:space="preserve">Calendar time</t>
  </si>
  <si>
    <t xml:space="preserve">The full shift</t>
  </si>
  <si>
    <t xml:space="preserve">Planned shutdown (no demand, no crew, planned CIP)</t>
  </si>
  <si>
    <t xml:space="preserve">Excluded from OEE, included in TEEP</t>
  </si>
  <si>
    <t xml:space="preserve">PLANNED PRODUCTION TIME</t>
  </si>
  <si>
    <t xml:space="preserve">Calculated</t>
  </si>
  <si>
    <t xml:space="preserve">The denominator of OEE availability</t>
  </si>
  <si>
    <t xml:space="preserve">Step 2 — production data for the same shift</t>
  </si>
  <si>
    <t xml:space="preserve">Ideal cycle rate</t>
  </si>
  <si>
    <t xml:space="preserve">bottles/min</t>
  </si>
  <si>
    <t xml:space="preserve">18,000 BPH nameplate divided by 60 — the theoretical best</t>
  </si>
  <si>
    <t xml:space="preserve">Total units started</t>
  </si>
  <si>
    <t xml:space="preserve">Everything the filler produced, good and bad</t>
  </si>
  <si>
    <t xml:space="preserve">Good units (first pass)</t>
  </si>
  <si>
    <t xml:space="preserve">Units that passed with no rework</t>
  </si>
  <si>
    <t xml:space="preserve">Step 3 — the six big losses, measured for the same shift</t>
  </si>
  <si>
    <t xml:space="preserve">Big loss</t>
  </si>
  <si>
    <t xml:space="preserve">OEE factor it damages</t>
  </si>
  <si>
    <t xml:space="preserve">Minutes lost</t>
  </si>
  <si>
    <t xml:space="preserve">Units lost (defects)</t>
  </si>
  <si>
    <t xml:space="preserve">Loss as % of planned production time</t>
  </si>
  <si>
    <t xml:space="preserve">Equivalent units not sold</t>
  </si>
  <si>
    <t xml:space="preserve">1  Breakdowns (failure, &gt; 5 min)</t>
  </si>
  <si>
    <t xml:space="preserve">Availability</t>
  </si>
  <si>
    <t xml:space="preserve">2  Set-up and adjustment (changeover)</t>
  </si>
  <si>
    <t xml:space="preserve">3  Idling and minor stops (&lt; 5 min)</t>
  </si>
  <si>
    <t xml:space="preserve">Performance</t>
  </si>
  <si>
    <t xml:space="preserve">4  Reduced speed (running below rate)</t>
  </si>
  <si>
    <t xml:space="preserve">5  Process defects and rework</t>
  </si>
  <si>
    <t xml:space="preserve">6  Start-up and yield losses</t>
  </si>
  <si>
    <t xml:space="preserve">Step 4 — the three OEE factors</t>
  </si>
  <si>
    <t xml:space="preserve">Formula in words</t>
  </si>
  <si>
    <t xml:space="preserve">World class</t>
  </si>
  <si>
    <t xml:space="preserve">AVAILABILITY</t>
  </si>
  <si>
    <t xml:space="preserve">Run time / planned production time</t>
  </si>
  <si>
    <t xml:space="preserve">90%</t>
  </si>
  <si>
    <t xml:space="preserve">PERFORMANCE</t>
  </si>
  <si>
    <t xml:space="preserve">(Ideal cycle rate x total units) / run time</t>
  </si>
  <si>
    <t xml:space="preserve">95%</t>
  </si>
  <si>
    <t xml:space="preserve">QUALITY</t>
  </si>
  <si>
    <t xml:space="preserve">Good units / total units started</t>
  </si>
  <si>
    <t xml:space="preserve">99.9%</t>
  </si>
  <si>
    <t xml:space="preserve">OEE</t>
  </si>
  <si>
    <t xml:space="preserve">Availability x Performance x Quality</t>
  </si>
  <si>
    <t xml:space="preserve">85%</t>
  </si>
  <si>
    <t xml:space="preserve">TEEP</t>
  </si>
  <si>
    <t xml:space="preserve">OEE x (planned production time / calendar time)</t>
  </si>
  <si>
    <t xml:space="preserve">Total effective equipment performance, including the time you chose not to run</t>
  </si>
  <si>
    <t xml:space="preserve">Step 5 — where the OEE went (waterfall of losses, in minutes)</t>
  </si>
  <si>
    <t xml:space="preserve">Step of the waterfall</t>
  </si>
  <si>
    <t xml:space="preserve">Minutes lost at this step</t>
  </si>
  <si>
    <t xml:space="preserve">Minutes still productive</t>
  </si>
  <si>
    <t xml:space="preserve">% of planned production time</t>
  </si>
  <si>
    <t xml:space="preserve">Planned production time</t>
  </si>
  <si>
    <t xml:space="preserve">less Breakdowns</t>
  </si>
  <si>
    <t xml:space="preserve">less Set-up and adjustment</t>
  </si>
  <si>
    <t xml:space="preserve">less Idling and minor stops</t>
  </si>
  <si>
    <t xml:space="preserve">less Reduced speed</t>
  </si>
  <si>
    <t xml:space="preserve">less Defects and rework</t>
  </si>
  <si>
    <t xml:space="preserve">less Start-up and yield</t>
  </si>
  <si>
    <t xml:space="preserve">EQUIVALENT FULLY PRODUCTIVE TIME</t>
  </si>
  <si>
    <t xml:space="preserve">Where each loss should be attacked</t>
  </si>
  <si>
    <t xml:space="preserve">Root-cause tool</t>
  </si>
  <si>
    <t xml:space="preserve">Counter-measure tool</t>
  </si>
  <si>
    <t xml:space="preserve">1  Breakdowns</t>
  </si>
  <si>
    <t xml:space="preserve">5 Whys on the top failure mode</t>
  </si>
  <si>
    <t xml:space="preserve">TPM and autonomous maintenance</t>
  </si>
  <si>
    <t xml:space="preserve">L-16  TPM</t>
  </si>
  <si>
    <t xml:space="preserve">2  Set-up and adjustment</t>
  </si>
  <si>
    <t xml:space="preserve">Internal vs external classification</t>
  </si>
  <si>
    <t xml:space="preserve">SMED</t>
  </si>
  <si>
    <t xml:space="preserve">L-15  SMED</t>
  </si>
  <si>
    <t xml:space="preserve">3  Idling and minor stops</t>
  </si>
  <si>
    <t xml:space="preserve">Stratified micro-stop log</t>
  </si>
  <si>
    <t xml:space="preserve">Standard work and poka-yoke</t>
  </si>
  <si>
    <t xml:space="preserve">L-17  Poka-Yoke</t>
  </si>
  <si>
    <t xml:space="preserve">4  Reduced speed</t>
  </si>
  <si>
    <t xml:space="preserve">Speed loss by product and by shift</t>
  </si>
  <si>
    <t xml:space="preserve">Standard work, then DOE on settings</t>
  </si>
  <si>
    <t xml:space="preserve">E-42  Full Factorial DOE</t>
  </si>
  <si>
    <t xml:space="preserve">5  Defects and rework</t>
  </si>
  <si>
    <t xml:space="preserve">Pareto then Ishikawa</t>
  </si>
  <si>
    <t xml:space="preserve">SPC and capability</t>
  </si>
  <si>
    <t xml:space="preserve">E-49  I-MR Chart</t>
  </si>
  <si>
    <t xml:space="preserve">6  Start-up and yield</t>
  </si>
  <si>
    <t xml:space="preserve">Changeover first-article analysis</t>
  </si>
  <si>
    <t xml:space="preserve">Standard set-up and recipe recall</t>
  </si>
  <si>
    <t xml:space="preserve">&gt;= 85% world class, 60-75% typical for a packaging line, &lt; 60% significant losses</t>
  </si>
  <si>
    <t xml:space="preserve">Only ever compare a machine against its own history</t>
  </si>
  <si>
    <t xml:space="preserve">Below this, breakdowns (L-16) and changeover (L-15) dominate</t>
  </si>
  <si>
    <t xml:space="preserve">&gt;= 95%</t>
  </si>
  <si>
    <t xml:space="preserve">Below this, micro-stops and speed losses dominate — usually the least documented losses</t>
  </si>
  <si>
    <t xml:space="preserve">&gt;= 99.9%</t>
  </si>
  <si>
    <t xml:space="preserve">First-pass only. Rework counted as good invalidates the whole measure</t>
  </si>
  <si>
    <t xml:space="preserve">TEEP vs OEE</t>
  </si>
  <si>
    <t xml:space="preserve">Large gap</t>
  </si>
  <si>
    <t xml:space="preserve">You are not using the asset you own — a scheduling question, not an equipment one</t>
  </si>
  <si>
    <t xml:space="preserve">•  Moving unplanned stops into 'planned shutdown' so availability looks better, which destroys the measure.</t>
  </si>
  <si>
    <t xml:space="preserve">•  Using a negotiated target rate instead of the nameplate rate, which hides the entire speed loss.</t>
  </si>
  <si>
    <t xml:space="preserve">•  Counting reworked bottles as good, which hides the hidden factory inside the quality factor.</t>
  </si>
  <si>
    <t xml:space="preserve">•  Comparing OEE between two different lines, or between two plants, as though the number were absolute.</t>
  </si>
  <si>
    <t xml:space="preserve">•  Reporting OEE without its three factors, which leaves the reader with a score and no action.</t>
  </si>
  <si>
    <t xml:space="preserve">•  Using OEE to judge the crew rather than the equipment and its management.</t>
  </si>
  <si>
    <t xml:space="preserve">Q1.  Availability is 92%, performance 88%, quality 99.5%. What is OEE and what should be attacked?</t>
  </si>
  <si>
    <t xml:space="preserve">A1.  OEE = 0.92 x 0.88 x 0.995 = 80.5%. Performance is the weakest factor, so the target is micro-stops and speed losses — the losses least likely to appear in the downtime log and most likely to be dismissed as normal.</t>
  </si>
  <si>
    <t xml:space="preserve">Q2.  Why is it wrong to exclude changeover time from planned production time?</t>
  </si>
  <si>
    <t xml:space="preserve">A2.  Because changeover is one of the six big losses (set-up and adjustment) and is the loss SMED exists to attack. Excluding it inflates availability and removes the incentive to reduce it. Only genuinely planned shutdown — no demand, no crew, scheduled CIP — belongs outside the denominator.</t>
  </si>
  <si>
    <t xml:space="preserve">Q3.  A line reports 85% OEE but only runs 8 hours of a 24-hour day. What does TEEP add?</t>
  </si>
  <si>
    <t xml:space="preserve">A3.  TEEP multiplies OEE by the fraction of calendar time the line is scheduled: 85% x 8/24 = 28%. It shows that the asset is well run but barely used, which is a scheduling and demand question rather than an equipment one.</t>
  </si>
  <si>
    <t xml:space="preserve">L-12 — 5S and Workplace Organisation</t>
  </si>
  <si>
    <t xml:space="preserve">Phase: IMPROVE   |   Data required: Structured audit of the area against 20 items   |   Min. sample: One audit per area   |   Complexity: 1/5   |   Output: Score per S, total score, maturity level and trend</t>
  </si>
  <si>
    <t xml:space="preserve">Is this workplace organised well enough that an abnormality is visible to anyone who walks past?</t>
  </si>
  <si>
    <t xml:space="preserve">At the start of any improvement on the floor, and on a fixed cadence thereafter to see whether it held.</t>
  </si>
  <si>
    <t xml:space="preserve">A numeric score per S, an overall maturity level, and the one S to work on next.</t>
  </si>
  <si>
    <t xml:space="preserve">5S is usually described as housekeeping, which is why it usually fails. Its actual purpose is to make abnormality visible: if every item has a marked place, a missing item is obvious; if the machine is clean, a leak is obvious; if the standard is posted, a deviation is obvious.</t>
  </si>
  <si>
    <t xml:space="preserve">The five steps are sequential and each depends on the one before. Sort removes what is not needed. Set in order gives everything that remains one marked location at the point of use. Shine is cleaning treated as inspection — the point is not the cloth, it is what you find while using it. Standardise turns the first three into a written, visual standard with an owner and a frequency. Sustain is the audit cadence and the management attention that keeps the other four alive.</t>
  </si>
  <si>
    <t xml:space="preserve">The diagnostic pattern to look for is Sustain scoring lower than Sort. It means the area has been cleaned up repeatedly and never held, which is a management system problem rather than a housekeeping one.</t>
  </si>
  <si>
    <t xml:space="preserve">5S is also a safety tool. Marked aisles, no floor storage and restored equipment condition remove a large share of the slip, trip and entanglement risk on a packaging line.</t>
  </si>
  <si>
    <t xml:space="preserve">✓  Before any Kaizen event on the floor — a disorganised area makes every other measurement noisier.</t>
  </si>
  <si>
    <t xml:space="preserve">✗  As a substitute for solving the technical problem. A tidy line that still breaks down is still broken.</t>
  </si>
  <si>
    <t xml:space="preserve">✓  As the standing audit that keeps a workplace stable after an improvement.</t>
  </si>
  <si>
    <t xml:space="preserve">✗  As a one-off cleaning campaign with no audit cadence behind it.</t>
  </si>
  <si>
    <t xml:space="preserve">✓  To turn 'the area is untidy' into a score, a trend and a specific next action.</t>
  </si>
  <si>
    <t xml:space="preserve">✗  To compare two areas competitively in a way that makes people hide problems.</t>
  </si>
  <si>
    <t xml:space="preserve">✓  As a safety intervention, since most of the 20 items also reduce physical risk.</t>
  </si>
  <si>
    <t xml:space="preserve">The audit is done at the workplace, by people who see it daily</t>
  </si>
  <si>
    <t xml:space="preserve">Audit in the area, not from a desk</t>
  </si>
  <si>
    <t xml:space="preserve">Re-audit on the floor with the team present</t>
  </si>
  <si>
    <t xml:space="preserve">Scores are evidence-based</t>
  </si>
  <si>
    <t xml:space="preserve">Every score below 3 has a written observation next to it</t>
  </si>
  <si>
    <t xml:space="preserve">Re-score; an unexplained number produces no action</t>
  </si>
  <si>
    <t xml:space="preserve">The area has a defined owner</t>
  </si>
  <si>
    <t xml:space="preserve">One named owner per area, visible at the line</t>
  </si>
  <si>
    <t xml:space="preserve">Assign ownership before auditing anything</t>
  </si>
  <si>
    <t xml:space="preserve">Actions from the previous audit were closed</t>
  </si>
  <si>
    <t xml:space="preserve">Check the action list, not the memory</t>
  </si>
  <si>
    <t xml:space="preserve">Close the open actions before running a new audit — otherwise the score is fiction</t>
  </si>
  <si>
    <t xml:space="preserve">L-23  PDCA / PDSA Cycle</t>
  </si>
  <si>
    <t xml:space="preserve">Score per S      = sum of the four item scores in that S          (maximum 16) Total 5S score   = sum of the five S scores                       (maximum 80) Percentage       = score / maximum</t>
  </si>
  <si>
    <t xml:space="preserve">Maturity levels used on this sheet:</t>
  </si>
  <si>
    <t xml:space="preserve">&gt;= 80%  Level 4 — self-sustaining, the team improves the standard itself &gt;= 60%  Level 3 — standardised, deviations are corrected &gt;= 40%  Level 2 — organised, but not yet standard</t>
  </si>
  <si>
    <t xml:space="preserve">    &lt; 40%  Level 1 — starting</t>
  </si>
  <si>
    <t xml:space="preserve">Diagnostic: if Sustain &lt; Sort, the programme is being re-launched rather than sustained.</t>
  </si>
  <si>
    <t xml:space="preserve">SUM(C60:C63)</t>
  </si>
  <si>
    <t xml:space="preserve">Score for one S, from its four items</t>
  </si>
  <si>
    <t xml:space="preserve">MIN + INDEX/MATCH</t>
  </si>
  <si>
    <t xml:space="preserve">INDEX(S_names, MATCH(MIN(scores), scores, 0))</t>
  </si>
  <si>
    <t xml:space="preserve">Names the weakest S — the one to work on next</t>
  </si>
  <si>
    <t xml:space="preserve">IF(pct&gt;=0.8,"Level 4",...)</t>
  </si>
  <si>
    <t xml:space="preserve">Converts the percentage into a maturity level</t>
  </si>
  <si>
    <t xml:space="preserve">Custom number format</t>
  </si>
  <si>
    <t xml:space="preserve">"+0;-0;0"</t>
  </si>
  <si>
    <t xml:space="preserve">Shows the change against the previous audit with an explicit sign</t>
  </si>
  <si>
    <t xml:space="preserve">Scenario: quarterly 5S audit of the filler and capper area on the PET line, scored by the shift supervisor and the area owner together, against 20 items in five groups.</t>
  </si>
  <si>
    <t xml:space="preserve">5S audit scorecard — score every item 0 to 4</t>
  </si>
  <si>
    <t xml:space="preserve">Score</t>
  </si>
  <si>
    <t xml:space="preserve">What it means</t>
  </si>
  <si>
    <t xml:space="preserve">Not done at all — no evidence the standard exists</t>
  </si>
  <si>
    <t xml:space="preserve">Started — some evidence, no standard, not sustained</t>
  </si>
  <si>
    <t xml:space="preserve">Standard exists and is partially followed</t>
  </si>
  <si>
    <t xml:space="preserve">Standard followed consistently, deviations are corrected</t>
  </si>
  <si>
    <t xml:space="preserve">Standard followed, improved by the team, and visibly self-sustaining</t>
  </si>
  <si>
    <t xml:space="preserve">Audit item</t>
  </si>
  <si>
    <t xml:space="preserve">Score 0-4</t>
  </si>
  <si>
    <t xml:space="preserve">% of maximum</t>
  </si>
  <si>
    <t xml:space="preserve">Evidence / action noted during the audit</t>
  </si>
  <si>
    <t xml:space="preserve">1S  SORT (Seiri)</t>
  </si>
  <si>
    <t xml:space="preserve">Only tools and materials needed for current production are in the area</t>
  </si>
  <si>
    <t xml:space="preserve">Obsolete change parts, old formats and broken items have been removed</t>
  </si>
  <si>
    <t xml:space="preserve">A red-tag area exists and is cleared on a defined cadence</t>
  </si>
  <si>
    <t xml:space="preserve">Nothing is stored on the floor, on top of panels or behind the machine</t>
  </si>
  <si>
    <t xml:space="preserve">2S  SET IN ORDER (Seiton)</t>
  </si>
  <si>
    <t xml:space="preserve">Every tool has one marked location, at the point of use</t>
  </si>
  <si>
    <t xml:space="preserve">Shadow boards or foam inserts make a missing item obvious in one second</t>
  </si>
  <si>
    <t xml:space="preserve">Floor markings define aisles, pallet positions and safety zones</t>
  </si>
  <si>
    <t xml:space="preserve">Frequently used items are within reach; rarely used items are further away</t>
  </si>
  <si>
    <t xml:space="preserve">3S  SHINE (Seiso)</t>
  </si>
  <si>
    <t xml:space="preserve">Cleaning is a daily task with a named owner and a defined time</t>
  </si>
  <si>
    <t xml:space="preserve">Cleaning is treated as inspection: leaks and looseness are recorded, not just wiped</t>
  </si>
  <si>
    <t xml:space="preserve">The equipment's cleanable condition has been restored at least once</t>
  </si>
  <si>
    <t xml:space="preserve">Sources of contamination have been addressed, not just their effects</t>
  </si>
  <si>
    <t xml:space="preserve">4S  STANDARDISE (Seiketsu)</t>
  </si>
  <si>
    <t xml:space="preserve">A visual standard photograph shows what the area looks like when correct</t>
  </si>
  <si>
    <t xml:space="preserve">The first three S's have a written standard with a frequency and an owner</t>
  </si>
  <si>
    <t xml:space="preserve">Abnormality is visible without asking anyone</t>
  </si>
  <si>
    <t xml:space="preserve">The standard is at the workplace, not in a folder</t>
  </si>
  <si>
    <t xml:space="preserve">5S  SUSTAIN (Shitsuke)</t>
  </si>
  <si>
    <t xml:space="preserve">The audit is performed on a fixed cadence by line management</t>
  </si>
  <si>
    <t xml:space="preserve">Results are posted at the line and discussed with the team</t>
  </si>
  <si>
    <t xml:space="preserve">Actions from the last audit were closed</t>
  </si>
  <si>
    <t xml:space="preserve">New team members are trained on the standard as part of induction</t>
  </si>
  <si>
    <t xml:space="preserve">5S profile</t>
  </si>
  <si>
    <t xml:space="preserve">Maximum</t>
  </si>
  <si>
    <t xml:space="preserve">16</t>
  </si>
  <si>
    <t xml:space="preserve">TOTAL 5S SCORE</t>
  </si>
  <si>
    <t xml:space="preserve">Audit history — post this at the line</t>
  </si>
  <si>
    <t xml:space="preserve">Audit</t>
  </si>
  <si>
    <t xml:space="preserve">Total score</t>
  </si>
  <si>
    <t xml:space="preserve">Change vs previous</t>
  </si>
  <si>
    <t xml:space="preserve">Actions closed since last audit</t>
  </si>
  <si>
    <t xml:space="preserve">Baseline</t>
  </si>
  <si>
    <t xml:space="preserve">2026-02-10</t>
  </si>
  <si>
    <t xml:space="preserve">Audit 2</t>
  </si>
  <si>
    <t xml:space="preserve">2026-04-14</t>
  </si>
  <si>
    <t xml:space="preserve">Audit 3</t>
  </si>
  <si>
    <t xml:space="preserve">2026-06-09</t>
  </si>
  <si>
    <t xml:space="preserve">This audit</t>
  </si>
  <si>
    <t xml:space="preserve">&gt;= 80% self-sustaining, 60-80% standardised, &lt; 40% starting</t>
  </si>
  <si>
    <t xml:space="preserve">Compare the area only against its own history</t>
  </si>
  <si>
    <t xml:space="preserve">Weakest S</t>
  </si>
  <si>
    <t xml:space="preserve">Any S below 50% of its maximum</t>
  </si>
  <si>
    <t xml:space="preserve">Work the weakest S next; the five are sequential</t>
  </si>
  <si>
    <t xml:space="preserve">Sustain vs Sort</t>
  </si>
  <si>
    <t xml:space="preserve">Sustain lower than Sort</t>
  </si>
  <si>
    <t xml:space="preserve">The classic signature of a repeatedly re-launched programme</t>
  </si>
  <si>
    <t xml:space="preserve">Trend across audits</t>
  </si>
  <si>
    <t xml:space="preserve">Rising, or flat at a high level</t>
  </si>
  <si>
    <t xml:space="preserve">A falling score between audits is a management-attention problem, not a cleaning one</t>
  </si>
  <si>
    <t xml:space="preserve">•  Running 5S as a cleaning campaign before an audit or a visit, which teaches the team that it is theatre.</t>
  </si>
  <si>
    <t xml:space="preserve">•  Scoring generously to avoid difficult conversations, which makes the trend meaningless.</t>
  </si>
  <si>
    <t xml:space="preserve">•  Skipping to Standardise without doing Sort and Set in order, so there is nothing real to standardise.</t>
  </si>
  <si>
    <t xml:space="preserve">•  Treating Shine as cleaning rather than as inspection, and therefore never finding the leak.</t>
  </si>
  <si>
    <t xml:space="preserve">•  Auditing without closing the previous actions, which trains everyone to ignore the audit.</t>
  </si>
  <si>
    <t xml:space="preserve">Q1.  Why is Shine described as inspection rather than cleaning?</t>
  </si>
  <si>
    <t xml:space="preserve">A1.  Because the value is in what you find while cleaning — leaks, loose fasteners, worn belts, abnormal heat. A machine cleaned by a contractor at night is clean; a machine cleaned by its operator is inspected. That is also the bridge from 5S to autonomous maintenance (L-16).</t>
  </si>
  <si>
    <t xml:space="preserve">Q2.  An area scores Sort 13/16 but Sustain 5/16. What does that tell you?</t>
  </si>
  <si>
    <t xml:space="preserve">A2.  That the area has been cleaned up, probably more than once, and never held. The problem is the management system — audit cadence, ownership, action closure — not the housekeeping. Fixing Sort again will change nothing.</t>
  </si>
  <si>
    <t xml:space="preserve">Q3.  How does 5S connect to SMED?</t>
  </si>
  <si>
    <t xml:space="preserve">A3.  Directly. A large share of internal changeover time is spent searching for tools, change parts and setting sheets. Set in order with shadow boards and kitted change parts converts that searching time into external time or removes it entirely.</t>
  </si>
  <si>
    <t xml:space="preserve">L-13 — Visual Management</t>
  </si>
  <si>
    <t xml:space="preserve">Phase: CONTROL   |   Data required: Inventory of the visual elements in the area   |   Min. sample: One walk of the area   |   Complexity: 1/5   |   Output: Which visuals exist, which drive action, and the maturity level</t>
  </si>
  <si>
    <t xml:space="preserve">Can someone walking into this area tell within thirty seconds whether it is running normally?</t>
  </si>
  <si>
    <t xml:space="preserve">When designing the control phase of a project, and whenever a new board or display is proposed.</t>
  </si>
  <si>
    <t xml:space="preserve">An inventory of visual elements, how many of them actually trigger a response, and the next level for each.</t>
  </si>
  <si>
    <t xml:space="preserve">Visual management makes the state of the process obvious without asking anyone. The test is simple and unforgiving: a competent person who walks into the area should be able to tell within about thirty seconds whether things are normal, and if not, what the abnormality is.</t>
  </si>
  <si>
    <t xml:space="preserve">The commonest failure is the decorative board. Information is displayed, nobody has defined who reacts to it, within what time, or to whom it escalates — so it is updated for a while, then quietly abandoned.</t>
  </si>
  <si>
    <t xml:space="preserve">A visual element without a defined response is not visual management; it is wallpaper.</t>
  </si>
  <si>
    <t xml:space="preserve">There are four levels. A visual indicator shares information. A visual signal attracts attention when something changes. A visual control constrains behaviour so that the right action is the easy one. A visual guarantee makes the wrong action physically impossible — at which point you have crossed into poka-yoke (L-17).</t>
  </si>
  <si>
    <t xml:space="preserve">Hour-by-hour boards deserve special mention because they change the timescale of the response. A shift report tells you at 06:00 that the night was bad. An hour-by-hour board tells you at 23:00 that the hour is going badly, while there is still time to do something about it.</t>
  </si>
  <si>
    <t xml:space="preserve">✓  Designing the control plan for a completed improvement, so the gain stays visible.</t>
  </si>
  <si>
    <t xml:space="preserve">✗  As a substitute for a control plan with reaction rules — see H-16.</t>
  </si>
  <si>
    <t xml:space="preserve">✓  Auditing an area that has boards everywhere and no reaction to any of them.</t>
  </si>
  <si>
    <t xml:space="preserve">✗  To add another board to an area that already ignores five.</t>
  </si>
  <si>
    <t xml:space="preserve">✓  Deciding whether a proposed new display will be an indicator, a signal, a control or a guarantee.</t>
  </si>
  <si>
    <t xml:space="preserve">✗  Where the underlying process is unstable: stabilise first, then display.</t>
  </si>
  <si>
    <t xml:space="preserve">✓  Making abnormality visible for shift handover, escalation and daily management.</t>
  </si>
  <si>
    <t xml:space="preserve">Every element has a named updater</t>
  </si>
  <si>
    <t xml:space="preserve">Ask who updates it, and check the last entry</t>
  </si>
  <si>
    <t xml:space="preserve">Assign the owner or remove the board</t>
  </si>
  <si>
    <t xml:space="preserve">Every element has a defined response</t>
  </si>
  <si>
    <t xml:space="preserve">Ask what happens when it shows a gap, and who is called</t>
  </si>
  <si>
    <t xml:space="preserve">Write the reaction rule — that is exactly what H-16 exists for</t>
  </si>
  <si>
    <t xml:space="preserve">H-16  Control Plan and Reaction Plan</t>
  </si>
  <si>
    <t xml:space="preserve">The data displayed is current</t>
  </si>
  <si>
    <t xml:space="preserve">Check the date of the last update against the stated frequency</t>
  </si>
  <si>
    <t xml:space="preserve">Reduce the number of boards until the remaining ones can be kept current</t>
  </si>
  <si>
    <t xml:space="preserve">The display is where the work happens</t>
  </si>
  <si>
    <t xml:space="preserve">It must be readable from the operator's normal position</t>
  </si>
  <si>
    <t xml:space="preserve">Move it to the point of use; a board in the office manages nobody</t>
  </si>
  <si>
    <t xml:space="preserve">Score per element  =  exists (0 or 1)  +  triggers a defined action (0 or 1)      — maximum 2 Maturity           =  sum of scores / (number of elements x 2) Decorative count   =  elements that exist  -  elements that trigger an action</t>
  </si>
  <si>
    <t xml:space="preserve">THE FOUR LEVELS, in increasing strength:</t>
  </si>
  <si>
    <t xml:space="preserve">1 Visual INDICATOR   shares information, requires interpretation 2 Visual SIGNAL      attracts attention when something changes 3 Visual CONTROL     constrains behaviour so the correct action is the easy one 4 Visual GUARANTEE   makes the incorrect action physically impossible  (poka-yoke, L-17)</t>
  </si>
  <si>
    <t xml:space="preserve">The thirty-second test: a competent visitor should be able to judge normal versus abnormal without asking.</t>
  </si>
  <si>
    <t xml:space="preserve">Counts elements present and elements that trigger action</t>
  </si>
  <si>
    <t xml:space="preserve">COUNTIF(range, 0)</t>
  </si>
  <si>
    <t xml:space="preserve">Counts missing elements — the build list</t>
  </si>
  <si>
    <t xml:space="preserve">IF(exists=0,"MISSING",IF(action=0,"Decorative","Working"))</t>
  </si>
  <si>
    <t xml:space="preserve">Three-way assessment per element</t>
  </si>
  <si>
    <t xml:space="preserve">Protects the maturity percentage while the inventory is empty</t>
  </si>
  <si>
    <t xml:space="preserve">Scenario: an inventory of the visual elements around the filler and packer on the PET line, walked with the shift supervisor. Each element is scored on whether it exists at all, and on whether anyone has defined what happens when it shows a gap.</t>
  </si>
  <si>
    <t xml:space="preserve">Visual management inventory — what exists, and does it actually trigger action?</t>
  </si>
  <si>
    <t xml:space="preserve">Visual element</t>
  </si>
  <si>
    <t xml:space="preserve">What it is supposed to make obvious</t>
  </si>
  <si>
    <t xml:space="preserve">Exists? 1/0</t>
  </si>
  <si>
    <t xml:space="preserve">Who updates it</t>
  </si>
  <si>
    <t xml:space="preserve">Update frequency</t>
  </si>
  <si>
    <t xml:space="preserve">Triggers a defined action? 1/0</t>
  </si>
  <si>
    <t xml:space="preserve">Score (0-2)</t>
  </si>
  <si>
    <t xml:space="preserve">Hour-by-hour production board</t>
  </si>
  <si>
    <t xml:space="preserve">Shows plan vs actual within the hour, not at the end of the shift</t>
  </si>
  <si>
    <t xml:space="preserve">Line operator</t>
  </si>
  <si>
    <t xml:space="preserve">Hourly</t>
  </si>
  <si>
    <t xml:space="preserve">Andon / stack light on each machine</t>
  </si>
  <si>
    <t xml:space="preserve">Makes a stop visible from anywhere on the line</t>
  </si>
  <si>
    <t xml:space="preserve">Automatic</t>
  </si>
  <si>
    <t xml:space="preserve">Downtime Pareto at the line</t>
  </si>
  <si>
    <t xml:space="preserve">Shows the top stop causes of the last week</t>
  </si>
  <si>
    <t xml:space="preserve">Supervisor</t>
  </si>
  <si>
    <t xml:space="preserve">Weekly</t>
  </si>
  <si>
    <t xml:space="preserve">SPC chart at the filler</t>
  </si>
  <si>
    <t xml:space="preserve">Shows fill volume behaviour in real time</t>
  </si>
  <si>
    <t xml:space="preserve">Per subgroup</t>
  </si>
  <si>
    <t xml:space="preserve">Shadow board for change tools</t>
  </si>
  <si>
    <t xml:space="preserve">A missing tool is visible in one second</t>
  </si>
  <si>
    <t xml:space="preserve">Floor markings for pallets and aisles</t>
  </si>
  <si>
    <t xml:space="preserve">Out-of-place material is obvious</t>
  </si>
  <si>
    <t xml:space="preserve">Area owner</t>
  </si>
  <si>
    <t xml:space="preserve">Monthly check</t>
  </si>
  <si>
    <t xml:space="preserve">Standard work sheet at the station</t>
  </si>
  <si>
    <t xml:space="preserve">The correct method is visible at the point of use</t>
  </si>
  <si>
    <t xml:space="preserve">Skills matrix for the shift</t>
  </si>
  <si>
    <t xml:space="preserve">Shows who can run what, and where the gaps are</t>
  </si>
  <si>
    <t xml:space="preserve">Monthly</t>
  </si>
  <si>
    <t xml:space="preserve">Safety cross / incident board</t>
  </si>
  <si>
    <t xml:space="preserve">Days since last incident and the open safety actions</t>
  </si>
  <si>
    <t xml:space="preserve">Daily</t>
  </si>
  <si>
    <t xml:space="preserve">5S audit result board</t>
  </si>
  <si>
    <t xml:space="preserve">Shows the current score and the open actions</t>
  </si>
  <si>
    <t xml:space="preserve">Quarterly</t>
  </si>
  <si>
    <t xml:space="preserve">Kanban / material call signal</t>
  </si>
  <si>
    <t xml:space="preserve">Makes a material shortage visible before it stops the line</t>
  </si>
  <si>
    <t xml:space="preserve">Escalation ladder poster</t>
  </si>
  <si>
    <t xml:space="preserve">Who to call, after how many minutes</t>
  </si>
  <si>
    <t xml:space="preserve">Static</t>
  </si>
  <si>
    <t xml:space="preserve">Elements in place</t>
  </si>
  <si>
    <t xml:space="preserve">of 12</t>
  </si>
  <si>
    <t xml:space="preserve">How much visual information exists at all</t>
  </si>
  <si>
    <t xml:space="preserve">Elements that trigger an action</t>
  </si>
  <si>
    <t xml:space="preserve">How much of it actually changes behaviour</t>
  </si>
  <si>
    <t xml:space="preserve">Decorative elements</t>
  </si>
  <si>
    <t xml:space="preserve">elements</t>
  </si>
  <si>
    <t xml:space="preserve">Present but with no defined response — the commonest failure</t>
  </si>
  <si>
    <t xml:space="preserve">Visual management maturity</t>
  </si>
  <si>
    <t xml:space="preserve">Total score against the maximum of 2 per element</t>
  </si>
  <si>
    <t xml:space="preserve">Missing elements</t>
  </si>
  <si>
    <t xml:space="preserve">The build list</t>
  </si>
  <si>
    <t xml:space="preserve">The four levels of visual maturity — where each element should end up</t>
  </si>
  <si>
    <t xml:space="preserve">Name</t>
  </si>
  <si>
    <t xml:space="preserve">What it does</t>
  </si>
  <si>
    <t xml:space="preserve">Example on the PET line</t>
  </si>
  <si>
    <t xml:space="preserve">Visual indicator</t>
  </si>
  <si>
    <t xml:space="preserve">Shares information; requires the reader to interpret it</t>
  </si>
  <si>
    <t xml:space="preserve">A printed schedule pinned to a board</t>
  </si>
  <si>
    <t xml:space="preserve">Visual signal</t>
  </si>
  <si>
    <t xml:space="preserve">Catches attention when something changes</t>
  </si>
  <si>
    <t xml:space="preserve">Stack light turns amber when the filler slows</t>
  </si>
  <si>
    <t xml:space="preserve">Visual control</t>
  </si>
  <si>
    <t xml:space="preserve">Constrains behaviour so the right thing is easy</t>
  </si>
  <si>
    <t xml:space="preserve">Marked minimum and maximum levels on an accumulation table</t>
  </si>
  <si>
    <t xml:space="preserve">Visual guarantee</t>
  </si>
  <si>
    <t xml:space="preserve">Makes the wrong action physically impossible</t>
  </si>
  <si>
    <t xml:space="preserve">A change part that only fits in one orientation (see L-17)</t>
  </si>
  <si>
    <t xml:space="preserve">Elements that trigger action</t>
  </si>
  <si>
    <t xml:space="preserve">Should equal the number that exist</t>
  </si>
  <si>
    <t xml:space="preserve">Any gap is decorative information</t>
  </si>
  <si>
    <t xml:space="preserve">Maturity</t>
  </si>
  <si>
    <t xml:space="preserve">&gt;= 75%</t>
  </si>
  <si>
    <t xml:space="preserve">Below this the area is displaying more than it is managing</t>
  </si>
  <si>
    <t xml:space="preserve">Hour-by-hour board</t>
  </si>
  <si>
    <t xml:space="preserve">Present and updated within the current hour</t>
  </si>
  <si>
    <t xml:space="preserve">The single highest-value visual on a packaging line</t>
  </si>
  <si>
    <t xml:space="preserve">Response time defined</t>
  </si>
  <si>
    <t xml:space="preserve">Every element states who reacts and within how long</t>
  </si>
  <si>
    <t xml:space="preserve">Without it, the board is not part of the control system</t>
  </si>
  <si>
    <t xml:space="preserve">•  Adding boards instead of adding reactions — the area ends up saturated and nothing is read.</t>
  </si>
  <si>
    <t xml:space="preserve">•  Displaying data that is a week old, which teaches the team the board is not to be trusted.</t>
  </si>
  <si>
    <t xml:space="preserve">•  Putting the display in the supervisor's office instead of at the point of work.</t>
  </si>
  <si>
    <t xml:space="preserve">•  Using visual management to expose individuals rather than the process.</t>
  </si>
  <si>
    <t xml:space="preserve">•  Stopping at indicators when a control or a guarantee would remove the decision entirely.</t>
  </si>
  <si>
    <t xml:space="preserve">Q1.  What separates a visual control from a visual indicator?</t>
  </si>
  <si>
    <t xml:space="preserve">A1.  An indicator only shares information and relies on the reader to interpret and act. A control constrains behaviour so that the correct action is the easy one — a marked min/max level on a buffer, a lane that only holds the right number of pallets. The control does not depend on anyone reading anything.</t>
  </si>
  <si>
    <t xml:space="preserve">Q2.  A line has nine boards and none of them has changed the behaviour of a single shift. What is missing?</t>
  </si>
  <si>
    <t xml:space="preserve">A2.  The reaction rule. Each board needs a defined response: who reacts, within how many minutes, what they do, and to whom it escalates if the gap persists. That is the content of the reaction plan on H-16.</t>
  </si>
  <si>
    <t xml:space="preserve">Q3.  Why is an hour-by-hour board more valuable than a shift report?</t>
  </si>
  <si>
    <t xml:space="preserve">A3.  Because it changes the timescale of the response from after the fact to within the hour. A shift report can only explain a loss; an hour-by-hour board can still prevent one.</t>
  </si>
  <si>
    <t xml:space="preserve">L-14 — Standard Work and Combination Sheet</t>
  </si>
  <si>
    <t xml:space="preserve">Phase: CONTROL   |   Data required: Element-by-element observed times: manual, machine and walk   |   Min. sample: At least 3 timed observations per element   |   Complexity: 2/5   |   Output: Standard work combination sheet, operator cycle time and SWIP</t>
  </si>
  <si>
    <t xml:space="preserve">What exactly is the best known way to do this job right now, and how long should it take?</t>
  </si>
  <si>
    <t xml:space="preserve">After a process is improved and before it is handed back to the shifts — and whenever two shifts do the same job differently.</t>
  </si>
  <si>
    <t xml:space="preserve">A combination sheet of manual, machine and walk time per element, with takt, sequence and standard WIP.</t>
  </si>
  <si>
    <t xml:space="preserve">Standard work is the current best known method, written down, until somebody finds a better one. It is not bureaucracy and it is not permanent — a standard nobody has improved in a year is usually a standard nobody is following.</t>
  </si>
  <si>
    <t xml:space="preserve">Its purpose is to make improvement possible. Without a standard, variation between operators, shifts and days swamps the effect of any change you make, so you can never tell whether the change worked. This is why standard work sits in Control: it is what holds the gain, and what makes the next gain measurable.</t>
  </si>
  <si>
    <t xml:space="preserve">Three things must be fixed: takt time (the pace required), the work sequence (the exact order), and standard WIP (the units that must be in the cell for the sequence to run). Miss any one and the document is a work instruction, not standard work.</t>
  </si>
  <si>
    <t xml:space="preserve">The combination sheet separates manual time, machine time and walking. That separation is what reveals the opportunity: machine time is time the operator could be doing something else, and walk time is motion waste that has been formalised into the standard.</t>
  </si>
  <si>
    <t xml:space="preserve">Standard work must be written with the operators, posted at the point of use, and owned by the team leader. Written by an engineer at a desk and filed in a folder, it changes nothing.</t>
  </si>
  <si>
    <t xml:space="preserve">✓  Locking in the method after an improvement, so the gain does not decay.</t>
  </si>
  <si>
    <t xml:space="preserve">✗  The process is not yet stable or not yet improved — standardising chaos institutionalises it.</t>
  </si>
  <si>
    <t xml:space="preserve">✓  Reconciling two shifts that do the same job in two different ways and get two different results.</t>
  </si>
  <si>
    <t xml:space="preserve">✗  The work is genuinely non-repetitive, such as fault diagnosis.</t>
  </si>
  <si>
    <t xml:space="preserve">✓  Training new operators to a defined method rather than to whoever is available that day.</t>
  </si>
  <si>
    <t xml:space="preserve">✗  As a stick. Standard work used to blame operators stops being maintained within a month.</t>
  </si>
  <si>
    <t xml:space="preserve">✓  As the input to line balancing (L-10) and SMED (L-15), both of which need element-level times.</t>
  </si>
  <si>
    <t xml:space="preserve">Times are observed on more than one operator</t>
  </si>
  <si>
    <t xml:space="preserve">Time at least three cycles on at least two operators</t>
  </si>
  <si>
    <t xml:space="preserve">Re-time. A standard built on the fastest operator will not hold</t>
  </si>
  <si>
    <t xml:space="preserve">Confirm the output is predictable before writing the standard</t>
  </si>
  <si>
    <t xml:space="preserve">Stabilise first, using a control chart to confirm</t>
  </si>
  <si>
    <t xml:space="preserve">The standard is written with the people who do the work</t>
  </si>
  <si>
    <t xml:space="preserve">Check who is named as author and who verified it</t>
  </si>
  <si>
    <t xml:space="preserve">Rewrite with the operators; ownership determines survival</t>
  </si>
  <si>
    <t xml:space="preserve">The standard is posted at the point of use</t>
  </si>
  <si>
    <t xml:space="preserve">Look for it at the machine, not in a folder</t>
  </si>
  <si>
    <t xml:space="preserve">Move it to the workplace and make it visual</t>
  </si>
  <si>
    <t xml:space="preserve">Operator time per element  =  manual time  +  walk time      (machine time is excluded: the operator is free) Operator cycle time        =  sum of operator time over all elements Elapsed changeover time    =  sum of operator time  +  sum of machine time      (sequential worst case) Walk share                 =  total walk time / operator cycle time</t>
  </si>
  <si>
    <t xml:space="preserve">THE THREE ELEMENTS OF STANDARD WORK:</t>
  </si>
  <si>
    <t xml:space="preserve">   1. TAKT TIME       the pace required by the customer  (see L-07)</t>
  </si>
  <si>
    <t xml:space="preserve">   2. WORK SEQUENCE   the exact order of the elements</t>
  </si>
  <si>
    <t xml:space="preserve">   3. STANDARD WIP    the minimum units in the cell for the sequence to run</t>
  </si>
  <si>
    <t xml:space="preserve">Machine time is the improvement opportunity: any element where the machine works alone is time the operator can spend on external work, which is precisely the SMED argument on L-15.</t>
  </si>
  <si>
    <t xml:space="preserve">SUM($F$60:F64)</t>
  </si>
  <si>
    <t xml:space="preserve">Cumulative operator time; the range start is locked, the end moves</t>
  </si>
  <si>
    <t xml:space="preserve">INDEX(elements, MATCH(MAX(t), t, 0))</t>
  </si>
  <si>
    <t xml:space="preserve">Names the longest element — the most fragile part of the standard</t>
  </si>
  <si>
    <t xml:space="preserve">Totals for manual, machine and walk time</t>
  </si>
  <si>
    <t xml:space="preserve">Protects the ratios while the sheet is empty</t>
  </si>
  <si>
    <t xml:space="preserve">Scenario: the filler valve change from 500 ml to 1.5 L, timed element by element on two operators over three changeovers, separating what the hands do, what the machine does alone, and what the feet do.</t>
  </si>
  <si>
    <t xml:space="preserve">Standard work sheet — header</t>
  </si>
  <si>
    <t xml:space="preserve">Field</t>
  </si>
  <si>
    <t xml:space="preserve">Operation</t>
  </si>
  <si>
    <t xml:space="preserve">Filler valve change, 500 ml to 1.5 L</t>
  </si>
  <si>
    <t xml:space="preserve">Takt time (sec)</t>
  </si>
  <si>
    <t xml:space="preserve">Area / line</t>
  </si>
  <si>
    <t xml:space="preserve">PET line — Innofil</t>
  </si>
  <si>
    <t xml:space="preserve">Operators in the cell</t>
  </si>
  <si>
    <t xml:space="preserve">Revision</t>
  </si>
  <si>
    <t xml:space="preserve">Rev 4</t>
  </si>
  <si>
    <t xml:space="preserve">Written by</t>
  </si>
  <si>
    <t xml:space="preserve">Shift supervisor A</t>
  </si>
  <si>
    <t xml:space="preserve">Verified by</t>
  </si>
  <si>
    <t xml:space="preserve">Standard work combination sheet — manual, machine and walk time per element</t>
  </si>
  <si>
    <t xml:space="preserve">Work element</t>
  </si>
  <si>
    <t xml:space="preserve">Manual time (sec)</t>
  </si>
  <si>
    <t xml:space="preserve">Machine time (sec)</t>
  </si>
  <si>
    <t xml:space="preserve">Walk time (sec)</t>
  </si>
  <si>
    <t xml:space="preserve">Operator time (manual + walk)</t>
  </si>
  <si>
    <t xml:space="preserve">Cumulative operator time (sec)</t>
  </si>
  <si>
    <t xml:space="preserve">Element as multiples of takt</t>
  </si>
  <si>
    <t xml:space="preserve">1  Confirm line stopped and locked out</t>
  </si>
  <si>
    <t xml:space="preserve">2  Remove neck guide segment</t>
  </si>
  <si>
    <t xml:space="preserve">3  Remove filling valve cage</t>
  </si>
  <si>
    <t xml:space="preserve">4  Fit 1.5 L valve cage</t>
  </si>
  <si>
    <t xml:space="preserve">5  Machine self-test of valve seating</t>
  </si>
  <si>
    <t xml:space="preserve">6  Fit 1.5 L neck guide segment</t>
  </si>
  <si>
    <t xml:space="preserve">7  Adjust height column to recipe value</t>
  </si>
  <si>
    <t xml:space="preserve">8  Recipe recall on the HMI</t>
  </si>
  <si>
    <t xml:space="preserve">9  Run first article and check fill volume</t>
  </si>
  <si>
    <t xml:space="preserve">10  Release and restart</t>
  </si>
  <si>
    <t xml:space="preserve">Standard work read-out</t>
  </si>
  <si>
    <t xml:space="preserve">Total manual time</t>
  </si>
  <si>
    <t xml:space="preserve">Time the operator has hands on the job</t>
  </si>
  <si>
    <t xml:space="preserve">Total machine time</t>
  </si>
  <si>
    <t xml:space="preserve">Time the machine works alone — the operator could be elsewhere</t>
  </si>
  <si>
    <t xml:space="preserve">Total walk time</t>
  </si>
  <si>
    <t xml:space="preserve">Motion waste inside the standard (see L-05)</t>
  </si>
  <si>
    <t xml:space="preserve">Operator cycle time</t>
  </si>
  <si>
    <t xml:space="preserve">Manual plus walk — the operator's real cycle</t>
  </si>
  <si>
    <t xml:space="preserve">Walk as a share of operator time</t>
  </si>
  <si>
    <t xml:space="preserve">Above 10% means the layout is inside the standard</t>
  </si>
  <si>
    <t xml:space="preserve">Total changeover time (elapsed)</t>
  </si>
  <si>
    <t xml:space="preserve">Sequential worst case; overlapping is what SMED buys</t>
  </si>
  <si>
    <t xml:space="preserve">The number the plan cares about</t>
  </si>
  <si>
    <t xml:space="preserve">Standard WIP (SWIP)</t>
  </si>
  <si>
    <t xml:space="preserve">units</t>
  </si>
  <si>
    <t xml:space="preserve">Units that must be in the cell for the standard to run</t>
  </si>
  <si>
    <t xml:space="preserve">Longest single element</t>
  </si>
  <si>
    <t xml:space="preserve">The first element to split or streamline</t>
  </si>
  <si>
    <t xml:space="preserve">Its name</t>
  </si>
  <si>
    <t xml:space="preserve">Where the standard is most fragile</t>
  </si>
  <si>
    <t xml:space="preserve">The three elements every standard work document must contain</t>
  </si>
  <si>
    <t xml:space="preserve">Element</t>
  </si>
  <si>
    <t xml:space="preserve">What it fixes</t>
  </si>
  <si>
    <t xml:space="preserve">Why it matters</t>
  </si>
  <si>
    <t xml:space="preserve">Where it is on this sheet</t>
  </si>
  <si>
    <t xml:space="preserve">The pace the work must be done at</t>
  </si>
  <si>
    <t xml:space="preserve">Without it the standard has no reference and cannot be judged</t>
  </si>
  <si>
    <t xml:space="preserve">Header, and the last column of the element table</t>
  </si>
  <si>
    <t xml:space="preserve">Work sequence</t>
  </si>
  <si>
    <t xml:space="preserve">The exact order of the elements</t>
  </si>
  <si>
    <t xml:space="preserve">Order changes quality and safety outcomes, not only speed</t>
  </si>
  <si>
    <t xml:space="preserve">The element table, in order</t>
  </si>
  <si>
    <t xml:space="preserve">The minimum units in the cell for the sequence to run</t>
  </si>
  <si>
    <t xml:space="preserve">Too little starves the cycle; too much hides problems</t>
  </si>
  <si>
    <t xml:space="preserve">The read-out table</t>
  </si>
  <si>
    <t xml:space="preserve">Walk share of operator time</t>
  </si>
  <si>
    <t xml:space="preserve">&lt; 10%</t>
  </si>
  <si>
    <t xml:space="preserve">Above this, the layout has been written into the standard</t>
  </si>
  <si>
    <t xml:space="preserve">Longest element</t>
  </si>
  <si>
    <t xml:space="preserve">&lt; 30% of the cycle</t>
  </si>
  <si>
    <t xml:space="preserve">One dominant element makes the standard fragile and hard to balance</t>
  </si>
  <si>
    <t xml:space="preserve">Machine time</t>
  </si>
  <si>
    <t xml:space="preserve">Any machine time at all</t>
  </si>
  <si>
    <t xml:space="preserve">That is time the operator can spend on external work — the SMED opportunity</t>
  </si>
  <si>
    <t xml:space="preserve">Revision age</t>
  </si>
  <si>
    <t xml:space="preserve">Reviewed at least every 6 months</t>
  </si>
  <si>
    <t xml:space="preserve">A standard nobody has improved is usually a standard nobody follows</t>
  </si>
  <si>
    <t xml:space="preserve">•  Writing the standard from the fastest operator's best cycle, producing a target nobody can hold.</t>
  </si>
  <si>
    <t xml:space="preserve">•  Standardising a process that is not yet stable, which locks in the instability.</t>
  </si>
  <si>
    <t xml:space="preserve">•  Leaving the document in a folder instead of posting it at the machine.</t>
  </si>
  <si>
    <t xml:space="preserve">•  Recording only total time, which makes the standard impossible to balance or to attack with SMED.</t>
  </si>
  <si>
    <t xml:space="preserve">•  Treating the standard as permanent — the whole point is that it is the current best, not the final best.</t>
  </si>
  <si>
    <t xml:space="preserve">Q1.  Why is machine time excluded from the operator's cycle time?</t>
  </si>
  <si>
    <t xml:space="preserve">A1.  Because during machine time the operator is not occupied and can perform another element, load another machine, or do external changeover work. Including it would hide exactly the opportunity that the combination sheet exists to expose.</t>
  </si>
  <si>
    <t xml:space="preserve">Q2.  Why does standard work belong in the Control phase of DMAIC?</t>
  </si>
  <si>
    <t xml:space="preserve">A2.  Because it is the mechanism that holds the improvement. Without a documented, trained and audited method, the process drifts back to whatever each shift prefers, and the measured gain disappears within weeks.</t>
  </si>
  <si>
    <t xml:space="preserve">Q3.  What are the three mandatory elements of standard work?</t>
  </si>
  <si>
    <t xml:space="preserve">A3.  Takt time, the work sequence, and standard WIP. A document with a sequence but no takt is a work instruction; with takt and sequence but no SWIP, the cell will either starve or accumulate.</t>
  </si>
  <si>
    <t xml:space="preserve">L-15 — SMED and Quick Changeover</t>
  </si>
  <si>
    <t xml:space="preserve">Phase: IMPROVE   |   Data required: Element-by-element changeover times, filmed if possible   |   Min. sample: At least 2 filmed changeovers   |   Complexity: 3/5   |   Output: Internal vs external split, before/after time and the annual value of the recovered hours</t>
  </si>
  <si>
    <t xml:space="preserve">How much of this changeover really requires the line to be stopped, and how short can the stop become?</t>
  </si>
  <si>
    <t xml:space="preserve">Whenever changeover time limits batch size, flexibility or capacity — which on a multi-format packaging line is always.</t>
  </si>
  <si>
    <t xml:space="preserve">Every element classified internal or external, a before/after time, and the annual value of the hours recovered.</t>
  </si>
  <si>
    <t xml:space="preserve">SMED — Single Minute Exchange of Die — was developed by Shigeo Shingo, and the name states the ambition:</t>
  </si>
  <si>
    <t xml:space="preserve">a changeover expressed in single digits of minutes. The method rests on one distinction.</t>
  </si>
  <si>
    <t xml:space="preserve">INTERNAL work can only be done with the machine stopped. EXTERNAL work can be done while the machine is still running the previous product, or after it has restarted on the next one. Fetching change parts, finding tools, pre-loading a recipe and returning parts to the store are all external work that almost every plant performs internally out of habit.</t>
  </si>
  <si>
    <t xml:space="preserve">The three stages must be done in order. Stage 1 separates internal from external, changing nothing physical and typically recovering 30-50% of the stop. Stage 2 converts internal work to external — duplicate parts, pre-set cassettes, recipe pre-load. Stage 3 streamlines whatever genuinely must remain internal, with quick-release clamps, numeric settings and the elimination of trial-and-error adjustment.</t>
  </si>
  <si>
    <t xml:space="preserve">Adjustment deserves particular attention. Trial-and-error adjustment is not setting, it is searching, and it is usually the largest single internal element. Replacing 'adjust until it looks right' with a numeric setting and a recipe recall removes it entirely.</t>
  </si>
  <si>
    <t xml:space="preserve">Shorter changeovers are not really about the recovered minutes. They are about batch size: a line that can change over in eight minutes can run to demand, which removes the inventory that the value stream map on L-02 spent days accumulating.</t>
  </si>
  <si>
    <t xml:space="preserve">✓  Any changeover, set-up, format change, flavour change or CIP that stops production.</t>
  </si>
  <si>
    <t xml:space="preserve">✗  The stop is a breakdown rather than a changeover — that is TPM (L-16).</t>
  </si>
  <si>
    <t xml:space="preserve">✓  As the counter-measure for the set-up and adjustment loss in OEE (L-11).</t>
  </si>
  <si>
    <t xml:space="preserve">✗  Nobody has filmed or timed the changeover element by element; SMED without element times is guesswork.</t>
  </si>
  <si>
    <t xml:space="preserve">✓  Whenever the plan is batching because 'changeovers are expensive' — this is how they stop being expensive.</t>
  </si>
  <si>
    <t xml:space="preserve">✗  The changeover happens twice a year and is not on the constraint.</t>
  </si>
  <si>
    <t xml:space="preserve">✓  Before buying capacity: recovered changeover hours are usually cheaper than a new machine.</t>
  </si>
  <si>
    <t xml:space="preserve">The changeover has been filmed or timed element by element</t>
  </si>
  <si>
    <t xml:space="preserve">Two complete changeovers, timed on the floor with the crew</t>
  </si>
  <si>
    <t xml:space="preserve">Film it. Memory systematically compresses the searching and the waiting</t>
  </si>
  <si>
    <t xml:space="preserve">Stage 1 is completed before money is spent</t>
  </si>
  <si>
    <t xml:space="preserve">Check that every element has been classified before any purchase is proposed</t>
  </si>
  <si>
    <t xml:space="preserve">Complete the separation first; most of the gain is there and it is free</t>
  </si>
  <si>
    <t xml:space="preserve">The line is capacity constrained, if the saving is claimed as revenue</t>
  </si>
  <si>
    <t xml:space="preserve">Confirm with Planning that the recovered hours would actually be sold</t>
  </si>
  <si>
    <t xml:space="preserve">Claim the saving as flexibility and reduced batch size instead of as revenue</t>
  </si>
  <si>
    <t xml:space="preserve">G-09  Benefit Validation</t>
  </si>
  <si>
    <t xml:space="preserve">The new method is standardised and trained</t>
  </si>
  <si>
    <t xml:space="preserve">A standard work document exists for the new changeover</t>
  </si>
  <si>
    <t xml:space="preserve">Write it — an unstandardised improvement decays within weeks</t>
  </si>
  <si>
    <t xml:space="preserve">Internal time  =  sum of the element times classified INTERNAL      (the line is stopped for this) External time  =  total work content  -  internal time              (the line runs through this)</t>
  </si>
  <si>
    <t xml:space="preserve">Reduction      =  ( internal before  -  internal after ) / internal before</t>
  </si>
  <si>
    <t xml:space="preserve">Value of the recovered time:</t>
  </si>
  <si>
    <t xml:space="preserve">minutes recovered per changeover  =  internal before  -  internal after hours per year   =  minutes recovered x changeovers per week x weeks per year / 60 extra bottles    =  hours per year x line rate</t>
  </si>
  <si>
    <t xml:space="preserve">   extra margin     =  extra bottles x contribution margin per bottle</t>
  </si>
  <si>
    <t xml:space="preserve">THE THREE STAGES, in strict order:</t>
  </si>
  <si>
    <t xml:space="preserve">1 SEPARATE internal from external   (no investment, 30-50% typical gain) 2 CONVERT internal into external    (duplicate parts, pre-setting, recipe pre-load) 3 STREAMLINE what must stay internal (quick-release, numeric settings, no adjustment)</t>
  </si>
  <si>
    <t xml:space="preserve">IF(class="Internal", time, 0)</t>
  </si>
  <si>
    <t xml:space="preserve">Splits the time column into internal and external without a separate table</t>
  </si>
  <si>
    <t xml:space="preserve">Internal and total work content, before and after</t>
  </si>
  <si>
    <t xml:space="preserve">IF(after&lt;10,"YES",...)</t>
  </si>
  <si>
    <t xml:space="preserve">Tests whether single-digit changeover has been achieved</t>
  </si>
  <si>
    <t xml:space="preserve">Protects the percentage reduction and the value calculation</t>
  </si>
  <si>
    <t xml:space="preserve">Native clustered bar chart</t>
  </si>
  <si>
    <t xml:space="preserve">Internal minutes before and after, element by element</t>
  </si>
  <si>
    <t xml:space="preserve">Scenario: the 500 ml to 1.5 L format change on the PET line, filmed twice and broken into twelve elements. Today every element is performed with the line stopped. The action column holds the decision taken in the SMED workshop for each one.</t>
  </si>
  <si>
    <t xml:space="preserve">Step 1 — the changeover as it is today, element by element</t>
  </si>
  <si>
    <t xml:space="preserve">INTERNAL work can only be done with the machine stopped. EXTERNAL work can be done while the machine is still running the previous product, or after it has restarted on the next one. Every minute converted from internal to external is a minute of production recovered without changing the work itself.</t>
  </si>
  <si>
    <t xml:space="preserve">Changeover element</t>
  </si>
  <si>
    <t xml:space="preserve">Internal or external TODAY</t>
  </si>
  <si>
    <t xml:space="preserve">Time today (min)</t>
  </si>
  <si>
    <t xml:space="preserve">SMED action decided</t>
  </si>
  <si>
    <t xml:space="preserve">Internal or external AFTER</t>
  </si>
  <si>
    <t xml:space="preserve">Time after (min)</t>
  </si>
  <si>
    <t xml:space="preserve">Internal minutes today</t>
  </si>
  <si>
    <t xml:space="preserve">Internal minutes after</t>
  </si>
  <si>
    <t xml:space="preserve">Internal minutes saved</t>
  </si>
  <si>
    <t xml:space="preserve">Internal</t>
  </si>
  <si>
    <t xml:space="preserve">Convert: kit and stage before the stop</t>
  </si>
  <si>
    <t xml:space="preserve">External</t>
  </si>
  <si>
    <t xml:space="preserve">Fetch tools and setting sheet</t>
  </si>
  <si>
    <t xml:space="preserve">Convert: shadow board at the machine</t>
  </si>
  <si>
    <t xml:space="preserve">Drain and empty the filler bowl</t>
  </si>
  <si>
    <t xml:space="preserve">Streamline: fit a quick-drain valve</t>
  </si>
  <si>
    <t xml:space="preserve">Remove neck guides and star wheels</t>
  </si>
  <si>
    <t xml:space="preserve">Change filling valve cages</t>
  </si>
  <si>
    <t xml:space="preserve">Streamline: pre-assembled cassette</t>
  </si>
  <si>
    <t xml:space="preserve">Convert half: pre-stage the reel and format parts</t>
  </si>
  <si>
    <t xml:space="preserve">Adjust height column by trial and error</t>
  </si>
  <si>
    <t xml:space="preserve">Eliminate: numeric setting and recipe recall</t>
  </si>
  <si>
    <t xml:space="preserve">Change blow moulder recipe</t>
  </si>
  <si>
    <t xml:space="preserve">Convert: load the recipe before the stop</t>
  </si>
  <si>
    <t xml:space="preserve">Clear packaging of the previous format</t>
  </si>
  <si>
    <t xml:space="preserve">Convert: clear during the previous run</t>
  </si>
  <si>
    <t xml:space="preserve">First article and fill-volume check</t>
  </si>
  <si>
    <t xml:space="preserve">Streamline: in-line check with a defined limit</t>
  </si>
  <si>
    <t xml:space="preserve">Eliminate: capable set-up removes the loop</t>
  </si>
  <si>
    <t xml:space="preserve">Return change parts to the store</t>
  </si>
  <si>
    <t xml:space="preserve">Convert: return after restart</t>
  </si>
  <si>
    <t xml:space="preserve">Step 2 — before and after</t>
  </si>
  <si>
    <t xml:space="preserve">Internal time (line stopped)</t>
  </si>
  <si>
    <t xml:space="preserve">External time (line running)</t>
  </si>
  <si>
    <t xml:space="preserve">Single-digit changeover achieved?</t>
  </si>
  <si>
    <t xml:space="preserve">Step 3 — what the saved time is worth</t>
  </si>
  <si>
    <t xml:space="preserve">Input / result</t>
  </si>
  <si>
    <t xml:space="preserve">Changeovers per week</t>
  </si>
  <si>
    <t xml:space="preserve">changeovers</t>
  </si>
  <si>
    <t xml:space="preserve">Format and flavour changes on this line</t>
  </si>
  <si>
    <t xml:space="preserve">Weeks per year</t>
  </si>
  <si>
    <t xml:space="preserve">weeks</t>
  </si>
  <si>
    <t xml:space="preserve">Line rate</t>
  </si>
  <si>
    <t xml:space="preserve">Nameplate rate of the line</t>
  </si>
  <si>
    <t xml:space="preserve">Contribution margin</t>
  </si>
  <si>
    <t xml:space="preserve">Agreed with Finance</t>
  </si>
  <si>
    <t xml:space="preserve">Minutes recovered per changeover</t>
  </si>
  <si>
    <t xml:space="preserve">Internal time before minus internal time after</t>
  </si>
  <si>
    <t xml:space="preserve">Hours recovered per year</t>
  </si>
  <si>
    <t xml:space="preserve">Recovered minutes across every changeover</t>
  </si>
  <si>
    <t xml:space="preserve">Only real if the line is capacity constrained</t>
  </si>
  <si>
    <t xml:space="preserve">Extra margin per year</t>
  </si>
  <si>
    <t xml:space="preserve">Validate with Finance before claiming it (G-09)</t>
  </si>
  <si>
    <t xml:space="preserve">Minimum economic batch, before</t>
  </si>
  <si>
    <t xml:space="preserve">Optional: EOQ falls as changeover time falls</t>
  </si>
  <si>
    <t xml:space="preserve">The three stages of SMED, in order</t>
  </si>
  <si>
    <t xml:space="preserve">Stage</t>
  </si>
  <si>
    <t xml:space="preserve">What you do</t>
  </si>
  <si>
    <t xml:space="preserve">Typical gain</t>
  </si>
  <si>
    <t xml:space="preserve">Common counter-measure</t>
  </si>
  <si>
    <t xml:space="preserve">Stage 1 — Separate</t>
  </si>
  <si>
    <t xml:space="preserve">Classify every element as internal or external without changing anything</t>
  </si>
  <si>
    <t xml:space="preserve">30-50% with no investment</t>
  </si>
  <si>
    <t xml:space="preserve">Kitting, pre-staging, checklists, shadow boards</t>
  </si>
  <si>
    <t xml:space="preserve">Stage 2 — Convert</t>
  </si>
  <si>
    <t xml:space="preserve">Move internal work to external</t>
  </si>
  <si>
    <t xml:space="preserve">A further 20-30%</t>
  </si>
  <si>
    <t xml:space="preserve">Pre-heating, pre-setting, duplicate parts, recipe pre-load</t>
  </si>
  <si>
    <t xml:space="preserve">Stage 3 — Streamline</t>
  </si>
  <si>
    <t xml:space="preserve">Shorten what genuinely must remain internal</t>
  </si>
  <si>
    <t xml:space="preserve">The remainder</t>
  </si>
  <si>
    <t xml:space="preserve">Quick-release clamps, cassettes, numeric settings, no adjustment</t>
  </si>
  <si>
    <t xml:space="preserve">Do the stages in order. Buying quick-release clamps (stage 3) before separating internal from external (stage 1) is the classic and expensive mistake: most plants find that half the internal time was never internal to begin with.</t>
  </si>
  <si>
    <t xml:space="preserve">Internal time reduction</t>
  </si>
  <si>
    <t xml:space="preserve">30-50% from stage 1 alone</t>
  </si>
  <si>
    <t xml:space="preserve">If stage 1 gave less, the classification was not honest</t>
  </si>
  <si>
    <t xml:space="preserve">Single-digit changeover</t>
  </si>
  <si>
    <t xml:space="preserve">Internal time &lt; 10 min</t>
  </si>
  <si>
    <t xml:space="preserve">The SMED ambition; reachable on most format changes</t>
  </si>
  <si>
    <t xml:space="preserve">Adjustment time</t>
  </si>
  <si>
    <t xml:space="preserve">Should approach zero</t>
  </si>
  <si>
    <t xml:space="preserve">Trial-and-error adjustment is searching, not setting</t>
  </si>
  <si>
    <t xml:space="preserve">Value claimed</t>
  </si>
  <si>
    <t xml:space="preserve">Only if the line is capacity constrained</t>
  </si>
  <si>
    <t xml:space="preserve">Otherwise the benefit is flexibility and smaller batches, not revenue</t>
  </si>
  <si>
    <t xml:space="preserve">•  Buying quick-release hardware (stage 3) before separating internal from external (stage 1).</t>
  </si>
  <si>
    <t xml:space="preserve">•  Timing the changeover from memory, which systematically omits the searching and the waiting.</t>
  </si>
  <si>
    <t xml:space="preserve">•  Counting the saving as revenue on a line that is not capacity constrained.</t>
  </si>
  <si>
    <t xml:space="preserve">•  Improving the changeover and never writing the new standard, so the old time returns within two months.</t>
  </si>
  <si>
    <t xml:space="preserve">•  Leaving trial-and-error adjustment in place, which is usually the largest remaining internal element.</t>
  </si>
  <si>
    <t xml:space="preserve">•  Excluding the changeover from OEE, which removes the incentive to reduce it at all.</t>
  </si>
  <si>
    <t xml:space="preserve">Q1.  An operator fetches change parts from the store while the line is stopped. Internal or external, and what is the fix?</t>
  </si>
  <si>
    <t xml:space="preserve">A1.  It is performed internally but it is external work by nature — the line does not need to be stopped for it. The fix is stage 1 plus kitting: the parts are staged at the machine before the changeover begins, and the minutes disappear from the stop without anyone working faster.</t>
  </si>
  <si>
    <t xml:space="preserve">Q2.  Why must stage 1 come before stage 3?</t>
  </si>
  <si>
    <t xml:space="preserve">A2.  Because most plants discover that a large share of their internal time was never internal to begin with. Spending money to streamline work that should not be in the stop at all optimises the wrong thing, and it is the most common and most expensive SMED error.</t>
  </si>
  <si>
    <t xml:space="preserve">Q3.  The line is not capacity constrained. Is a SMED project still worth doing?</t>
  </si>
  <si>
    <t xml:space="preserve">A3.  Yes, but the benefit is not extra bottles. It is smaller batches, which cuts inventory and lead time across the whole value stream (L-02 and L-08), and it is flexibility to respond to the real order mix. Claiming revenue on an unconstrained line will not survive benefit validation (G-09).</t>
  </si>
  <si>
    <t xml:space="preserve">L-16 — TPM and Autonomous Maintenance</t>
  </si>
  <si>
    <t xml:space="preserve">Phase: IMPROVE   |   Data required: Failure log with count and repair times, pillar self-assessment   |   Min. sample: 4 weeks of downtime data   |   Complexity: 3/5   |   Output: MTBF, MTTR, availability, pillar maturity and autonomous maintenance progress</t>
  </si>
  <si>
    <t xml:space="preserve">Is this equipment failing often, or failing slowly — and who is looking after its condition day to day?</t>
  </si>
  <si>
    <t xml:space="preserve">When breakdowns dominate the availability loss in OEE, and whenever maintenance is entirely a technician activity.</t>
  </si>
  <si>
    <t xml:space="preserve">MTBF, MTTR, the two availabilities and the gap between them, plus a maturity score for the eight pillars.</t>
  </si>
  <si>
    <t xml:space="preserve">Total Productive Maintenance moves equipment care from a department to a system. Its central idea is that the operator, who is with the machine all day, is the first line of maintenance — cleaning, inspecting, lubricating and detecting abnormality before it becomes failure.</t>
  </si>
  <si>
    <t xml:space="preserve">Two numbers separate two completely different problems. MTBF, mean time between failures, says how often the equipment stops; it is improved by design, condition and autonomous maintenance. MTTR, mean time to repair, says how long it takes to get back; it is improved by spares, access, tooling, escalation and skill. Reporting only availability hides which of the two you actually have.</t>
  </si>
  <si>
    <t xml:space="preserve">The gap between inherent availability (what the equipment could deliver at this MTBF and MTTR) and operational availability (what actually happened) is one of the most useful diagnostics on this sheet.</t>
  </si>
  <si>
    <t xml:space="preserve">A large gap means most of the loss is not failure at all — it is micro-stops, waiting for a technician, waiting for a spare part, or waiting for a decision.</t>
  </si>
  <si>
    <t xml:space="preserve">Autonomous maintenance has seven steps and they must be done in order. Step 1, initial cleaning, is not housekeeping: it restores the equipment to a condition where abnormality can be seen, and it typically surfaces dozens of small defects that nobody had recorded.</t>
  </si>
  <si>
    <t xml:space="preserve">TPM overlaps 5S deliberately. Shine in 5S and step 1 of autonomous maintenance are the same activity seen from two directions.</t>
  </si>
  <si>
    <t xml:space="preserve">✓  When breakdowns are the largest OEE loss and maintenance is purely reactive.</t>
  </si>
  <si>
    <t xml:space="preserve">✗  The dominant loss is changeover — that is SMED (L-15).</t>
  </si>
  <si>
    <t xml:space="preserve">✓  To decide whether to invest in reliability (MTBF) or in response (MTTR).</t>
  </si>
  <si>
    <t xml:space="preserve">✗  The equipment is new and the failures are installation defects: use early equipment management instead.</t>
  </si>
  <si>
    <t xml:space="preserve">✓  To structure a multi-year equipment care programme with measurable steps.</t>
  </si>
  <si>
    <t xml:space="preserve">✗  As a slogan campaign with no failure data behind it.</t>
  </si>
  <si>
    <t xml:space="preserve">✓  To give operators a defined, trained role in equipment condition.</t>
  </si>
  <si>
    <t xml:space="preserve">The failure log separates breakdowns from changeovers and micro-stops</t>
  </si>
  <si>
    <t xml:space="preserve">Check the cause codes in the downtime system</t>
  </si>
  <si>
    <t xml:space="preserve">Reclassify before computing MTBF; mixing them makes both numbers meaningless</t>
  </si>
  <si>
    <t xml:space="preserve">Repair time is measured from stop to restart</t>
  </si>
  <si>
    <t xml:space="preserve">Confirm whether waiting for the technician is inside or outside the recorded time</t>
  </si>
  <si>
    <t xml:space="preserve">Include the waiting — it is part of MTTR and usually the largest part</t>
  </si>
  <si>
    <t xml:space="preserve">The period is long enough for the failure count to mean something</t>
  </si>
  <si>
    <t xml:space="preserve">At least 20-30 failures, or 4 weeks</t>
  </si>
  <si>
    <t xml:space="preserve">Extend the period; MTBF from five failures is noise</t>
  </si>
  <si>
    <t xml:space="preserve">E-12  Weibull and Exponential</t>
  </si>
  <si>
    <t xml:space="preserve">Operators have been trained before being given inspection tasks</t>
  </si>
  <si>
    <t xml:space="preserve">Check the skills matrix against the autonomous maintenance steps</t>
  </si>
  <si>
    <t xml:space="preserve">Train first. Autonomous maintenance without step 4 is delegation, not TPM</t>
  </si>
  <si>
    <t xml:space="preserve">MTBF  =  ( scheduled operating time  -  total repair time )  /  number of failures MTTR  =  total repair time  /  number of failures</t>
  </si>
  <si>
    <t xml:space="preserve">Failure rate (lambda)  =  number of failures / operating hours   =  1 / MTBF in hours</t>
  </si>
  <si>
    <t xml:space="preserve">Inherent availability     Ai  =  MTBF / ( MTBF + MTTR ) Operational availability  Ao  =  ( operating time - all downtime ) / operating time Gap  =  Ai - Ao   →  losses that are not failures: micro-stops, waiting for people, waiting for parts</t>
  </si>
  <si>
    <t xml:space="preserve">THE EIGHT PILLARS:  autonomous maintenance · planned maintenance · focused improvement · quality maintenance · early equipment management · education and training · safety, health and environment · TPM in administration.</t>
  </si>
  <si>
    <t xml:space="preserve">THE SEVEN STEPS OF AUTONOMOUS MAINTENANCE, strictly in order:  initial cleaning · eliminate contamination sources · cleaning and lubrication standards · general inspection training · autonomous inspection · standardisation · full autonomous management.</t>
  </si>
  <si>
    <t xml:space="preserve">Simple arithmetic</t>
  </si>
  <si>
    <t xml:space="preserve">(operating - repair)/failures</t>
  </si>
  <si>
    <t xml:space="preserve">MTBF and MTTR are divisions — the discipline is in the definitions</t>
  </si>
  <si>
    <t xml:space="preserve">INDEX(pillars, MATCH(MIN(score), score, 0))</t>
  </si>
  <si>
    <t xml:space="preserve">Names the weakest pillar</t>
  </si>
  <si>
    <t xml:space="preserve">MATCH on zero</t>
  </si>
  <si>
    <t xml:space="preserve">INDEX(steps, MATCH(0, complete, 0))</t>
  </si>
  <si>
    <t xml:space="preserve">Finds the first incomplete autonomous maintenance step</t>
  </si>
  <si>
    <t xml:space="preserve">IFERROR(..., "All seven complete")</t>
  </si>
  <si>
    <t xml:space="preserve">Handles the case where every step is done</t>
  </si>
  <si>
    <t xml:space="preserve">Pillar and step totals</t>
  </si>
  <si>
    <t xml:space="preserve">Scenario: four weeks of downtime data from the Innofil filler — 34 breakdowns, 1,122 minutes of repair and 2,680 minutes of total downtime against 19,040 minutes of scheduled operating time. The pillar and</t>
  </si>
  <si>
    <t xml:space="preserve">step tables hold the plant's own self-assessment.</t>
  </si>
  <si>
    <t xml:space="preserve">Step 1 — reliability from the failure log</t>
  </si>
  <si>
    <t xml:space="preserve">Period analysed</t>
  </si>
  <si>
    <t xml:space="preserve">Four weeks of the downtime log</t>
  </si>
  <si>
    <t xml:space="preserve">Scheduled operating time in the period</t>
  </si>
  <si>
    <t xml:space="preserve">Time the equipment was scheduled to run</t>
  </si>
  <si>
    <t xml:space="preserve">Number of failures (stops &gt; 5 min)</t>
  </si>
  <si>
    <t xml:space="preserve">failures</t>
  </si>
  <si>
    <t xml:space="preserve">Breakdowns only, not changeovers</t>
  </si>
  <si>
    <t xml:space="preserve">Total repair time</t>
  </si>
  <si>
    <t xml:space="preserve">From stop to restart, including waiting for the technician</t>
  </si>
  <si>
    <t xml:space="preserve">Total downtime from all causes</t>
  </si>
  <si>
    <t xml:space="preserve">Breakdowns plus micro-stops</t>
  </si>
  <si>
    <t xml:space="preserve">Reliability metric</t>
  </si>
  <si>
    <t xml:space="preserve">MTBF — mean time between failures</t>
  </si>
  <si>
    <t xml:space="preserve">(operating time - repair time) / number of failures</t>
  </si>
  <si>
    <t xml:space="preserve">How long the equipment runs before it stops. Higher is better</t>
  </si>
  <si>
    <t xml:space="preserve">MTTR — mean time to repair</t>
  </si>
  <si>
    <t xml:space="preserve">total repair time / number of failures</t>
  </si>
  <si>
    <t xml:space="preserve">How long it takes to get it back. Lower is better</t>
  </si>
  <si>
    <t xml:space="preserve">Failure rate</t>
  </si>
  <si>
    <t xml:space="preserve">number of failures / operating hours</t>
  </si>
  <si>
    <t xml:space="preserve">failures/h</t>
  </si>
  <si>
    <t xml:space="preserve">The inverse of MTBF, in hours</t>
  </si>
  <si>
    <t xml:space="preserve">Inherent availability</t>
  </si>
  <si>
    <t xml:space="preserve">MTBF / (MTBF + MTTR)</t>
  </si>
  <si>
    <t xml:space="preserve">Availability the equipment can deliver at this reliability</t>
  </si>
  <si>
    <t xml:space="preserve">Operational availability</t>
  </si>
  <si>
    <t xml:space="preserve">(operating time - all downtime) / operating time</t>
  </si>
  <si>
    <t xml:space="preserve">What actually happened, including micro-stops</t>
  </si>
  <si>
    <t xml:space="preserve">Gap between the two</t>
  </si>
  <si>
    <t xml:space="preserve">Inherent minus operational</t>
  </si>
  <si>
    <t xml:space="preserve">Losses that are not breakdowns — micro-stops, waiting for the technician, spares</t>
  </si>
  <si>
    <t xml:space="preserve">Step 2 — the eight TPM pillars, scored 0 to 4</t>
  </si>
  <si>
    <t xml:space="preserve">TPM pillar</t>
  </si>
  <si>
    <t xml:space="preserve">What it covers</t>
  </si>
  <si>
    <t xml:space="preserve">Maturity 0-4</t>
  </si>
  <si>
    <t xml:space="preserve">1  Autonomous maintenance (Jishu Hozen)</t>
  </si>
  <si>
    <t xml:space="preserve">Operators clean, inspect, lubricate and detect abnormality</t>
  </si>
  <si>
    <t xml:space="preserve">2  Planned maintenance</t>
  </si>
  <si>
    <t xml:space="preserve">Time- and condition-based plans built from failure history</t>
  </si>
  <si>
    <t xml:space="preserve">3  Focused improvement (Kobetsu Kaizen)</t>
  </si>
  <si>
    <t xml:space="preserve">Cross-functional teams attack the largest chronic losses</t>
  </si>
  <si>
    <t xml:space="preserve">4  Quality maintenance (Hinshitsu Hozen)</t>
  </si>
  <si>
    <t xml:space="preserve">Equipment conditions that produce defects are controlled</t>
  </si>
  <si>
    <t xml:space="preserve">5  Early equipment management</t>
  </si>
  <si>
    <t xml:space="preserve">Reliability and maintainability designed in before installation</t>
  </si>
  <si>
    <t xml:space="preserve">6  Education and training</t>
  </si>
  <si>
    <t xml:space="preserve">Skills matrix, competence levels, structured on-the-job training</t>
  </si>
  <si>
    <t xml:space="preserve">7  Safety, health and environment</t>
  </si>
  <si>
    <t xml:space="preserve">Zero accidents as a design objective, not a slogan</t>
  </si>
  <si>
    <t xml:space="preserve">8  TPM in administration</t>
  </si>
  <si>
    <t xml:space="preserve">The support processes that keep the line running are improved too</t>
  </si>
  <si>
    <t xml:space="preserve">Step 3 — the seven steps of autonomous maintenance (pillar 1 in detail)</t>
  </si>
  <si>
    <t xml:space="preserve">Complete? 1/0</t>
  </si>
  <si>
    <t xml:space="preserve">Target date or status</t>
  </si>
  <si>
    <t xml:space="preserve">1  Initial cleaning and inspection</t>
  </si>
  <si>
    <t xml:space="preserve">Restore the equipment to a cleanable condition and find the defects</t>
  </si>
  <si>
    <t xml:space="preserve">Complete</t>
  </si>
  <si>
    <t xml:space="preserve">2  Eliminate contamination sources</t>
  </si>
  <si>
    <t xml:space="preserve">Attack the causes of dirt, not the dirt</t>
  </si>
  <si>
    <t xml:space="preserve">3  Cleaning and lubrication standards</t>
  </si>
  <si>
    <t xml:space="preserve">Written, timed, visual, owned by the operator</t>
  </si>
  <si>
    <t xml:space="preserve">2026-09-30</t>
  </si>
  <si>
    <t xml:space="preserve">4  General inspection training</t>
  </si>
  <si>
    <t xml:space="preserve">Operators learn how the equipment works, not only how to run it</t>
  </si>
  <si>
    <t xml:space="preserve">5  Autonomous inspection</t>
  </si>
  <si>
    <t xml:space="preserve">Operator inspection replaces part of the technician's route</t>
  </si>
  <si>
    <t xml:space="preserve">6  Standardisation and workplace management</t>
  </si>
  <si>
    <t xml:space="preserve">The whole area, not only the machine</t>
  </si>
  <si>
    <t xml:space="preserve">7  Full autonomous management</t>
  </si>
  <si>
    <t xml:space="preserve">The team owns the equipment condition and improves it</t>
  </si>
  <si>
    <t xml:space="preserve">TPM pillar maturity</t>
  </si>
  <si>
    <t xml:space="preserve">Total pillar score against a maximum of 32</t>
  </si>
  <si>
    <t xml:space="preserve">Weakest pillar</t>
  </si>
  <si>
    <t xml:space="preserve">Where the next TPM effort belongs</t>
  </si>
  <si>
    <t xml:space="preserve">Autonomous maintenance progress</t>
  </si>
  <si>
    <t xml:space="preserve">Steps completed out of the seven</t>
  </si>
  <si>
    <t xml:space="preserve">Next AM step to close</t>
  </si>
  <si>
    <t xml:space="preserve">The steps must be done in order</t>
  </si>
  <si>
    <t xml:space="preserve">MTBF</t>
  </si>
  <si>
    <t xml:space="preserve">Rising over time</t>
  </si>
  <si>
    <t xml:space="preserve">The measure of whether equipment condition is genuinely improving</t>
  </si>
  <si>
    <t xml:space="preserve">MTTR</t>
  </si>
  <si>
    <t xml:space="preserve">Falling over time</t>
  </si>
  <si>
    <t xml:space="preserve">The measure of spares, access, skills and escalation</t>
  </si>
  <si>
    <t xml:space="preserve">Ai - Ao gap</t>
  </si>
  <si>
    <t xml:space="preserve">&gt; 5 percentage points</t>
  </si>
  <si>
    <t xml:space="preserve">Most of the loss is not failure: attack micro-stops and response time</t>
  </si>
  <si>
    <t xml:space="preserve">Autonomous maintenance</t>
  </si>
  <si>
    <t xml:space="preserve">Steps completed in order</t>
  </si>
  <si>
    <t xml:space="preserve">Skipping to step 5 without steps 1-4 produces inspection without competence</t>
  </si>
  <si>
    <t xml:space="preserve">Score &lt;= 1</t>
  </si>
  <si>
    <t xml:space="preserve">Not established — the next place to put effort</t>
  </si>
  <si>
    <t xml:space="preserve">•  Computing MTBF with changeovers counted as failures, which makes the number meaningless.</t>
  </si>
  <si>
    <t xml:space="preserve">•  Excluding the wait for the technician from MTTR, which hides the largest part of most repairs.</t>
  </si>
  <si>
    <t xml:space="preserve">•  Launching autonomous maintenance as extra cleaning duties without training or standards.</t>
  </si>
  <si>
    <t xml:space="preserve">•  Improving MTTR when the problem is MTBF, so the line breaks just as often and is repaired slightly faster.</t>
  </si>
  <si>
    <t xml:space="preserve">•  Running TPM as a maintenance-department programme, which is precisely what it was designed to stop being.</t>
  </si>
  <si>
    <t xml:space="preserve">Q1.  MTBF is 528 min and MTTR is 33 min. Inherent availability is 94%, but operational availability is 86%. What does the gap tell you?</t>
  </si>
  <si>
    <t xml:space="preserve">A1.  That roughly 8 percentage points of loss are not breakdowns. They are micro-stops, waiting for a technician, waiting for spares, or waiting for a decision. Making repairs faster will not recover them — the response process and the minor stops will.</t>
  </si>
  <si>
    <t xml:space="preserve">Q2.  Why must the seven autonomous maintenance steps be done in order?</t>
  </si>
  <si>
    <t xml:space="preserve">A2.  Because each depends on the previous one. Inspection standards (step 3) are meaningless before the equipment has been restored and its contamination sources removed (steps 1-2), and autonomous inspection (step 5) is unsafe before general inspection training (step 4).</t>
  </si>
  <si>
    <t xml:space="preserve">Q3.  What is the difference between improving MTBF and improving MTTR, in terms of who does the work?</t>
  </si>
  <si>
    <t xml:space="preserve">A3.  MTBF is improved mainly by operators and engineering — condition, cleaning, lubrication, design, and removing the causes of deterioration. MTTR is improved mainly by maintenance and logistics — spares availability, access, tooling, escalation and skill. They are different projects with different owners.</t>
  </si>
  <si>
    <t xml:space="preserve">H-13  FMEA (AIAG-VDA)</t>
  </si>
  <si>
    <t xml:space="preserve">L-17 — Poka-Yoke (Mistake Proofing)</t>
  </si>
  <si>
    <t xml:space="preserve">Phase: IMPROVE   |   Data required: List of possible errors and how each is currently caught   |   Min. sample: n/a   |   Complexity: 2/5   |   Output: A register of mistake-proofing devices ranked by strength and Detection gain</t>
  </si>
  <si>
    <t xml:space="preserve">How can this error be made impossible, rather than merely discouraged?</t>
  </si>
  <si>
    <t xml:space="preserve">After an FMEA or a 5 Whys identifies a human-dependent control, and any time the counter-measure proposed is 'train the operator'.</t>
  </si>
  <si>
    <t xml:space="preserve">A register of devices ranked from warning to elimination, with the Detection improvement each one delivers.</t>
  </si>
  <si>
    <t xml:space="preserve">Poka-yoke starts from an assumption about people that is both kinder and more useful than the usual one:</t>
  </si>
  <si>
    <t xml:space="preserve">people do not make mistakes because they are careless, they make mistakes because the process allowed the mistake to be made. Shingo distinguished the mistake, which is human and inevitable, from the defect, which is what happens when the mistake reaches the product. Mistake-proofing breaks that link.</t>
  </si>
  <si>
    <t xml:space="preserve">There is a strength ladder, and where a counter-measure sits on it determines whether it will still be working in five years. Elimination makes the error physically impossible — an asymmetric pin that only fits one way. Prevention blocks the error before the product is affected — a scan that will not release the recipe unless the correct cap carton is present. Detection catches it immediately and contains the product. Warning alerts a person, who must then act correctly.</t>
  </si>
  <si>
    <t xml:space="preserve">Warnings are the weakest because they depend on a human being attentive at exactly the moment that matters, which is the assumption that already failed. This is why 'retrain the operator' and 'add it to the checklist' are not mistake-proofing, however often they appear as corrective actions.</t>
  </si>
  <si>
    <t xml:space="preserve">Poka-yoke is the natural counter-measure for a high Detection rating in an FMEA. Detection is the hardest of the three FMEA factors to improve by any other means, and it is the only one where a device can reliably take a rating from 7 to 2.</t>
  </si>
  <si>
    <t xml:space="preserve">✓  Whenever an FMEA leaves a high Detection rating, or a 5 Whys ends at a human-dependent control.</t>
  </si>
  <si>
    <t xml:space="preserve">✗  The problem is variation within specification rather than a discrete error — that is SPC and DOE.</t>
  </si>
  <si>
    <t xml:space="preserve">✓  At changeover, where the mix of formats, caps, labels and patterns creates most of the error opportunities.</t>
  </si>
  <si>
    <t xml:space="preserve">✗  The device would create a new hazard, or would be routinely bypassed. A bypassed poka-yoke is worse than none.</t>
  </si>
  <si>
    <t xml:space="preserve">✓  For safety controls, where a warning is never an acceptable final answer.</t>
  </si>
  <si>
    <t xml:space="preserve">✗  The error has never occurred and cannot occur — do not proof against imaginary failures.</t>
  </si>
  <si>
    <t xml:space="preserve">✓  As the standing alternative to 'we will retrain the team' after an incident.</t>
  </si>
  <si>
    <t xml:space="preserve">The error mode is real and understood</t>
  </si>
  <si>
    <t xml:space="preserve">It appears in the FMEA, the incident log or the complaint history</t>
  </si>
  <si>
    <t xml:space="preserve">Investigate the failure first; proofing the wrong error wastes the device</t>
  </si>
  <si>
    <t xml:space="preserve">The device cannot be bypassed in normal work</t>
  </si>
  <si>
    <t xml:space="preserve">Ask the operators how they would get around it under time pressure</t>
  </si>
  <si>
    <t xml:space="preserve">Redesign. A device that is bypassed on a bad day protects nobody on a bad day</t>
  </si>
  <si>
    <t xml:space="preserve">The device fails safe</t>
  </si>
  <si>
    <t xml:space="preserve">Ask what happens when the sensor itself fails</t>
  </si>
  <si>
    <t xml:space="preserve">Add a fail-safe state before installing it</t>
  </si>
  <si>
    <t xml:space="preserve">G-07  Risk Register</t>
  </si>
  <si>
    <t xml:space="preserve">The device does not slow the operator to the point of being resented</t>
  </si>
  <si>
    <t xml:space="preserve">Time the operation with the device fitted</t>
  </si>
  <si>
    <t xml:space="preserve">Simplify it; a device that costs seconds every cycle will be removed</t>
  </si>
  <si>
    <t xml:space="preserve">There is no equation here — the discipline is the strength ladder:</t>
  </si>
  <si>
    <t xml:space="preserve">4  ELIMINATION   the error is physically impossible          (design, geometry, interlock) 3  PREVENTION    the error is blocked before it reaches the product   (scan, gate, recipe lock) 2  DETECTION     the error is caught immediately and contained        (sensor plus reject) 1  WARNING       a person is alerted and must act                     (light, label, checklist)</t>
  </si>
  <si>
    <t xml:space="preserve">Detection improvement (FMEA) = Detection rating before  -  Detection rating after Average device strength      = mean of the ladder rank across the register        (aim above 3)</t>
  </si>
  <si>
    <t xml:space="preserve">Shingo's distinction:  a MISTAKE is human and inevitable.  A DEFECT is what happens when the mistake reaches the product.  Poka-yoke does not try to stop the mistake; it stops the defect.</t>
  </si>
  <si>
    <t xml:space="preserve">COUNTIF(approach, "Prevention")</t>
  </si>
  <si>
    <t xml:space="preserve">Counts devices at each level of the strength ladder</t>
  </si>
  <si>
    <t xml:space="preserve">IF(approach="Elimination",4,IF(...))</t>
  </si>
  <si>
    <t xml:space="preserve">Converts the approach into a numeric strength rank</t>
  </si>
  <si>
    <t xml:space="preserve">Average device strength across the register</t>
  </si>
  <si>
    <t xml:space="preserve">INDEX(devices, MATCH(MAX(gain), gain, 0))</t>
  </si>
  <si>
    <t xml:space="preserve">Names the device with the largest Detection gain</t>
  </si>
  <si>
    <t xml:space="preserve">Scenario: eight error opportunities identified on the PET line during the changeover FMEA and the last two customer complaints. For each, the current control and a proposed device, with the FMEA Detection rating before and after.</t>
  </si>
  <si>
    <t xml:space="preserve">Mistake-proofing register — one row per error opportunity</t>
  </si>
  <si>
    <t xml:space="preserve">Error that can occur</t>
  </si>
  <si>
    <t xml:space="preserve">When it can occur</t>
  </si>
  <si>
    <t xml:space="preserve">How it is caught today</t>
  </si>
  <si>
    <t xml:space="preserve">Current control level</t>
  </si>
  <si>
    <t xml:space="preserve">Mistake-proofing device proposed</t>
  </si>
  <si>
    <t xml:space="preserve">Approach</t>
  </si>
  <si>
    <t xml:space="preserve">FMEA Detection before</t>
  </si>
  <si>
    <t xml:space="preserve">FMEA Detection after</t>
  </si>
  <si>
    <t xml:space="preserve">Detection improvement</t>
  </si>
  <si>
    <t xml:space="preserve">Strength of the device 1-4</t>
  </si>
  <si>
    <t xml:space="preserve">Wrong cap colour loaded for the SKU</t>
  </si>
  <si>
    <t xml:space="preserve">Changeover</t>
  </si>
  <si>
    <t xml:space="preserve">Operator visual check</t>
  </si>
  <si>
    <t xml:space="preserve">Warning</t>
  </si>
  <si>
    <t xml:space="preserve">Bar-code scan of the cap carton against the recipe</t>
  </si>
  <si>
    <t xml:space="preserve">Prevention</t>
  </si>
  <si>
    <t xml:space="preserve">Wrong label reel loaded</t>
  </si>
  <si>
    <t xml:space="preserve">RFID tag on the reel core, read by the labeller</t>
  </si>
  <si>
    <t xml:space="preserve">Neck guide fitted in the wrong orientation</t>
  </si>
  <si>
    <t xml:space="preserve">Found at first article</t>
  </si>
  <si>
    <t xml:space="preserve">Detection</t>
  </si>
  <si>
    <t xml:space="preserve">Asymmetric locating pin — only fits one way</t>
  </si>
  <si>
    <t xml:space="preserve">Elimination</t>
  </si>
  <si>
    <t xml:space="preserve">Filler height column set to the wrong value</t>
  </si>
  <si>
    <t xml:space="preserve">Trial and error</t>
  </si>
  <si>
    <t xml:space="preserve">Numeric recipe recall with a servo positioner</t>
  </si>
  <si>
    <t xml:space="preserve">Pallet pattern wrong for the customer</t>
  </si>
  <si>
    <t xml:space="preserve">Found at the warehouse</t>
  </si>
  <si>
    <t xml:space="preserve">Pattern selected automatically from the order number</t>
  </si>
  <si>
    <t xml:space="preserve">Torque head out of calibration</t>
  </si>
  <si>
    <t xml:space="preserve">Running</t>
  </si>
  <si>
    <t xml:space="preserve">Weekly audit</t>
  </si>
  <si>
    <t xml:space="preserve">In-line torque monitoring with automatic reject</t>
  </si>
  <si>
    <t xml:space="preserve">Bottle fed with no cap</t>
  </si>
  <si>
    <t xml:space="preserve">Downstream inspection</t>
  </si>
  <si>
    <t xml:space="preserve">Cap presence sensor with immediate reject gate</t>
  </si>
  <si>
    <t xml:space="preserve">Operator bypasses the guard interlock</t>
  </si>
  <si>
    <t xml:space="preserve">Trapped-key interlock — the machine cannot start</t>
  </si>
  <si>
    <t xml:space="preserve">The strength ladder — always aim as high as the process allows</t>
  </si>
  <si>
    <t xml:space="preserve">Example from the table above</t>
  </si>
  <si>
    <t xml:space="preserve">4  Strongest</t>
  </si>
  <si>
    <t xml:space="preserve">ELIMINATION</t>
  </si>
  <si>
    <t xml:space="preserve">The error becomes physically impossible</t>
  </si>
  <si>
    <t xml:space="preserve">Asymmetric locating pin; trapped-key interlock</t>
  </si>
  <si>
    <t xml:space="preserve">PREVENTION</t>
  </si>
  <si>
    <t xml:space="preserve">The error is blocked before the product is affected</t>
  </si>
  <si>
    <t xml:space="preserve">DETECTION</t>
  </si>
  <si>
    <t xml:space="preserve">The error is caught immediately and the product is contained</t>
  </si>
  <si>
    <t xml:space="preserve">Cap presence sensor with a reject gate</t>
  </si>
  <si>
    <t xml:space="preserve">1  Weakest</t>
  </si>
  <si>
    <t xml:space="preserve">WARNING</t>
  </si>
  <si>
    <t xml:space="preserve">A person is alerted and must act correctly</t>
  </si>
  <si>
    <t xml:space="preserve">A light, a label, a reminder in the standard</t>
  </si>
  <si>
    <t xml:space="preserve">A warning depends on a human being attentive at the moment it matters, which is exactly the assumption that failed in the first place. Training and 'be more careful' are not poka-yoke.</t>
  </si>
  <si>
    <t xml:space="preserve">Errors in the register</t>
  </si>
  <si>
    <t xml:space="preserve">Error opportunities identified</t>
  </si>
  <si>
    <t xml:space="preserve">Devices at elimination or prevention level</t>
  </si>
  <si>
    <t xml:space="preserve">The devices that will still work in five years</t>
  </si>
  <si>
    <t xml:space="preserve">Devices that only warn</t>
  </si>
  <si>
    <t xml:space="preserve">These will fail the day someone is busy</t>
  </si>
  <si>
    <t xml:space="preserve">Average device strength</t>
  </si>
  <si>
    <t xml:space="preserve">Out of 4 — aim above 3</t>
  </si>
  <si>
    <t xml:space="preserve">Total Detection improvement</t>
  </si>
  <si>
    <t xml:space="preserve">Sum of the FMEA Detection reductions this register delivers</t>
  </si>
  <si>
    <t xml:space="preserve">Largest single Detection gain</t>
  </si>
  <si>
    <t xml:space="preserve">The device to implement first</t>
  </si>
  <si>
    <t xml:space="preserve">Which one</t>
  </si>
  <si>
    <t xml:space="preserve">Highest-value mistake-proofing device in the register</t>
  </si>
  <si>
    <t xml:space="preserve">Device strength</t>
  </si>
  <si>
    <t xml:space="preserve">Aim for elimination or prevention (3-4)</t>
  </si>
  <si>
    <t xml:space="preserve">Warnings depend on attention, which is what already failed</t>
  </si>
  <si>
    <t xml:space="preserve">Detection rating after</t>
  </si>
  <si>
    <t xml:space="preserve">&lt;= 2 for a proper device</t>
  </si>
  <si>
    <t xml:space="preserve">A device that leaves Detection at 5 has not proofed anything</t>
  </si>
  <si>
    <t xml:space="preserve">Bypass test</t>
  </si>
  <si>
    <t xml:space="preserve">Cannot be bypassed under time pressure</t>
  </si>
  <si>
    <t xml:space="preserve">The single most common reason poka-yoke fails in practice</t>
  </si>
  <si>
    <t xml:space="preserve">Fail-safe behaviour</t>
  </si>
  <si>
    <t xml:space="preserve">Defined for sensor failure</t>
  </si>
  <si>
    <t xml:space="preserve">A failed sensor must stop the process, not silently pass everything</t>
  </si>
  <si>
    <t xml:space="preserve">•  Accepting 'retrain the operator' or 'add it to the checklist' as a mistake-proofing counter-measure.</t>
  </si>
  <si>
    <t xml:space="preserve">•  Installing a device that can be bypassed when the line is behind schedule.</t>
  </si>
  <si>
    <t xml:space="preserve">•  Proofing against an error that has never happened while ignoring the one that happens weekly.</t>
  </si>
  <si>
    <t xml:space="preserve">•  Forgetting to define what happens when the detection device itself fails.</t>
  </si>
  <si>
    <t xml:space="preserve">•  Adding seconds to every cycle for a device that guards a rare error, which guarantees it will be removed.</t>
  </si>
  <si>
    <t xml:space="preserve">Q1.  An FMEA gives a failure mode S=8, O=3, D=7. Which factor can poka-yoke realistically move, and to what?</t>
  </si>
  <si>
    <t xml:space="preserve">A1.  Detection. A well-designed prevention or elimination device typically takes Detection from 7 to 2 or lower. Severity can only be changed by design change, and Occurrence by removing the cause — poka-yoke at prevention level can also reduce Occurrence, which is why prevention outranks detection.</t>
  </si>
  <si>
    <t xml:space="preserve">Q2.  Why is a warning light the weakest form of mistake-proofing?</t>
  </si>
  <si>
    <t xml:space="preserve">A2.  Because it relies on a person noticing it and acting correctly at exactly the moment they are busy, distracted or under pressure — the same conditions that produced the original mistake. It transfers the burden back to the human it was supposed to protect.</t>
  </si>
  <si>
    <t xml:space="preserve">Q3.  What is the difference between a mistake and a defect in Shingo's framing?</t>
  </si>
  <si>
    <t xml:space="preserve">A3.  A mistake is a human action that is inevitable over enough repetitions. A defect is what reaches the product when nothing intercepts the mistake. Poka-yoke accepts that mistakes will happen and makes sure they do not become defects.</t>
  </si>
  <si>
    <t xml:space="preserve">L-18 — Jidoka and Andon</t>
  </si>
  <si>
    <t xml:space="preserve">Phase: CONTROL   |   Data required: Andon call log with response and resolution times   |   Min. sample: One shift of calls   |   Complexity: 2/5   |   Output: Response performance, escalation compliance and the machine driving the calls</t>
  </si>
  <si>
    <t xml:space="preserve">When something goes wrong, does the process stop and does help actually arrive?</t>
  </si>
  <si>
    <t xml:space="preserve">When defects are being passed downstream, when operators do not call for help, and when designing the control phase.</t>
  </si>
  <si>
    <t xml:space="preserve">Response and resolution times against target, escalation compliance, and the machine generating most calls.</t>
  </si>
  <si>
    <t xml:space="preserve">Jidoka is usually translated as automation with a human touch, which obscures what it actually requires:</t>
  </si>
  <si>
    <t xml:space="preserve">the process must stop when an abnormality occurs. Not continue and flag. Stop.</t>
  </si>
  <si>
    <t xml:space="preserve">The logic is that a defect passed downstream costs more at every step, and that a line which never stops is a line whose problems are never visible. Stopping is not the cost; it is the mechanism that forces the problem to be solved rather than absorbed.</t>
  </si>
  <si>
    <t xml:space="preserve">Andon is the signalling half of jidoka: any operator can call for help, and help is expected within a defined time. The measure that matters is not how many times the cord was pulled but how quickly somebody came. An operator who waits four minutes twice will stop calling, and the system dies quietly while the board still shows green.</t>
  </si>
  <si>
    <t xml:space="preserve">A rising andon count early in a programme is a good sign, not a bad one — it means abnormality that was previously absorbed is now surfacing. Punishing the call rate is the fastest way to destroy the system.</t>
  </si>
  <si>
    <t xml:space="preserve">Jidoka also separates human work from machine work. Once a machine can detect its own abnormality and stop, the operator no longer has to watch it, and one person can run several machines. That, rather than quality alone, is why jidoka is one of the two pillars of the Toyota Production System.</t>
  </si>
  <si>
    <t xml:space="preserve">✓  Designing how abnormality is signalled, answered and escalated on a line.</t>
  </si>
  <si>
    <t xml:space="preserve">✗  Stopping the process would create a safety or food-safety hazard — design the stop condition carefully.</t>
  </si>
  <si>
    <t xml:space="preserve">✓  Diagnosing why operators stopped using an andon system that was installed and then ignored.</t>
  </si>
  <si>
    <t xml:space="preserve">✗  There is no capacity to respond at all; an andon with nobody to answer it teaches the team to ignore it.</t>
  </si>
  <si>
    <t xml:space="preserve">✓  As part of the control plan reaction rules (H-16), which andon operationalises.</t>
  </si>
  <si>
    <t xml:space="preserve">✗  As a call-rate performance measure for operators, which guarantees under-reporting.</t>
  </si>
  <si>
    <t xml:space="preserve">✓  To find the machine that is generating the calls, which is where the real project is.</t>
  </si>
  <si>
    <t xml:space="preserve">There is a defined responder for every hour the line runs</t>
  </si>
  <si>
    <t xml:space="preserve">Check nights and weekends, not just the day shift</t>
  </si>
  <si>
    <t xml:space="preserve">Define the responder or the system will be trusted only on days</t>
  </si>
  <si>
    <t xml:space="preserve">The escalation ladder is known by the operators</t>
  </si>
  <si>
    <t xml:space="preserve">Ask an operator who they call after ten minutes</t>
  </si>
  <si>
    <t xml:space="preserve">Post the ladder at the line and train it</t>
  </si>
  <si>
    <t xml:space="preserve">Stopping the line is genuinely permitted</t>
  </si>
  <si>
    <t xml:space="preserve">Ask whether an operator has stopped the line in the last month without being questioned</t>
  </si>
  <si>
    <t xml:space="preserve">Fix the management response first; the technical system is not the problem</t>
  </si>
  <si>
    <t xml:space="preserve">Calls are logged, including the ones resolved quickly</t>
  </si>
  <si>
    <t xml:space="preserve">Compare the log with what the operators say happened</t>
  </si>
  <si>
    <t xml:space="preserve">Log every call; the short ones carry the pattern</t>
  </si>
  <si>
    <t xml:space="preserve">Response time    = time help arrived  -  time the andon was called Resolution time  = time normal running resumed  -  time the andon was called On-time rate     = calls answered within the target response time / total calls Escalation check = resolution time &gt; escalation threshold, with no escalation recorded</t>
  </si>
  <si>
    <t xml:space="preserve">There is no statistical test here. The decision rule is behavioural:</t>
  </si>
  <si>
    <t xml:space="preserve">   on-time rate below ~80%  →  the system will fall out of use, whatever the board shows</t>
  </si>
  <si>
    <t xml:space="preserve">Jidoka's four steps, applied whenever the line stops:</t>
  </si>
  <si>
    <t xml:space="preserve">   1 Detect the abnormality   2 Stop   3 Fix or contain the immediate condition   4 Investigate the root cause</t>
  </si>
  <si>
    <t xml:space="preserve">COUNTIF(range, "On time")</t>
  </si>
  <si>
    <t xml:space="preserve">On-time response count and escalation breaches</t>
  </si>
  <si>
    <t xml:space="preserve">AVERAGE / MAX</t>
  </si>
  <si>
    <t xml:space="preserve">AVERAGE(range), MAX(range)</t>
  </si>
  <si>
    <t xml:space="preserve">Mean and worst response, both of which matter</t>
  </si>
  <si>
    <t xml:space="preserve">IF(response&lt;=target,"On time","LATE")</t>
  </si>
  <si>
    <t xml:space="preserve">Per-call assessment against the target</t>
  </si>
  <si>
    <t xml:space="preserve">COUNTIF as an array</t>
  </si>
  <si>
    <t xml:space="preserve">COUNTIF(machines, machines)</t>
  </si>
  <si>
    <t xml:space="preserve">Frequency of each machine, used to find the most-called one</t>
  </si>
  <si>
    <t xml:space="preserve">Scenario: one shift of andon calls on the PET line, with a two-minute response target and a ten-minute escalation threshold. Response and resolution times are taken from the andon system log.</t>
  </si>
  <si>
    <t xml:space="preserve">Andon event log — one row per andon call this shift</t>
  </si>
  <si>
    <t xml:space="preserve">Target</t>
  </si>
  <si>
    <t xml:space="preserve">Target first response time</t>
  </si>
  <si>
    <t xml:space="preserve">Team leader at the machine within this time</t>
  </si>
  <si>
    <t xml:space="preserve">Escalation threshold</t>
  </si>
  <si>
    <t xml:space="preserve">Unresolved beyond this, escalate to the next level</t>
  </si>
  <si>
    <t xml:space="preserve">Time</t>
  </si>
  <si>
    <t xml:space="preserve">Machine</t>
  </si>
  <si>
    <t xml:space="preserve">Andon trigger</t>
  </si>
  <si>
    <t xml:space="preserve">Response time (min)</t>
  </si>
  <si>
    <t xml:space="preserve">Resolution time (min)</t>
  </si>
  <si>
    <t xml:space="preserve">Response vs target</t>
  </si>
  <si>
    <t xml:space="preserve">Escalation check</t>
  </si>
  <si>
    <t xml:space="preserve">Did the line stop?</t>
  </si>
  <si>
    <t xml:space="preserve">Calls from this machine</t>
  </si>
  <si>
    <t xml:space="preserve">06:42</t>
  </si>
  <si>
    <t xml:space="preserve">Fill volume drifting low</t>
  </si>
  <si>
    <t xml:space="preserve">Line kept running</t>
  </si>
  <si>
    <t xml:space="preserve">07:15</t>
  </si>
  <si>
    <t xml:space="preserve">Label placement out of tolerance</t>
  </si>
  <si>
    <t xml:space="preserve">Line stopped</t>
  </si>
  <si>
    <t xml:space="preserve">08:03</t>
  </si>
  <si>
    <t xml:space="preserve">Torque below the lower limit</t>
  </si>
  <si>
    <t xml:space="preserve">09:20</t>
  </si>
  <si>
    <t xml:space="preserve">Pattern fault, pallet rejected</t>
  </si>
  <si>
    <t xml:space="preserve">10:47</t>
  </si>
  <si>
    <t xml:space="preserve">Preform feed jam</t>
  </si>
  <si>
    <t xml:space="preserve">11:36</t>
  </si>
  <si>
    <t xml:space="preserve">Foaming at the valve</t>
  </si>
  <si>
    <t xml:space="preserve">13:12</t>
  </si>
  <si>
    <t xml:space="preserve">Film break</t>
  </si>
  <si>
    <t xml:space="preserve">14:29</t>
  </si>
  <si>
    <t xml:space="preserve">Inspection (Innocheck)</t>
  </si>
  <si>
    <t xml:space="preserve">Reject rate above the trigger</t>
  </si>
  <si>
    <t xml:space="preserve">15:51</t>
  </si>
  <si>
    <t xml:space="preserve">Cap feed empty</t>
  </si>
  <si>
    <t xml:space="preserve">16:38</t>
  </si>
  <si>
    <t xml:space="preserve">Glue temperature alarm</t>
  </si>
  <si>
    <t xml:space="preserve">Andon calls this shift</t>
  </si>
  <si>
    <t xml:space="preserve">calls</t>
  </si>
  <si>
    <t xml:space="preserve">A rising count is good early in a jidoka programme</t>
  </si>
  <si>
    <t xml:space="preserve">Mean response time</t>
  </si>
  <si>
    <t xml:space="preserve">How long the operator waited for help</t>
  </si>
  <si>
    <t xml:space="preserve">Worst response time</t>
  </si>
  <si>
    <t xml:space="preserve">The response the team actually remembers</t>
  </si>
  <si>
    <t xml:space="preserve">Calls answered within target</t>
  </si>
  <si>
    <t xml:space="preserve">The number that decides whether andon is trusted</t>
  </si>
  <si>
    <t xml:space="preserve">Mean resolution time</t>
  </si>
  <si>
    <t xml:space="preserve">From call to normal running</t>
  </si>
  <si>
    <t xml:space="preserve">Calls that should have escalated</t>
  </si>
  <si>
    <t xml:space="preserve">Unresolved past the threshold with nobody called</t>
  </si>
  <si>
    <t xml:space="preserve">Calls where the line stopped</t>
  </si>
  <si>
    <t xml:space="preserve">Jidoka accepts stopping; the cost is paid back in defects not made</t>
  </si>
  <si>
    <t xml:space="preserve">Machine with most calls</t>
  </si>
  <si>
    <t xml:space="preserve">Where the underlying problem lives</t>
  </si>
  <si>
    <t xml:space="preserve">Escalation ladder — post this at the line</t>
  </si>
  <si>
    <t xml:space="preserve">Who responds</t>
  </si>
  <si>
    <t xml:space="preserve">Within</t>
  </si>
  <si>
    <t xml:space="preserve">If not resolved, escalate to</t>
  </si>
  <si>
    <t xml:space="preserve">Authority at this level</t>
  </si>
  <si>
    <t xml:space="preserve">Immediately</t>
  </si>
  <si>
    <t xml:space="preserve">Team leader after 2 min</t>
  </si>
  <si>
    <t xml:space="preserve">Stop the line, contain the product</t>
  </si>
  <si>
    <t xml:space="preserve">Team leader</t>
  </si>
  <si>
    <t xml:space="preserve">2 min</t>
  </si>
  <si>
    <t xml:space="preserve">Shift supervisor after 10 min</t>
  </si>
  <si>
    <t xml:space="preserve">Reallocate people, call maintenance</t>
  </si>
  <si>
    <t xml:space="preserve">Shift supervisor</t>
  </si>
  <si>
    <t xml:space="preserve">10 min</t>
  </si>
  <si>
    <t xml:space="preserve">Packaging manager after 30 min</t>
  </si>
  <si>
    <t xml:space="preserve">Change the plan, authorise overtime</t>
  </si>
  <si>
    <t xml:space="preserve">Packaging manager</t>
  </si>
  <si>
    <t xml:space="preserve">30 min</t>
  </si>
  <si>
    <t xml:space="preserve">Plant manager after 2 h</t>
  </si>
  <si>
    <t xml:space="preserve">Commit resources across departments</t>
  </si>
  <si>
    <t xml:space="preserve">On-time response rate</t>
  </si>
  <si>
    <t xml:space="preserve">&gt;= 80%, target 95%</t>
  </si>
  <si>
    <t xml:space="preserve">Below 80% the system falls out of use regardless of the technology</t>
  </si>
  <si>
    <t xml:space="preserve">&lt;= the stated target</t>
  </si>
  <si>
    <t xml:space="preserve">The promise has to be kept or the cord stops being pulled</t>
  </si>
  <si>
    <t xml:space="preserve">Escalation breaches</t>
  </si>
  <si>
    <t xml:space="preserve">Zero</t>
  </si>
  <si>
    <t xml:space="preserve">An unresolved call with no escalation means the ladder is not real</t>
  </si>
  <si>
    <t xml:space="preserve">Call count trend</t>
  </si>
  <si>
    <t xml:space="preserve">Rising early, falling later</t>
  </si>
  <si>
    <t xml:space="preserve">Rising means abnormality is surfacing; falling later means it is being solved</t>
  </si>
  <si>
    <t xml:space="preserve">•  Measuring how often the andon is pulled instead of how quickly it is answered.</t>
  </si>
  <si>
    <t xml:space="preserve">•  Treating a rising call count as a problem, which teaches the team to absorb abnormality silently.</t>
  </si>
  <si>
    <t xml:space="preserve">•  Installing andon lights with no named responder, no target time and no escalation ladder.</t>
  </si>
  <si>
    <t xml:space="preserve">•  Allowing the line to keep running while the call is open, which is precisely what jidoka forbids.</t>
  </si>
  <si>
    <t xml:space="preserve">•  Fixing the immediate condition and never doing step 4 — the root-cause investigation.</t>
  </si>
  <si>
    <t xml:space="preserve">Q1.  Andon calls doubled after the system was introduced. Is that good or bad?</t>
  </si>
  <si>
    <t xml:space="preserve">A1.  Good, early on. It means abnormality that was previously absorbed silently is now visible. The concerning number would be a falling call count combined with unchanged defect rates — that means the team has learned not to call.</t>
  </si>
  <si>
    <t xml:space="preserve">Q2.  Why does jidoka insist on stopping rather than flagging and continuing?</t>
  </si>
  <si>
    <t xml:space="preserve">A2.  Because a defect passed downstream costs more at every subsequent step, and because a line that never stops never forces its problems to be solved. Stopping converts an absorbed cost into a visible one, which is the only way it gets attention.</t>
  </si>
  <si>
    <t xml:space="preserve">Q3.  Mean response time is 2.6 minutes against a 2-minute target, and only 60% of calls are on time. What happens next if nothing changes?</t>
  </si>
  <si>
    <t xml:space="preserve">A3.  Operators stop calling. They will absorb the abnormality themselves, the call count will fall, the board will look better, and defects will rise. Fixing the response capacity comes before adding any further andon triggers.</t>
  </si>
  <si>
    <t xml:space="preserve">L-19 — Pull Systems and Kanban</t>
  </si>
  <si>
    <t xml:space="preserve">Phase: IMPROVE   |   Data required: Demand rate, replenishment lead time and container size per part   |   Min. sample: n/a   |   Complexity: 3/5   |   Output: Number of kanban cards, supermarket size and days of cover per part</t>
  </si>
  <si>
    <t xml:space="preserve">How much material must sit at the line so it never starves, and how do we stop it becoming more than that?</t>
  </si>
  <si>
    <t xml:space="preserve">When the line stops for material, when the aisle is full of pallets nobody ordered, or when replacing a schedule with a signal.</t>
  </si>
  <si>
    <t xml:space="preserve">A card count and a supermarket size per part, with the days of cover each one implies.</t>
  </si>
  <si>
    <t xml:space="preserve">A push system produces to a forecast and hopes the next process wants it. A pull system produces only what the next process has actually taken. Kanban is the signal that carries the taking: a card, a bin, a marked square or an electronic call, always attached to real consumption.</t>
  </si>
  <si>
    <t xml:space="preserve">The sizing arithmetic is short. The buffer must cover demand during the replenishment lead time, plus a safety allowance for variation in either. Divide that by the container size and round up, and you have the number of cards. Everything else about kanban is discipline rather than mathematics.</t>
  </si>
  <si>
    <t xml:space="preserve">Two consequences follow. First, the only honest way to hold less stock is to shorten the replenishment lead time or reduce the variation — you cannot simply decide to hold less and keep everything else the same. Second, a part that sizes to a single card cannot function: while that card is in transit the line has nothing.</t>
  </si>
  <si>
    <t xml:space="preserve">The sixth rule is what makes kanban an improvement tool. Cards are removed deliberately, one at a time, until a problem surfaces. The problem is solved, and the next card is removed. A card count that has not changed in two years means the system is being used as a warehouse with a nice board.</t>
  </si>
  <si>
    <t xml:space="preserve">On a packaging line the natural pull loops are preforms, caps, labels, film and pallets — high volume, short lead time, and exactly the materials that stop the line when they run out.</t>
  </si>
  <si>
    <t xml:space="preserve">✓  Replacing a material schedule with a consumption signal at the line.</t>
  </si>
  <si>
    <t xml:space="preserve">✗  Demand for the part is extremely erratic or genuinely one-off — kanban assumes repetition.</t>
  </si>
  <si>
    <t xml:space="preserve">✓  Sizing line-side stock so that it protects production without filling the aisle.</t>
  </si>
  <si>
    <t xml:space="preserve">✗  The replenishment lead time is longer than the customer will wait and cannot be shortened.</t>
  </si>
  <si>
    <t xml:space="preserve">✓  Implementing the pull loops designed on the future state value stream map (L-03).</t>
  </si>
  <si>
    <t xml:space="preserve">✗  The upstream process is so unreliable that any realistic card count would be enormous — fix reliability first.</t>
  </si>
  <si>
    <t xml:space="preserve">✓  Making a shortage visible before it becomes a stop.</t>
  </si>
  <si>
    <t xml:space="preserve">Demand is reasonably repetitive</t>
  </si>
  <si>
    <t xml:space="preserve">Look at the daily consumption over the last quarter</t>
  </si>
  <si>
    <t xml:space="preserve">Level the demand first, or keep those parts on a plan</t>
  </si>
  <si>
    <t xml:space="preserve">Replenishment lead time is known and stable</t>
  </si>
  <si>
    <t xml:space="preserve">Measure it, including the queue at the supplying process</t>
  </si>
  <si>
    <t xml:space="preserve">Reduce the variation before sizing, or the safety factor will absorb everything</t>
  </si>
  <si>
    <t xml:space="preserve">Containers are standard and counted</t>
  </si>
  <si>
    <t xml:space="preserve">One agreed container size per part, always full</t>
  </si>
  <si>
    <t xml:space="preserve">Standardise the container; a variable container makes the card meaningless</t>
  </si>
  <si>
    <t xml:space="preserve">Only good product moves with a card</t>
  </si>
  <si>
    <t xml:space="preserve">Check that rejected material is not passed forward with its card</t>
  </si>
  <si>
    <t xml:space="preserve">Apply rule 5 strictly or the pull signal will propagate defects</t>
  </si>
  <si>
    <t xml:space="preserve">Buffer required   =  demand rate  x  replenishment lead time  x  ( 1 + safety factor ) KANBAN CARDS      =  ROUNDUP( buffer required / container size ) Supermarket size  =  cards  x  container size</t>
  </si>
  <si>
    <t xml:space="preserve">Days of cover     =  supermarket size / demand per day</t>
  </si>
  <si>
    <t xml:space="preserve">The safety factor covers variation in demand AND in the replenishment lead time. Typical values are 10-30%; a factor above 50% is a signal that the underlying variation should be reduced instead.</t>
  </si>
  <si>
    <t xml:space="preserve">THE SIX RULES:  1 downstream withdraws only what it needs · 2 upstream produces only what was withdrawn · 3 nothing moves without a kanban · 4 the kanban stays with the goods · 5 no defective product moves forward · 6 the number of kanban is reduced over time, deliberately.</t>
  </si>
  <si>
    <t xml:space="preserve">ROUNDUP(buffer/container, 0)</t>
  </si>
  <si>
    <t xml:space="preserve">Cards are whole containers — always round up, never to nearest</t>
  </si>
  <si>
    <t xml:space="preserve">COUNTIF with a criterion string</t>
  </si>
  <si>
    <t xml:space="preserve">COUNTIF(cards, "&lt;2")</t>
  </si>
  <si>
    <t xml:space="preserve">Finds parts that cannot cycle on a single card</t>
  </si>
  <si>
    <t xml:space="preserve">INDEX(parts, MATCH(MAX(cover), cover, 0))</t>
  </si>
  <si>
    <t xml:space="preserve">Names the part carrying the most cover</t>
  </si>
  <si>
    <t xml:space="preserve">Guards the divisions while the table is empty</t>
  </si>
  <si>
    <t xml:space="preserve">Scenario: six materials held at the PET line. Demand comes from the production plan, replenishment lead time from the internal store or the supplier, and the container size is the standard pallet or box the material actually arrives in.</t>
  </si>
  <si>
    <t xml:space="preserve">Kanban sizing calculator — one row per part held at the line</t>
  </si>
  <si>
    <t xml:space="preserve">Part held at the line</t>
  </si>
  <si>
    <t xml:space="preserve">Demand per day</t>
  </si>
  <si>
    <t xml:space="preserve">Replenishment lead time (days)</t>
  </si>
  <si>
    <t xml:space="preserve">Safety factor</t>
  </si>
  <si>
    <t xml:space="preserve">Container size (units)</t>
  </si>
  <si>
    <t xml:space="preserve">Buffer required (units)</t>
  </si>
  <si>
    <t xml:space="preserve">KANBAN CARDS</t>
  </si>
  <si>
    <t xml:space="preserve">Supermarket size (units)</t>
  </si>
  <si>
    <t xml:space="preserve">Days of cover</t>
  </si>
  <si>
    <t xml:space="preserve">Preforms 24.5 g (500 ml)</t>
  </si>
  <si>
    <t xml:space="preserve">Caps 28 mm blue</t>
  </si>
  <si>
    <t xml:space="preserve">Labels 500 ml standard</t>
  </si>
  <si>
    <t xml:space="preserve">Shrink film 450 mm</t>
  </si>
  <si>
    <t xml:space="preserve">Pallets EUR</t>
  </si>
  <si>
    <t xml:space="preserve">Glue cartridges</t>
  </si>
  <si>
    <t xml:space="preserve">Two-bin check and pull-system health</t>
  </si>
  <si>
    <t xml:space="preserve">Total kanban cards in circulation</t>
  </si>
  <si>
    <t xml:space="preserve">cards</t>
  </si>
  <si>
    <t xml:space="preserve">Every card is a licence to produce or to move</t>
  </si>
  <si>
    <t xml:space="preserve">Part with the most cover</t>
  </si>
  <si>
    <t xml:space="preserve">The first candidate for a shorter replenishment lead time</t>
  </si>
  <si>
    <t xml:space="preserve">Its cover</t>
  </si>
  <si>
    <t xml:space="preserve">Cover is lead time plus safety, nothing else</t>
  </si>
  <si>
    <t xml:space="preserve">Parts with fewer than 2 cards</t>
  </si>
  <si>
    <t xml:space="preserve">parts</t>
  </si>
  <si>
    <t xml:space="preserve">A single card cannot cycle: one card in transit means zero at the line</t>
  </si>
  <si>
    <t xml:space="preserve">Stockout events last month</t>
  </si>
  <si>
    <t xml:space="preserve">events</t>
  </si>
  <si>
    <t xml:space="preserve">Actual shortages recorded at the line</t>
  </si>
  <si>
    <t xml:space="preserve">Cards removed since last review</t>
  </si>
  <si>
    <t xml:space="preserve">Removing cards is how a pull system exposes the next problem</t>
  </si>
  <si>
    <t xml:space="preserve">The six rules of a working kanban system</t>
  </si>
  <si>
    <t xml:space="preserve">Rule</t>
  </si>
  <si>
    <t xml:space="preserve">What breaks if it is ignored</t>
  </si>
  <si>
    <t xml:space="preserve">The downstream process withdraws only what it needs, only when it needs it</t>
  </si>
  <si>
    <t xml:space="preserve">The system becomes a push system with cards attached</t>
  </si>
  <si>
    <t xml:space="preserve">The upstream process produces only what has been withdrawn, in that order</t>
  </si>
  <si>
    <t xml:space="preserve">Overproduction returns, and the supermarket overflows</t>
  </si>
  <si>
    <t xml:space="preserve">Nothing is produced or moved without a kanban</t>
  </si>
  <si>
    <t xml:space="preserve">The signal stops meaning anything</t>
  </si>
  <si>
    <t xml:space="preserve">A kanban is always attached to the physical goods</t>
  </si>
  <si>
    <t xml:space="preserve">The count drifts and nobody trusts the board</t>
  </si>
  <si>
    <t xml:space="preserve">Defective product is never sent forward</t>
  </si>
  <si>
    <t xml:space="preserve">The pull signal propagates a defect instead of a need</t>
  </si>
  <si>
    <t xml:space="preserve">The number of kanban is reduced over time, deliberately</t>
  </si>
  <si>
    <t xml:space="preserve">The system stabilises around today's problems and stops improving</t>
  </si>
  <si>
    <t xml:space="preserve">Rule 6 is the reason kanban is an improvement tool and not just a stock-control method. Each card removed reduces the buffer until a problem surfaces; the problem is solved, and the next card is removed. A pull system whose card count has never changed is being used as a warehouse.</t>
  </si>
  <si>
    <t xml:space="preserve">Cards per part</t>
  </si>
  <si>
    <t xml:space="preserve">&gt;= 2</t>
  </si>
  <si>
    <t xml:space="preserve">One card cannot cycle: while it is in transit the line has nothing</t>
  </si>
  <si>
    <t xml:space="preserve">Equal to lead time plus safety, no more</t>
  </si>
  <si>
    <t xml:space="preserve">Cover beyond this is inventory hiding a problem</t>
  </si>
  <si>
    <t xml:space="preserve">10-30%</t>
  </si>
  <si>
    <t xml:space="preserve">Above 50%, reduce the variation instead of padding the buffer</t>
  </si>
  <si>
    <t xml:space="preserve">At least some</t>
  </si>
  <si>
    <t xml:space="preserve">Rule 6: a static card count means the system has stopped improving</t>
  </si>
  <si>
    <t xml:space="preserve">•  Sizing the buffer for the worst case ever recorded, which permanently institutionalises that worst case.</t>
  </si>
  <si>
    <t xml:space="preserve">•  Never removing cards, so the system becomes a tidy warehouse rather than an improvement mechanism.</t>
  </si>
  <si>
    <t xml:space="preserve">•  Allowing production without a card 'just this once', which teaches everyone the signal is optional.</t>
  </si>
  <si>
    <t xml:space="preserve">•  Separating the card from the material, after which the physical count and the board diverge silently.</t>
  </si>
  <si>
    <t xml:space="preserve">•  Applying kanban to a part with erratic, one-off demand, where a plan is genuinely the right tool.</t>
  </si>
  <si>
    <t xml:space="preserve">Q1.  Demand is 372,000 caps a day, replenishment takes half a day, safety 20%, container 12,000. How many cards?</t>
  </si>
  <si>
    <t xml:space="preserve">A1.  Buffer = 372,000 x 0.5 x 1.2 = 223,200 caps. Cards = ROUNDUP(223,200 / 12,000) = 19 cards, giving a supermarket of 228,000 caps and about 0.61 days of cover.</t>
  </si>
  <si>
    <t xml:space="preserve">Q2.  Why is a part sized to exactly one kanban card a problem?</t>
  </si>
  <si>
    <t xml:space="preserve">A2.  Because the card must travel to the supplying process, be produced or picked, and travel back. While it is in transit there is no material at the line at all. A working loop needs at least two cards — one being consumed, one being replenished.</t>
  </si>
  <si>
    <t xml:space="preserve">Q3.  What does rule 6 — deliberately reducing the number of cards — actually do?</t>
  </si>
  <si>
    <t xml:space="preserve">A3.  It lowers the buffer until a problem surfaces: a late delivery, a long changeover, an unreliable machine. The problem is then solved and another card is removed. This is what makes kanban an improvement engine rather than a stock policy.</t>
  </si>
  <si>
    <t xml:space="preserve">L-03  VSM Future State</t>
  </si>
  <si>
    <t xml:space="preserve">L-20 — Heijunka (Level Loading)</t>
  </si>
  <si>
    <t xml:space="preserve">Phase: IMPROVE   |   Data required: SKU demand, changeover time, available time   |   Min. sample: One representative demand period   |   Complexity: 4/5   |   Output: EPEI, the affordable changeover budget and a levelled daily schedule</t>
  </si>
  <si>
    <t xml:space="preserve">Can we make a little of every product every day instead of a lot of one product every week?</t>
  </si>
  <si>
    <t xml:space="preserve">After changeover time has been reduced, when the schedule is lumpy, and when downstream inventory exists only to absorb that lumpiness.</t>
  </si>
  <si>
    <t xml:space="preserve">The EPEI interval the line can support, the changeover budget, and a levelled daily pattern.</t>
  </si>
  <si>
    <t xml:space="preserve">Heijunka levels production by volume and by mix. Instead of running a week of one SKU and then a week of another, the line makes a little of each, every day, in a repeating pattern.</t>
  </si>
  <si>
    <t xml:space="preserve">The reason is not elegance. Unlevelled production forces every downstream process, and every supplier, to size itself for the peak rather than the average — the classic amplification effect. Levelling removes that amplification at its source.</t>
  </si>
  <si>
    <t xml:space="preserve">The constraint on levelling is changeover time, which is why heijunka always follows SMED. EPEI — every part every interval — is the honest measure: given the time left after production, and the cost of one changeover, how often can each SKU be made? An EPEI of one day means full levelling is possible; an EPEI of two weeks means the changeover time must come down first.</t>
  </si>
  <si>
    <t xml:space="preserve">Pitch is the smallest release increment — typically the pack-out quantity, one pallet or one layer group.</t>
  </si>
  <si>
    <t xml:space="preserve">The heijunka box releases one pitch of work at a time, which converts the schedule into a physical, visual signal that anyone can read.</t>
  </si>
  <si>
    <t xml:space="preserve">Levelling deliberately trades a little efficiency at the machine for a large gain across the stream. That trade is invisible to a machine-utilisation metric, which is why levelling is usually opposed by whoever is measured on machine utilisation.</t>
  </si>
  <si>
    <t xml:space="preserve">✓  After SMED, when changeovers are cheap enough to be frequent.</t>
  </si>
  <si>
    <t xml:space="preserve">✗  Changeover time is still long — levelling would consume all the available time. Do SMED first.</t>
  </si>
  <si>
    <t xml:space="preserve">✓  When the downstream stock exists mainly to absorb the lumpiness of your own schedule.</t>
  </si>
  <si>
    <t xml:space="preserve">✗  Demand is genuinely a single product; there is no mix to level.</t>
  </si>
  <si>
    <t xml:space="preserve">✓  To stabilise supplier calls, which cannot be levelled if your own production is not.</t>
  </si>
  <si>
    <t xml:space="preserve">✗  The process is unstable: levelling a process that cannot hold its own plan adds noise, not order.</t>
  </si>
  <si>
    <t xml:space="preserve">✓  To make the schedule visual and physical through a heijunka box.</t>
  </si>
  <si>
    <t xml:space="preserve">Changeover time is short enough to be repeated often</t>
  </si>
  <si>
    <t xml:space="preserve">Compare the changeover budget against the number of changeovers levelling would require</t>
  </si>
  <si>
    <t xml:space="preserve">Return to SMED; levelling on top of a long changeover destroys capacity</t>
  </si>
  <si>
    <t xml:space="preserve">Demand is known at SKU level</t>
  </si>
  <si>
    <t xml:space="preserve">Take demand from dispatch, by SKU, over a representative period</t>
  </si>
  <si>
    <t xml:space="preserve">Level only the runners; keep the strangers on a plan</t>
  </si>
  <si>
    <t xml:space="preserve">There is a single pacemaker process</t>
  </si>
  <si>
    <t xml:space="preserve">Check that only one process is scheduled</t>
  </si>
  <si>
    <t xml:space="preserve">Establish the pacemaker before levelling anything</t>
  </si>
  <si>
    <t xml:space="preserve">Material supply can follow the levelled pattern</t>
  </si>
  <si>
    <t xml:space="preserve">Confirm the pull loops can replenish at the levelled frequency</t>
  </si>
  <si>
    <t xml:space="preserve">Resize the kanban loops for the new pattern</t>
  </si>
  <si>
    <t xml:space="preserve">Weekly run time of a SKU  =  weekly demand / line rate                (converted to minutes) Time left for changeovers =  available time per week  -  total run time Changeovers affordable    =  ROUNDDOWN( time left / average changeover time )</t>
  </si>
  <si>
    <t xml:space="preserve">EPEI (every part every interval) =  number of SKUs / ( changeovers affordable per week / 7 )</t>
  </si>
  <si>
    <t xml:space="preserve">EPEI &lt;= 1 day   →  every SKU can be produced every day: full levelling is possible EPEI &lt;= 5 days  →  level to a weekly repeating cycle EPEI  &gt; 7 days  →  changeover time is the binding constraint; go back to SMED</t>
  </si>
  <si>
    <t xml:space="preserve">Pitch = the smallest release increment, usually the pack-out quantity. The heijunka box releases work one pitch at a time, which converts the schedule into a visual signal.</t>
  </si>
  <si>
    <t xml:space="preserve">ROUNDDOWN</t>
  </si>
  <si>
    <t xml:space="preserve">ROUNDDOWN(time/changeover, 0)</t>
  </si>
  <si>
    <t xml:space="preserve">Whole changeovers only — a partial changeover buys nothing</t>
  </si>
  <si>
    <t xml:space="preserve">ROUNDUP(daily demand/pitch, 0)</t>
  </si>
  <si>
    <t xml:space="preserve">Pitches per day, always rounded up</t>
  </si>
  <si>
    <t xml:space="preserve">Total demand, run time and changeovers</t>
  </si>
  <si>
    <t xml:space="preserve">Protects EPEI while the SKU table is empty</t>
  </si>
  <si>
    <t xml:space="preserve">Scenario: six SKUs on the PET line at 18,000 BPH, 1,380 available minutes a day, and a 28-minute average changeover after the SMED workshop. The heijunka box below shows three levelled days built from pitches of 3,000 bottles.</t>
  </si>
  <si>
    <t xml:space="preserve">Step 1 — the product mix and the cost of changing between products</t>
  </si>
  <si>
    <t xml:space="preserve">Available production time per day</t>
  </si>
  <si>
    <t xml:space="preserve">3 shifts minus planned stops</t>
  </si>
  <si>
    <t xml:space="preserve">Average changeover time</t>
  </si>
  <si>
    <t xml:space="preserve">After the SMED work on L-15</t>
  </si>
  <si>
    <t xml:space="preserve">Pitch (pack-out quantity per pitch)</t>
  </si>
  <si>
    <t xml:space="preserve">One pallet layer group — the smallest release increment</t>
  </si>
  <si>
    <t xml:space="preserve">Nameplate rate used to convert demand into run time</t>
  </si>
  <si>
    <t xml:space="preserve">SKU</t>
  </si>
  <si>
    <t xml:space="preserve">Weekly demand (bottles)</t>
  </si>
  <si>
    <t xml:space="preserve">Changeovers per week today</t>
  </si>
  <si>
    <t xml:space="preserve">Share of volume</t>
  </si>
  <si>
    <t xml:space="preserve">Daily demand (bottles)</t>
  </si>
  <si>
    <t xml:space="preserve">Weekly run time (min)</t>
  </si>
  <si>
    <t xml:space="preserve">Pitches per day</t>
  </si>
  <si>
    <t xml:space="preserve">500 ml still, standard label</t>
  </si>
  <si>
    <t xml:space="preserve">500 ml still, promotional sleeve</t>
  </si>
  <si>
    <t xml:space="preserve">1.5 L still</t>
  </si>
  <si>
    <t xml:space="preserve">500 ml sparkling</t>
  </si>
  <si>
    <t xml:space="preserve">1.5 L sparkling</t>
  </si>
  <si>
    <t xml:space="preserve">330 ml export</t>
  </si>
  <si>
    <t xml:space="preserve">Step 2 — can the mix be levelled? The EPEI test</t>
  </si>
  <si>
    <t xml:space="preserve">Total weekly demand</t>
  </si>
  <si>
    <t xml:space="preserve">All SKUs</t>
  </si>
  <si>
    <t xml:space="preserve">Total weekly run time</t>
  </si>
  <si>
    <t xml:space="preserve">Time spent producing</t>
  </si>
  <si>
    <t xml:space="preserve">Available time per week</t>
  </si>
  <si>
    <t xml:space="preserve">Seven days of available time</t>
  </si>
  <si>
    <t xml:space="preserve">Time left for changeovers</t>
  </si>
  <si>
    <t xml:space="preserve">What is not spent producing</t>
  </si>
  <si>
    <t xml:space="preserve">Changeovers affordable per week</t>
  </si>
  <si>
    <t xml:space="preserve">Time available divided by the changeover time</t>
  </si>
  <si>
    <t xml:space="preserve">Number of SKUs</t>
  </si>
  <si>
    <t xml:space="preserve">SKUs</t>
  </si>
  <si>
    <t xml:space="preserve">EPEI — every part every ...</t>
  </si>
  <si>
    <t xml:space="preserve">How often each SKU can be produced, given the changeover budget</t>
  </si>
  <si>
    <t xml:space="preserve">What the plan actually does now</t>
  </si>
  <si>
    <t xml:space="preserve">Utilisation of the changeover budget</t>
  </si>
  <si>
    <t xml:space="preserve">Below 100% there is room to level further</t>
  </si>
  <si>
    <t xml:space="preserve">Step 3 — the heijunka box for one day (each cell is one pitch)</t>
  </si>
  <si>
    <t xml:space="preserve">06:00</t>
  </si>
  <si>
    <t xml:space="preserve">08:00</t>
  </si>
  <si>
    <t xml:space="preserve">10:00</t>
  </si>
  <si>
    <t xml:space="preserve">12:00</t>
  </si>
  <si>
    <t xml:space="preserve">14:00</t>
  </si>
  <si>
    <t xml:space="preserve">16:00</t>
  </si>
  <si>
    <t xml:space="preserve">18:00</t>
  </si>
  <si>
    <t xml:space="preserve">20:00</t>
  </si>
  <si>
    <t xml:space="preserve">Monday</t>
  </si>
  <si>
    <t xml:space="preserve">500 std</t>
  </si>
  <si>
    <t xml:space="preserve">1.5 L</t>
  </si>
  <si>
    <t xml:space="preserve">500 promo</t>
  </si>
  <si>
    <t xml:space="preserve">500 spark</t>
  </si>
  <si>
    <t xml:space="preserve">Tuesday</t>
  </si>
  <si>
    <t xml:space="preserve">330 exp</t>
  </si>
  <si>
    <t xml:space="preserve">Wednesday</t>
  </si>
  <si>
    <t xml:space="preserve">1.5 spark</t>
  </si>
  <si>
    <t xml:space="preserve">Levelling means the same mix appears every day rather than one SKU per day. The line changes over more often, which is affordable only because SMED made each changeover cheap — which is why heijunka always comes after SMED, never before.</t>
  </si>
  <si>
    <t xml:space="preserve">EPEI</t>
  </si>
  <si>
    <t xml:space="preserve">&lt;= 1 day for full levelling, &lt;= 5 days for a weekly cycle</t>
  </si>
  <si>
    <t xml:space="preserve">The single number that says whether levelling is feasible</t>
  </si>
  <si>
    <t xml:space="preserve">Changeover budget utilisation</t>
  </si>
  <si>
    <t xml:space="preserve">&lt; 100%</t>
  </si>
  <si>
    <t xml:space="preserve">Above 100%, the plan is consuming production time it does not have</t>
  </si>
  <si>
    <t xml:space="preserve">Runners vs strangers</t>
  </si>
  <si>
    <t xml:space="preserve">Level the runners first</t>
  </si>
  <si>
    <t xml:space="preserve">High-volume SKUs carry the amplification; rare SKUs can stay on a plan</t>
  </si>
  <si>
    <t xml:space="preserve">Pitch</t>
  </si>
  <si>
    <t xml:space="preserve">Equal to the pack-out quantity</t>
  </si>
  <si>
    <t xml:space="preserve">A pitch smaller than the pack-out cannot be released physically</t>
  </si>
  <si>
    <t xml:space="preserve">•  Attempting to level before reducing changeover time, which consumes the capacity that levelling was meant to protect.</t>
  </si>
  <si>
    <t xml:space="preserve">•  Levelling volume but not mix, which leaves the amplification untouched.</t>
  </si>
  <si>
    <t xml:space="preserve">•  Judging the levelled schedule by machine utilisation, a metric that always prefers long runs.</t>
  </si>
  <si>
    <t xml:space="preserve">•  Levelling every SKU including the rare ones, instead of levelling the runners and planning the strangers.</t>
  </si>
  <si>
    <t xml:space="preserve">•  Building a heijunka box and continuing to release work by verbal instruction.</t>
  </si>
  <si>
    <t xml:space="preserve">Q1.  Why does heijunka have to come after SMED?</t>
  </si>
  <si>
    <t xml:space="preserve">A1.  Because levelling multiplies the number of changeovers. If each changeover costs 45 minutes, levelling six SKUs across a week consumes more time than the line has. Once changeover falls to a few minutes, the same levelling becomes almost free.</t>
  </si>
  <si>
    <t xml:space="preserve">Q2.  What does an EPEI of 3.5 days mean in practice?</t>
  </si>
  <si>
    <t xml:space="preserve">A2.  That, given the changeover budget, each SKU can be produced roughly every three and a half days. The schedule can therefore be levelled to a twice-weekly cycle per SKU, and downstream stock only needs to cover that interval rather than a full week.</t>
  </si>
  <si>
    <t xml:space="preserve">Q3.  A machine-utilisation report shows that levelling reduced utilisation by 3%. Is levelling failing?</t>
  </si>
  <si>
    <t xml:space="preserve">A3.  No. Levelling deliberately trades a small loss at one machine for a much larger gain across the stream — less finished stock, shorter lead time, stable supplier calls, and demand amplification removed. Machine utilisation is the wrong measure for the decision.</t>
  </si>
  <si>
    <t xml:space="preserve">L-21 — Kaizen Event Planning and Execution</t>
  </si>
  <si>
    <t xml:space="preserve">Phase: IMPROVE   |   Data required: Baseline metric, target, and the event action list   |   Min. sample: n/a   |   Complexity: 2/5   |   Output: Event charter, five-day structure, results against target and a 30-60-90 plan</t>
  </si>
  <si>
    <t xml:space="preserve">Can this problem be solved by a focused, cross-functional team in one week?</t>
  </si>
  <si>
    <t xml:space="preserve">When the cause is largely known, the scope is contained, and the fix needs hands and decisions rather than more analysis.</t>
  </si>
  <si>
    <t xml:space="preserve">A charter, a five-day structure, measured results against a target, and the follow-up plan that makes the result stick.</t>
  </si>
  <si>
    <t xml:space="preserve">A kaizen event is a short, intense, cross-functional improvement with a fixed scope, fixed dates and a sponsor who has pre-authorised the team to change things during the week. Its power comes from concentration: the same eight people, in the same place, for five days, with nothing else to do.</t>
  </si>
  <si>
    <t xml:space="preserve">It is the right tool when the problem is understood well enough that the week can be spent implementing rather than investigating. If the cause is genuinely unknown, a kaizen event will produce five days of activity and a lot of opinion — run a DMAIC project instead, or at least the Analyze phase first.</t>
  </si>
  <si>
    <t xml:space="preserve">The classic structure is train, observe, analyse, design, try, refine, standardise. The essential difference from a project is that changes are made during the week, on the floor, not proposed for later approval. If the team has to wait for a decision, the week is wasted.</t>
  </si>
  <si>
    <t xml:space="preserve">The single most common failure is not the week itself but the 30-60-90 day follow-up. The team disperses, the standard is never audited on the other three shifts, the open items are never closed, and within two months the old method has returned. Events without follow-up produce a photograph, not a gain.</t>
  </si>
  <si>
    <t xml:space="preserve">Scope discipline matters more than ambition. A week can genuinely transform one changeover, one cell or one product family. It cannot transform a value stream.</t>
  </si>
  <si>
    <t xml:space="preserve">✓  The cause is known or strongly suspected, and the fix needs implementation rather than analysis.</t>
  </si>
  <si>
    <t xml:space="preserve">✗  The root cause is genuinely unknown — do the Analyze phase first (E-22 onwards).</t>
  </si>
  <si>
    <t xml:space="preserve">✓  The scope is contained: one process, one cell, one changeover, one product family.</t>
  </si>
  <si>
    <t xml:space="preserve">✗  The fix requires capital, procurement or design changes that cannot happen in a week.</t>
  </si>
  <si>
    <t xml:space="preserve">✓  A cross-functional group is required and cannot realistically meet for months.</t>
  </si>
  <si>
    <t xml:space="preserve">✗  The sponsor cannot free the people for the full five days; a part-time kaizen event is just a meeting series.</t>
  </si>
  <si>
    <t xml:space="preserve">✓  Speed matters and the organisation needs a visible, credible result.</t>
  </si>
  <si>
    <t xml:space="preserve">Baseline data exists before day 1</t>
  </si>
  <si>
    <t xml:space="preserve">The metric, its baseline and its measurement method are agreed in advance</t>
  </si>
  <si>
    <t xml:space="preserve">Delay the event by a week and collect the baseline — you cannot prove a gain against a guess</t>
  </si>
  <si>
    <t xml:space="preserve">The team is genuinely full time for the week</t>
  </si>
  <si>
    <t xml:space="preserve">Confirm cover for every participant, on every shift</t>
  </si>
  <si>
    <t xml:space="preserve">Reschedule. Partial attendance halves the result and doubles the duration</t>
  </si>
  <si>
    <t xml:space="preserve">The sponsor has pre-authorised change within the scope</t>
  </si>
  <si>
    <t xml:space="preserve">Written scope with explicit authority to modify method, layout and standard</t>
  </si>
  <si>
    <t xml:space="preserve">Get it before day 1, or the team will spend the week writing proposals</t>
  </si>
  <si>
    <t xml:space="preserve">The 30-60-90 plan has owners outside the event team</t>
  </si>
  <si>
    <t xml:space="preserve">Every follow-up action names someone who remains after the week</t>
  </si>
  <si>
    <t xml:space="preserve">Assign them; the event team disperses on Friday</t>
  </si>
  <si>
    <t xml:space="preserve">Entitlement = the best the process has ever demonstrated, or what physics allows — not a stretch target</t>
  </si>
  <si>
    <t xml:space="preserve">Share of the gap closed  =  ( baseline - actual ) / ( baseline - target )       for a metric to be reduced =  ( actual - baseline ) / ( target - baseline )       for a metric to be increased</t>
  </si>
  <si>
    <t xml:space="preserve">Follow-up closure rate   =  actions marked Done / total follow-up actions</t>
  </si>
  <si>
    <t xml:space="preserve">THE FIVE DAYS:  1 train and observe · 2 analyse · 3 design and try · 4 run and refine · 5 standardise and report out.</t>
  </si>
  <si>
    <t xml:space="preserve">Rule: changes are made DURING the week. An action list to be implemented later is a project, not an event.</t>
  </si>
  <si>
    <t xml:space="preserve">COUNTIF(range, "YES")</t>
  </si>
  <si>
    <t xml:space="preserve">Counts targets achieved and overdue actions</t>
  </si>
  <si>
    <t xml:space="preserve">Date arithmetic</t>
  </si>
  <si>
    <t xml:space="preserve">IFERROR(due-TODAY(),"")</t>
  </si>
  <si>
    <t xml:space="preserve">Days remaining to each follow-up action</t>
  </si>
  <si>
    <t xml:space="preserve">IF(status="Done","Closed",IF(days&lt;0,"OVERDUE","On track"))</t>
  </si>
  <si>
    <t xml:space="preserve">Flags the follow-up plan automatically</t>
  </si>
  <si>
    <t xml:space="preserve">Average share of the gap closed across the event metrics</t>
  </si>
  <si>
    <t xml:space="preserve">Scenario: a five-day kaizen event on the 500 ml to 1.5 L changeover, sponsored by the Plant Manager, with eight participants including two operators from each shift pattern. The results shown are those from the SMED analysis on L-15.</t>
  </si>
  <si>
    <t xml:space="preserve">Event charter</t>
  </si>
  <si>
    <t xml:space="preserve">Event title</t>
  </si>
  <si>
    <t xml:space="preserve">Cut the 500 ml to 1.5 L changeover below 30 minutes</t>
  </si>
  <si>
    <t xml:space="preserve">Sponsor</t>
  </si>
  <si>
    <t xml:space="preserve">Plant Manager</t>
  </si>
  <si>
    <t xml:space="preserve">Process / area</t>
  </si>
  <si>
    <t xml:space="preserve">PET line — filler, labeller, blow moulder</t>
  </si>
  <si>
    <t xml:space="preserve">Facilitator</t>
  </si>
  <si>
    <t xml:space="preserve">Dates</t>
  </si>
  <si>
    <t xml:space="preserve">2026-09-07 to 2026-09-11</t>
  </si>
  <si>
    <t xml:space="preserve">Team size</t>
  </si>
  <si>
    <t xml:space="preserve">Scope IN</t>
  </si>
  <si>
    <t xml:space="preserve">Everything between the last good 500 ml bottle and the first good 1.5 L bottle</t>
  </si>
  <si>
    <t xml:space="preserve">Scope OUT</t>
  </si>
  <si>
    <t xml:space="preserve">Machine capital modifications; supplier changes</t>
  </si>
  <si>
    <t xml:space="preserve">Target — one metric, baseline, target and entitlement</t>
  </si>
  <si>
    <t xml:space="preserve">Entitlement</t>
  </si>
  <si>
    <t xml:space="preserve">Actual after the event</t>
  </si>
  <si>
    <t xml:space="preserve">Target achieved?</t>
  </si>
  <si>
    <t xml:space="preserve">% of the gap closed</t>
  </si>
  <si>
    <t xml:space="preserve">Internal changeover time (min)</t>
  </si>
  <si>
    <t xml:space="preserve">Changeovers per week achievable</t>
  </si>
  <si>
    <t xml:space="preserve">Set-up loss in OEE (percentage points)</t>
  </si>
  <si>
    <t xml:space="preserve">The five-day structure</t>
  </si>
  <si>
    <t xml:space="preserve">Purpose</t>
  </si>
  <si>
    <t xml:space="preserve">Main activities</t>
  </si>
  <si>
    <t xml:space="preserve">Deliverable by the end of the day</t>
  </si>
  <si>
    <t xml:space="preserve">Day 1</t>
  </si>
  <si>
    <t xml:space="preserve">Train and observe</t>
  </si>
  <si>
    <t xml:space="preserve">Lean basics for the team; film the changeover; walk the area</t>
  </si>
  <si>
    <t xml:space="preserve">Element-level times, agreed baseline</t>
  </si>
  <si>
    <t xml:space="preserve">Day 2</t>
  </si>
  <si>
    <t xml:space="preserve">Analyse</t>
  </si>
  <si>
    <t xml:space="preserve">Internal vs external classification (L-15); waste walk (L-01); 5 Whys on the top elements</t>
  </si>
  <si>
    <t xml:space="preserve">Ranked opportunity list with estimated minutes</t>
  </si>
  <si>
    <t xml:space="preserve">Day 3</t>
  </si>
  <si>
    <t xml:space="preserve">Design and try</t>
  </si>
  <si>
    <t xml:space="preserve">Design the new method; build the fixtures and kits; dry run</t>
  </si>
  <si>
    <t xml:space="preserve">New standard drafted and tried once</t>
  </si>
  <si>
    <t xml:space="preserve">Day 4</t>
  </si>
  <si>
    <t xml:space="preserve">Run and refine</t>
  </si>
  <si>
    <t xml:space="preserve">Perform a real changeover with the new method; time it; refine</t>
  </si>
  <si>
    <t xml:space="preserve">Measured result and revised standard</t>
  </si>
  <si>
    <t xml:space="preserve">Day 5</t>
  </si>
  <si>
    <t xml:space="preserve">Standardise and report out</t>
  </si>
  <si>
    <t xml:space="preserve">Write standard work; train all shifts; 30-60-90 plan; report to the sponsor</t>
  </si>
  <si>
    <t xml:space="preserve">Standard work, training record, action plan</t>
  </si>
  <si>
    <t xml:space="preserve">30-60-90 day follow-up — where most kaizen events actually fail</t>
  </si>
  <si>
    <t xml:space="preserve">Horizon</t>
  </si>
  <si>
    <t xml:space="preserve">Action</t>
  </si>
  <si>
    <t xml:space="preserve">Due date</t>
  </si>
  <si>
    <t xml:space="preserve">Days to due</t>
  </si>
  <si>
    <t xml:space="preserve">30 days</t>
  </si>
  <si>
    <t xml:space="preserve">Audit the new changeover on all four shifts</t>
  </si>
  <si>
    <t xml:space="preserve">Open</t>
  </si>
  <si>
    <t xml:space="preserve">Close the 6 open items from the event action list</t>
  </si>
  <si>
    <t xml:space="preserve">60 days</t>
  </si>
  <si>
    <t xml:space="preserve">Confirm the OEE set-up loss has fallen and held</t>
  </si>
  <si>
    <t xml:space="preserve">Continuous Improvement</t>
  </si>
  <si>
    <t xml:space="preserve">Extend the kit and shadow board to the second line</t>
  </si>
  <si>
    <t xml:space="preserve">90 days</t>
  </si>
  <si>
    <t xml:space="preserve">Financial validation of the recovered hours</t>
  </si>
  <si>
    <t xml:space="preserve">Controlling</t>
  </si>
  <si>
    <t xml:space="preserve">Decide whether a second event is justified</t>
  </si>
  <si>
    <t xml:space="preserve">Targets achieved</t>
  </si>
  <si>
    <t xml:space="preserve">Out of three metrics</t>
  </si>
  <si>
    <t xml:space="preserve">Average share of the gap closed</t>
  </si>
  <si>
    <t xml:space="preserve">Progress from baseline towards target, averaged</t>
  </si>
  <si>
    <t xml:space="preserve">Follow-up actions closed</t>
  </si>
  <si>
    <t xml:space="preserve">The number that predicts whether the gain survives</t>
  </si>
  <si>
    <t xml:space="preserve">Overdue actions</t>
  </si>
  <si>
    <t xml:space="preserve">Each one is a route back to the old method</t>
  </si>
  <si>
    <t xml:space="preserve">Share of the gap closed</t>
  </si>
  <si>
    <t xml:space="preserve">&gt;= 70% by the end of the week</t>
  </si>
  <si>
    <t xml:space="preserve">Below 50%, the scope was too wide or the cause was not understood</t>
  </si>
  <si>
    <t xml:space="preserve">Follow-up closure at 30 days</t>
  </si>
  <si>
    <t xml:space="preserve">The strongest single predictor of whether the gain survives</t>
  </si>
  <si>
    <t xml:space="preserve">Standard work written</t>
  </si>
  <si>
    <t xml:space="preserve">Before the team disperses on day 5</t>
  </si>
  <si>
    <t xml:space="preserve">Without it, the improvement lives only in the memory of eight people</t>
  </si>
  <si>
    <t xml:space="preserve">Trained on all shifts</t>
  </si>
  <si>
    <t xml:space="preserve">100% within 30 days</t>
  </si>
  <si>
    <t xml:space="preserve">An improvement known to one shift is a variation, not a standard</t>
  </si>
  <si>
    <t xml:space="preserve">•  Running an event on a problem whose cause is unknown, so the week becomes an investigation with no time to fix anything.</t>
  </si>
  <si>
    <t xml:space="preserve">•  Scoping the event too widely, producing a long list of intentions instead of one implemented change.</t>
  </si>
  <si>
    <t xml:space="preserve">•  Letting participants attend part time, which turns the event into a series of meetings.</t>
  </si>
  <si>
    <t xml:space="preserve">•  Finishing on Friday with no 30-60-90 plan, which is where most of the decay happens.</t>
  </si>
  <si>
    <t xml:space="preserve">•  Declaring the benefit before it has been validated by Finance and confirmed to have held.</t>
  </si>
  <si>
    <t xml:space="preserve">Q1.  When is a kaizen event the wrong tool?</t>
  </si>
  <si>
    <t xml:space="preserve">A1.  When the root cause is genuinely unknown. An event compresses implementation, not investigation; five days spent debating causes produces opinions. Run the Analyze phase first, then bring a known cause into an event to implement the fix.</t>
  </si>
  <si>
    <t xml:space="preserve">Q2.  The event hit its target on Friday but the metric was back to baseline within three months. What most likely failed?</t>
  </si>
  <si>
    <t xml:space="preserve">A2.  The 30-60-90 follow-up. Typically the standard work was never audited on the other shifts, the open action items were never closed, and no owner remained after the team dispersed. The week produced a result; only follow-up produces a gain.</t>
  </si>
  <si>
    <t xml:space="preserve">Q3.  What does entitlement mean, and why is it on the charter next to the target?</t>
  </si>
  <si>
    <t xml:space="preserve">A3.  Entitlement is the best the process has ever demonstrated, or what physics allows — not a stretch target. It shows how much of the total opportunity the target captures, and it prevents a team from celebrating a 15% improvement when the process has previously run 60% better.</t>
  </si>
  <si>
    <t xml:space="preserve">N-08  Fast Track Routes</t>
  </si>
  <si>
    <t xml:space="preserve">L-22 — Gemba Walk</t>
  </si>
  <si>
    <t xml:space="preserve">Phase: MEASURE   |   Data required: Direct observation and questions asked at the workplace   |   Min. sample: One structured walk   |   Complexity: 1/5   |   Output: Observations, abnormal conditions found, and owned actions</t>
  </si>
  <si>
    <t xml:space="preserve">What is actually happening at the place where the work is done, as opposed to what the reports say?</t>
  </si>
  <si>
    <t xml:space="preserve">Before believing any report, at the start of every project, and on a fixed cadence as part of daily management.</t>
  </si>
  <si>
    <t xml:space="preserve">A structured set of observations, the abnormal conditions found, and an owned action for each one.</t>
  </si>
  <si>
    <t xml:space="preserve">Gemba means the real place — where the work happens and where the facts are. A gemba walk is a structured visit with questions prepared in advance, not a stroll through the factory.</t>
  </si>
  <si>
    <t xml:space="preserve">The purpose is not to inspect people. It is to see the gap between the standard and reality, and to understand why that gap exists. If the walk finds that the standard is not being followed, the first question is whether the standard is followable, not whether the operator is compliant.</t>
  </si>
  <si>
    <t xml:space="preserve">Three rules govern it. Go and see for yourself — a report is somebody else's interpretation. Ask why until you reach a process cause rather than a person. And show respect, which in practice means never solving an operator's problem over their head, never criticising in front of the team, and never leaving without agreeing what happens next.</t>
  </si>
  <si>
    <t xml:space="preserve">Different levels of management walk for different reasons and at different frequencies. A team leader walks every shift to check the standard is being followed; a plant manager walks weekly to check that the management system — not the machine — is working.</t>
  </si>
  <si>
    <t xml:space="preserve">The measure of a walk is not how much was seen but how much was agreed. A walk that produces observations without owned actions teaches the team, quite quickly, that walks change nothing.</t>
  </si>
  <si>
    <t xml:space="preserve">✓  At the start of any project, before trusting a single report.</t>
  </si>
  <si>
    <t xml:space="preserve">✗  As an audit with a scoring sheet and no conversation — that is an inspection, and it is treated as one.</t>
  </si>
  <si>
    <t xml:space="preserve">✓  As the daily and weekly rhythm of a management system.</t>
  </si>
  <si>
    <t xml:space="preserve">✗  To bypass the supervisor and instruct operators directly.</t>
  </si>
  <si>
    <t xml:space="preserve">✓  To verify that an improvement is actually being used on every shift.</t>
  </si>
  <si>
    <t xml:space="preserve">✗  Without preparation. A walk with no questions is a tour.</t>
  </si>
  <si>
    <t xml:space="preserve">✓  To collect the observations that feed a waste analysis (L-01) or a value stream map (L-02).</t>
  </si>
  <si>
    <t xml:space="preserve">The walk is announced and its purpose is understood</t>
  </si>
  <si>
    <t xml:space="preserve">Tell the area what you are doing and why before you start</t>
  </si>
  <si>
    <t xml:space="preserve">Explain it. An unexplained walk is read as surveillance, and the answers change accordingly</t>
  </si>
  <si>
    <t xml:space="preserve">Questions are prepared in advance</t>
  </si>
  <si>
    <t xml:space="preserve">A written question set, like the one on this sheet</t>
  </si>
  <si>
    <t xml:space="preserve">Prepare them; improvised walks find only what is visually obvious</t>
  </si>
  <si>
    <t xml:space="preserve">Observations are written down at the time</t>
  </si>
  <si>
    <t xml:space="preserve">Notes taken on the floor, not reconstructed afterwards</t>
  </si>
  <si>
    <t xml:space="preserve">Write on the spot; memory reorganises what it saw into what it expected</t>
  </si>
  <si>
    <t xml:space="preserve">Every agreed action has an owner and a date</t>
  </si>
  <si>
    <t xml:space="preserve">Check the action column before leaving the area</t>
  </si>
  <si>
    <t xml:space="preserve">Assign them before you leave, or the walk produces nothing</t>
  </si>
  <si>
    <t xml:space="preserve">There is no calculation here. The discipline is the question set and the closure of the actions.</t>
  </si>
  <si>
    <t xml:space="preserve">Abnormal conditions found   =  count of observations flagged not normal Actions agreed              =  count of rows with an action written Unowned actions             =  actions agreed  -  actions with a named owner</t>
  </si>
  <si>
    <t xml:space="preserve">THE THREE RULES:</t>
  </si>
  <si>
    <t xml:space="preserve">   1. GO AND SEE      the facts are at the workplace, not in the report</t>
  </si>
  <si>
    <t xml:space="preserve">   2. ASK WHY         until the answer is a process cause, not a person</t>
  </si>
  <si>
    <t xml:space="preserve">   3. SHOW RESPECT    never solve the problem over the operator's head; never leave without agreeing next steps</t>
  </si>
  <si>
    <t xml:space="preserve">Decision rule: actions agreed should equal abnormalities found, or the condition was explicitly accepted.</t>
  </si>
  <si>
    <t xml:space="preserve">Counts questions asked and actions written</t>
  </si>
  <si>
    <t xml:space="preserve">Counts abnormal conditions</t>
  </si>
  <si>
    <t xml:space="preserve">Subtraction of two COUNTA</t>
  </si>
  <si>
    <t xml:space="preserve">COUNTA(actions)-COUNTA(owners)</t>
  </si>
  <si>
    <t xml:space="preserve">Finds actions that were mentioned but never owned</t>
  </si>
  <si>
    <t xml:space="preserve">IF(normal=1,"Normal","Abnormal — needs an action")</t>
  </si>
  <si>
    <t xml:space="preserve">Flags each observation</t>
  </si>
  <si>
    <t xml:space="preserve">Scenario: a structured 30-minute gemba walk on the PET line by the area manager, with ten prepared questions. The observation column holds what was actually seen on the walk of 27 July.</t>
  </si>
  <si>
    <t xml:space="preserve">Structured gemba observation — ask, look, and record what you actually see</t>
  </si>
  <si>
    <t xml:space="preserve">Question to ask on the walk</t>
  </si>
  <si>
    <t xml:space="preserve">What to look for</t>
  </si>
  <si>
    <t xml:space="preserve">What you observed</t>
  </si>
  <si>
    <t xml:space="preserve">Normal? 1/0</t>
  </si>
  <si>
    <t xml:space="preserve">Action agreed</t>
  </si>
  <si>
    <t xml:space="preserve">Can you tell within 30 seconds whether the line is running to plan?</t>
  </si>
  <si>
    <t xml:space="preserve">Hour-by-hour board, updated within this hour</t>
  </si>
  <si>
    <t xml:space="preserve">Board last updated at 08:00, it is now 10:20</t>
  </si>
  <si>
    <t xml:space="preserve">Board becomes an operator task at the end of every hour</t>
  </si>
  <si>
    <t xml:space="preserve">Team leader A</t>
  </si>
  <si>
    <t xml:space="preserve">Does the operator know the target for this hour?</t>
  </si>
  <si>
    <t xml:space="preserve">Ask, do not assume</t>
  </si>
  <si>
    <t xml:space="preserve">Operator quoted the shift target, not the hourly one</t>
  </si>
  <si>
    <t xml:space="preserve">Add the hourly target to the board and cover it at handover</t>
  </si>
  <si>
    <t xml:space="preserve">Is the standard work visible at the point of use?</t>
  </si>
  <si>
    <t xml:space="preserve">Posted, current revision, readable</t>
  </si>
  <si>
    <t xml:space="preserve">Rev 3 posted; Rev 4 is the current revision</t>
  </si>
  <si>
    <t xml:space="preserve">Replace with Rev 4 on all four shifts and record the training</t>
  </si>
  <si>
    <t xml:space="preserve">Where is the operator's attention going?</t>
  </si>
  <si>
    <t xml:space="preserve">Watch one full cycle without speaking</t>
  </si>
  <si>
    <t xml:space="preserve">Two trips to the tool cabinet within one cycle</t>
  </si>
  <si>
    <t xml:space="preserve">Move the three most-used tools to a shadow board at the platform</t>
  </si>
  <si>
    <t xml:space="preserve">What stopped the line last, and why?</t>
  </si>
  <si>
    <t xml:space="preserve">Ask the operator before looking at the system</t>
  </si>
  <si>
    <t xml:space="preserve">Cap feed empty; the operator says it happens most shifts</t>
  </si>
  <si>
    <t xml:space="preserve">Raise a kanban loop for caps at the line (L-19)</t>
  </si>
  <si>
    <t xml:space="preserve">Is abnormality being signalled or absorbed?</t>
  </si>
  <si>
    <t xml:space="preserve">Andon use, or quiet workarounds</t>
  </si>
  <si>
    <t xml:space="preserve">Operator cleared the jam without calling; andon not used</t>
  </si>
  <si>
    <t xml:space="preserve">Review the andon response times with the shift (L-18)</t>
  </si>
  <si>
    <t xml:space="preserve">Is material where it should be?</t>
  </si>
  <si>
    <t xml:space="preserve">Marked locations, no floor storage</t>
  </si>
  <si>
    <t xml:space="preserve">Two pallets of film standing outside the marked area</t>
  </si>
  <si>
    <t xml:space="preserve">Restore the marked film location and re-brief the fork-lift drivers</t>
  </si>
  <si>
    <t xml:space="preserve">What is the operator's biggest daily frustration?</t>
  </si>
  <si>
    <t xml:space="preserve">Ask it directly, and write down the answer</t>
  </si>
  <si>
    <t xml:space="preserve">Waiting for a technician on minor faults</t>
  </si>
  <si>
    <t xml:space="preserve">Add the top three minor faults to autonomous maintenance (L-16)</t>
  </si>
  <si>
    <t xml:space="preserve">Maintenance Lead</t>
  </si>
  <si>
    <t xml:space="preserve">Is the area safe to work in as it stands right now?</t>
  </si>
  <si>
    <t xml:space="preserve">Guards, housekeeping, access, ergonomics</t>
  </si>
  <si>
    <t xml:space="preserve">Guards in place; aisle partially blocked by the film pallets</t>
  </si>
  <si>
    <t xml:space="preserve">Clear the aisle immediately; covered by the film location action</t>
  </si>
  <si>
    <t xml:space="preserve">What was improved here in the last month?</t>
  </si>
  <si>
    <t xml:space="preserve">If nobody can answer, improvement is not local</t>
  </si>
  <si>
    <t xml:space="preserve">Operators described the new cap chute fitted three weeks ago</t>
  </si>
  <si>
    <t xml:space="preserve">Questions asked</t>
  </si>
  <si>
    <t xml:space="preserve">A walk without questions is a tour</t>
  </si>
  <si>
    <t xml:space="preserve">Abnormal conditions found</t>
  </si>
  <si>
    <t xml:space="preserve">Each one is either an action or a decision to accept it</t>
  </si>
  <si>
    <t xml:space="preserve">Actions agreed on the walk</t>
  </si>
  <si>
    <t xml:space="preserve">Should match the abnormal count</t>
  </si>
  <si>
    <t xml:space="preserve">Actions without an owner</t>
  </si>
  <si>
    <t xml:space="preserve">An unowned action was not agreed, it was mentioned</t>
  </si>
  <si>
    <t xml:space="preserve">Walk cadence and discipline</t>
  </si>
  <si>
    <t xml:space="preserve">Who walks</t>
  </si>
  <si>
    <t xml:space="preserve">How often</t>
  </si>
  <si>
    <t xml:space="preserve">What they are looking for</t>
  </si>
  <si>
    <t xml:space="preserve">Every shift</t>
  </si>
  <si>
    <t xml:space="preserve">Standard being followed, abnormality signalled, safety</t>
  </si>
  <si>
    <t xml:space="preserve">20 min</t>
  </si>
  <si>
    <t xml:space="preserve">Area manager</t>
  </si>
  <si>
    <t xml:space="preserve">Yesterday's actions closed, the hour-by-hour board, the top loss</t>
  </si>
  <si>
    <t xml:space="preserve">Plant manager</t>
  </si>
  <si>
    <t xml:space="preserve">Whether the management system is working, not the machines</t>
  </si>
  <si>
    <t xml:space="preserve">60 min</t>
  </si>
  <si>
    <t xml:space="preserve">Site leadership</t>
  </si>
  <si>
    <t xml:space="preserve">Whether improvement is local and self-sustaining</t>
  </si>
  <si>
    <t xml:space="preserve">90 min</t>
  </si>
  <si>
    <t xml:space="preserve">The three rules of a gemba walk: go and see for yourself, ask why until you reach a process cause, and show respect — which in practice means never solving an operator's problem over their head, and never leaving without agreeing what happens next.</t>
  </si>
  <si>
    <t xml:space="preserve">Actions agreed vs abnormalities found</t>
  </si>
  <si>
    <t xml:space="preserve">Should be equal</t>
  </si>
  <si>
    <t xml:space="preserve">Anything less means an observation was noted and left</t>
  </si>
  <si>
    <t xml:space="preserve">Unowned actions</t>
  </si>
  <si>
    <t xml:space="preserve">An action without an owner was mentioned, not agreed</t>
  </si>
  <si>
    <t xml:space="preserve">Walk cadence</t>
  </si>
  <si>
    <t xml:space="preserve">Team leader every shift, manager daily</t>
  </si>
  <si>
    <t xml:space="preserve">Frequency is what makes the walk part of the system rather than an event</t>
  </si>
  <si>
    <t xml:space="preserve">Previous actions closed</t>
  </si>
  <si>
    <t xml:space="preserve">Checked at the start of every walk</t>
  </si>
  <si>
    <t xml:space="preserve">Walking again without closing the last actions destroys the practice</t>
  </si>
  <si>
    <t xml:space="preserve">•  Walking without prepared questions, so the walk finds only what is visually untidy.</t>
  </si>
  <si>
    <t xml:space="preserve">•  Turning the walk into an inspection with a score, which changes what people show you.</t>
  </si>
  <si>
    <t xml:space="preserve">•  Instructing operators directly and undermining the supervisor.</t>
  </si>
  <si>
    <t xml:space="preserve">•  Leaving without owners and dates, which converts the walk into theatre within a month.</t>
  </si>
  <si>
    <t xml:space="preserve">•  Believing the report over the observation when the two disagree.</t>
  </si>
  <si>
    <t xml:space="preserve">Q1.  On the walk you find the operator is not following the standard. What is the first question?</t>
  </si>
  <si>
    <t xml:space="preserve">A1.  Whether the standard is followable — is it current, is it at the point of use, was the operator trained, does the method work with the materials and tools actually available. Compliance is the last question, not the first.</t>
  </si>
  <si>
    <t xml:space="preserve">Q2.  Why is the number of owned actions a better measure of a walk than the number of observations?</t>
  </si>
  <si>
    <t xml:space="preserve">A2.  Because observations without actions teach the organisation that walking changes nothing, and the next walk will be shown a curated version of reality. Owned, dated, closed actions are what make the practice credible enough to keep producing honest information.</t>
  </si>
  <si>
    <t xml:space="preserve">Q3.  A plant manager and a team leader walk the same line. Should they be looking for the same things?</t>
  </si>
  <si>
    <t xml:space="preserve">A3.  No. The team leader checks whether the standard is being followed and abnormality is signalled — every shift. The plant manager checks whether the management system is working: are actions closed, is the board current, does the team know its own top loss — weekly.</t>
  </si>
  <si>
    <t xml:space="preserve">L-23 — PDCA / PDSA Cycle</t>
  </si>
  <si>
    <t xml:space="preserve">Phase: IMPROVE   |   Data required: Baseline measurement, a stated hypothesis and post-change measurement   |   Min. sample: Enough data to test the hypothesis   |   Complexity: 2/5   |   Output: A closed improvement cycle with a statistical conclusion and an adopt/adapt/abandon decision</t>
  </si>
  <si>
    <t xml:space="preserve">Did the change we made actually work, and how would we know if it did not?</t>
  </si>
  <si>
    <t xml:space="preserve">For any improvement small enough to be tested directly — and as the discipline underneath every larger project.</t>
  </si>
  <si>
    <t xml:space="preserve">A documented cycle with a hypothesis, a measured result, a statistical conclusion and an explicit decision.</t>
  </si>
  <si>
    <t xml:space="preserve">PDCA is the scientific method applied to work. Plan states a hypothesis and how it will be tested. Do runs the test, at small scale. Check compares what happened against what was predicted. Act decides:</t>
  </si>
  <si>
    <t xml:space="preserve">adopt, adapt or abandon.</t>
  </si>
  <si>
    <t xml:space="preserve">Deming preferred PDSA — Plan, Do, Study, Act — precisely because 'check' invites a glance at the numbers, while 'study' demands that you compare the result against the prediction and try to understand why they differ. That distinction is the whole value of the cycle.</t>
  </si>
  <si>
    <t xml:space="preserve">The step organisations skip is Check. A change is made, everyone agrees it feels better, and the cycle closes with no measurement and no comparison against the baseline. Without a baseline measured before the change and a defined test, there is no way to distinguish an improvement from a coincidence.</t>
  </si>
  <si>
    <t xml:space="preserve">PDCA is a loop, not a project. Three or four cycles before the target is reached is completely normal, and the abandoned cycles are not failures — they are eliminated hypotheses, which is how the real cause is found. A cycle that succeeds on the first attempt usually means the answer was already known.</t>
  </si>
  <si>
    <t xml:space="preserve">Act must produce one of three explicit decisions. Adopting means writing it into standard work and the control plan; without that step, the improvement is only a memory of a good fortnight.</t>
  </si>
  <si>
    <t xml:space="preserve">✓  Any improvement small enough to be tested directly at the workplace.</t>
  </si>
  <si>
    <t xml:space="preserve">✗  The change is irreversible or high risk — assess and pilot formally first (L-26, G-07).</t>
  </si>
  <si>
    <t xml:space="preserve">✓  As the engine inside a Kaizen event, an A3 or the Improve phase of DMAIC.</t>
  </si>
  <si>
    <t xml:space="preserve">✗  There is no baseline measurement and none can be obtained; the Check step would be meaningless.</t>
  </si>
  <si>
    <t xml:space="preserve">✓  To make an operator-level improvement rigorous without turning it into a project.</t>
  </si>
  <si>
    <t xml:space="preserve">✗  The problem is complex and multi-causal — use DMAIC, with PDCA inside the Improve phase.</t>
  </si>
  <si>
    <t xml:space="preserve">✓  To document eliminated hypotheses so the next team does not repeat them.</t>
  </si>
  <si>
    <t xml:space="preserve">A baseline was measured before the change</t>
  </si>
  <si>
    <t xml:space="preserve">Baseline data with a sample size and a period, recorded in PLAN</t>
  </si>
  <si>
    <t xml:space="preserve">Measure the baseline first, even if it delays the change by a week</t>
  </si>
  <si>
    <t xml:space="preserve">The hypothesis is falsifiable</t>
  </si>
  <si>
    <t xml:space="preserve">It must be possible to state what result would disprove it</t>
  </si>
  <si>
    <t xml:space="preserve">Rewrite it. 'Improve the labeller' cannot be tested</t>
  </si>
  <si>
    <t xml:space="preserve">E-17  Hypothesis Framework</t>
  </si>
  <si>
    <t xml:space="preserve">Only one thing was changed</t>
  </si>
  <si>
    <t xml:space="preserve">Check the Do step for other changes made in the same period</t>
  </si>
  <si>
    <t xml:space="preserve">The result is confounded — re-run the cycle, or use DOE to separate the factors</t>
  </si>
  <si>
    <t xml:space="preserve">The comparison is tested, not eyeballed</t>
  </si>
  <si>
    <t xml:space="preserve">A stated test and a p-value in the Check step</t>
  </si>
  <si>
    <t xml:space="preserve">Run the appropriate test from the selector</t>
  </si>
  <si>
    <t xml:space="preserve">E-22  Test Selection Roadmap</t>
  </si>
  <si>
    <t xml:space="preserve">PLAN   — problem, measured baseline, target condition, falsifiable hypothesis, how it will be tested DO     — run the change at small scale; record what actually happened, including what went wrong CHECK  — compare against the prediction with the appropriate statistical test (see E-22) ACT    — adopt, adapt or abandon; if adopting, standardise it</t>
  </si>
  <si>
    <t xml:space="preserve">Share of the gap closed  =  ( baseline - result ) / ( baseline - target )</t>
  </si>
  <si>
    <t xml:space="preserve">Deming's PDSA: 'Study' rather than 'Check', because the question is not only did it change, but did it change in the way the theory predicted, and if not, what does that tell us about the theory.</t>
  </si>
  <si>
    <t xml:space="preserve">Decision rule in CHECK:  p &lt; alpha AND the change is in the predicted direction  →  the hypothesis is supported.</t>
  </si>
  <si>
    <t xml:space="preserve">IF(p&lt;0.05,"Significant improvement","No evidence of a difference")</t>
  </si>
  <si>
    <t xml:space="preserve">Turns each p-value into a stated conclusion</t>
  </si>
  <si>
    <t xml:space="preserve">AND(p&lt;0.05, after&lt;before)</t>
  </si>
  <si>
    <t xml:space="preserve">Requires both significance and the predicted direction</t>
  </si>
  <si>
    <t xml:space="preserve">COUNTIF with a wildcard</t>
  </si>
  <si>
    <t xml:space="preserve">COUNTIF(range, "Significant*")</t>
  </si>
  <si>
    <t xml:space="preserve">Counts measures that improved significantly</t>
  </si>
  <si>
    <t xml:space="preserve">Protects the share-of-gap calculation</t>
  </si>
  <si>
    <t xml:space="preserve">Scenario: three PDCA cycles on label placement deviation on the 500 ml SKU. The first two hypotheses were eliminated; the third — glue temperature drift — held. The Check step uses the tests from the statistics block of this workbook.</t>
  </si>
  <si>
    <t xml:space="preserve">PLAN — the problem, the target and the hypothesis</t>
  </si>
  <si>
    <t xml:space="preserve">Label placement deviation on the 500 ml SKU averages 1.8 mm against a 1.0 mm specification, causing 2.1% of pallets to be re-labelled.</t>
  </si>
  <si>
    <t xml:space="preserve">Baseline (measured)</t>
  </si>
  <si>
    <t xml:space="preserve">Mean deviation 1.82 mm, SD 0.61 mm, n = 120, weeks 24-27</t>
  </si>
  <si>
    <t xml:space="preserve">Target condition</t>
  </si>
  <si>
    <t xml:space="preserve">Mean deviation below 1.00 mm with SD below 0.40 mm, sustained for four weeks</t>
  </si>
  <si>
    <t xml:space="preserve">Hypothesis (the theory being tested)</t>
  </si>
  <si>
    <t xml:space="preserve">Glue temperature drifts between 158 and 172 C; holding it at 165 +/- 3 C will halve the placement deviation.</t>
  </si>
  <si>
    <t xml:space="preserve">How we will know</t>
  </si>
  <si>
    <t xml:space="preserve">Xbar-R chart of 5-bottle subgroups, four per shift, compared against the baseline period (E-50)</t>
  </si>
  <si>
    <t xml:space="preserve">DO — what was actually run, and what changed</t>
  </si>
  <si>
    <t xml:space="preserve">Change implemented</t>
  </si>
  <si>
    <t xml:space="preserve">PID retune on the glue tank plus a 165 +/- 3 C alarm band on the HMI</t>
  </si>
  <si>
    <t xml:space="preserve">Where and when</t>
  </si>
  <si>
    <t xml:space="preserve">PET line, labeller, weeks 28-29, all four shifts</t>
  </si>
  <si>
    <t xml:space="preserve">Pilot on one SKU only, 2 weeks, 240 measurements</t>
  </si>
  <si>
    <t xml:space="preserve">What went wrong during the run</t>
  </si>
  <si>
    <t xml:space="preserve">Shift C ran two days with the alarm band disabled — data excluded and re-run</t>
  </si>
  <si>
    <t xml:space="preserve">CHECK — did it work, and how do we know?</t>
  </si>
  <si>
    <t xml:space="preserve">Measure</t>
  </si>
  <si>
    <t xml:space="preserve">After the change</t>
  </si>
  <si>
    <t xml:space="preserve">Difference</t>
  </si>
  <si>
    <t xml:space="preserve">Statistical test</t>
  </si>
  <si>
    <t xml:space="preserve">Conclusion</t>
  </si>
  <si>
    <t xml:space="preserve">Mean placement deviation (mm)</t>
  </si>
  <si>
    <t xml:space="preserve">2-sample t-test (E-24)</t>
  </si>
  <si>
    <t xml:space="preserve">Standard deviation (mm)</t>
  </si>
  <si>
    <t xml:space="preserve">F-test / Levene (E-28)</t>
  </si>
  <si>
    <t xml:space="preserve">Re-labelled pallets (%)</t>
  </si>
  <si>
    <t xml:space="preserve">2-proportion test (E-29)</t>
  </si>
  <si>
    <t xml:space="preserve">Check read-out</t>
  </si>
  <si>
    <t xml:space="preserve">Against the target condition set in PLAN</t>
  </si>
  <si>
    <t xml:space="preserve">From baseline towards the target of 1.00 mm</t>
  </si>
  <si>
    <t xml:space="preserve">Measures that improved significantly</t>
  </si>
  <si>
    <t xml:space="preserve">Out of three</t>
  </si>
  <si>
    <t xml:space="preserve">Hypothesis supported?</t>
  </si>
  <si>
    <t xml:space="preserve">The whole point of the CHECK step</t>
  </si>
  <si>
    <t xml:space="preserve">ACT — adopt, adapt or abandon</t>
  </si>
  <si>
    <t xml:space="preserve">Chosen? 1/0</t>
  </si>
  <si>
    <t xml:space="preserve">Next action</t>
  </si>
  <si>
    <t xml:space="preserve">ADOPT — standardise and roll out</t>
  </si>
  <si>
    <t xml:space="preserve">The hypothesis held; make it the standard everywhere it applies</t>
  </si>
  <si>
    <t xml:space="preserve">Write standard work (L-14), update the control plan (H-16), roll out to all SKUs</t>
  </si>
  <si>
    <t xml:space="preserve">ADAPT — modify and run another cycle</t>
  </si>
  <si>
    <t xml:space="preserve">Partially worked; change one thing and test again</t>
  </si>
  <si>
    <t xml:space="preserve">ABANDON — reject the hypothesis</t>
  </si>
  <si>
    <t xml:space="preserve">It did not work; return to root-cause analysis</t>
  </si>
  <si>
    <t xml:space="preserve">Cycle log — PDCA is a loop, not a project</t>
  </si>
  <si>
    <t xml:space="preserve">Cycle</t>
  </si>
  <si>
    <t xml:space="preserve">Hypothesis tested</t>
  </si>
  <si>
    <t xml:space="preserve">Date closed</t>
  </si>
  <si>
    <t xml:space="preserve">Labeller belt tension is the cause</t>
  </si>
  <si>
    <t xml:space="preserve">Mean unchanged (p = 0.42)</t>
  </si>
  <si>
    <t xml:space="preserve">ABANDON</t>
  </si>
  <si>
    <t xml:space="preserve">Bottle rotation speed is the cause</t>
  </si>
  <si>
    <t xml:space="preserve">Small effect, did not reach the target</t>
  </si>
  <si>
    <t xml:space="preserve">ADAPT</t>
  </si>
  <si>
    <t xml:space="preserve">Glue temperature drift is the cause</t>
  </si>
  <si>
    <t xml:space="preserve">Mean 1.82 to 0.94 mm (p = 0.0004)</t>
  </si>
  <si>
    <t xml:space="preserve">ADOPT</t>
  </si>
  <si>
    <t xml:space="preserve">Cycles run before the target was met</t>
  </si>
  <si>
    <t xml:space="preserve">Three cycles is normal. A PDCA that succeeds on the first cycle usually means the answer was already known, or the check was not rigorous.</t>
  </si>
  <si>
    <t xml:space="preserve">p-value in Check</t>
  </si>
  <si>
    <t xml:space="preserve">&lt; 0.05 and in the predicted direction</t>
  </si>
  <si>
    <t xml:space="preserve">Both conditions, not just the p-value</t>
  </si>
  <si>
    <t xml:space="preserve">&gt;= 70% before adopting</t>
  </si>
  <si>
    <t xml:space="preserve">Below this, adapt and run another cycle</t>
  </si>
  <si>
    <t xml:space="preserve">Cycles run</t>
  </si>
  <si>
    <t xml:space="preserve">3-4 before success is normal</t>
  </si>
  <si>
    <t xml:space="preserve">Immediate success usually means the answer was already known</t>
  </si>
  <si>
    <t xml:space="preserve">Adopt without standardising</t>
  </si>
  <si>
    <t xml:space="preserve">Never</t>
  </si>
  <si>
    <t xml:space="preserve">An adopted change that is not in standard work will not survive</t>
  </si>
  <si>
    <t xml:space="preserve">•  Skipping Check, so the cycle closes on a feeling rather than on a comparison.</t>
  </si>
  <si>
    <t xml:space="preserve">•  Changing two things at once, which makes the result impossible to attribute.</t>
  </si>
  <si>
    <t xml:space="preserve">•  Running Do at full scale immediately, so a failed hypothesis becomes an expensive failure.</t>
  </si>
  <si>
    <t xml:space="preserve">•  Treating abandoned cycles as failures rather than as eliminated hypotheses.</t>
  </si>
  <si>
    <t xml:space="preserve">•  Adopting without writing the change into standard work and the control plan.</t>
  </si>
  <si>
    <t xml:space="preserve">Q1.  Why did Deming prefer 'Study' to 'Check'?</t>
  </si>
  <si>
    <t xml:space="preserve">A1.  Because 'Check' invites a quick look to confirm what you hoped, while 'Study' requires comparing the result against the prediction and explaining any difference. The learning is in the gap between what the theory said would happen and what did happen.</t>
  </si>
  <si>
    <t xml:space="preserve">Q2.  Two changes were made in the same week and the metric improved. What is the problem?</t>
  </si>
  <si>
    <t xml:space="preserve">A2.  The result is confounded — you cannot attribute the improvement to either change, and if you keep both you may be paying for one that does nothing. Either re-run the cycle changing one thing, or design an experiment that separates the factors (E-42).</t>
  </si>
  <si>
    <t xml:space="preserve">Q3.  The first two PDCA cycles ended in ABANDON. Was the effort wasted?</t>
  </si>
  <si>
    <t xml:space="preserve">A3.  No. Each abandoned cycle eliminated a hypothesis and narrowed the search, which is exactly how the real cause was found in cycle 3. What would be wasted is failing to record them, so the next team tests the same two theories again.</t>
  </si>
  <si>
    <t xml:space="preserve">H-14  A3 Problem Solving</t>
  </si>
  <si>
    <t xml:space="preserve">L-26  Pilot and Confirmation Run</t>
  </si>
  <si>
    <t xml:space="preserve">L-24 — Idea Generation: Brainwriting, SCAMPER</t>
  </si>
  <si>
    <t xml:space="preserve">Phase: IMPROVE   |   Data required: A defined problem statement and a group of people who know the work   |   Min. sample: n/a   |   Complexity: 1/5   |   Output: A large de-duplicated idea list, funnelled towards scoring and pilot</t>
  </si>
  <si>
    <t xml:space="preserve">How do we generate enough candidate solutions that the good one is among them?</t>
  </si>
  <si>
    <t xml:space="preserve">At the start of the Improve phase, after the root cause is confirmed and before anyone proposes their favourite answer.</t>
  </si>
  <si>
    <t xml:space="preserve">A large idea list produced without the loudest voice dominating, and a funnel from ideas to adopted standards.</t>
  </si>
  <si>
    <t xml:space="preserve">The purpose of structured idea generation is not creativity for its own sake. It is to make sure that the solution eventually chosen was selected from a real set of options rather than being the first suggestion made by the most senior person in the room.</t>
  </si>
  <si>
    <t xml:space="preserve">Conventional verbal brainstorming has two well-documented weaknesses: production blocking, because only one person can speak at a time, and evaluation apprehension, because people withhold unusual ideas in front of colleagues. Brainwriting 6-3-5 removes both by making the process silent and parallel — six people, three ideas each, five minutes a round, passing the sheet on so each round builds on the last.</t>
  </si>
  <si>
    <t xml:space="preserve">Thirty minutes produces on the order of a hundred ideas, and the later rounds are usually better than the first, because they are built on someone else's starting point rather than on a blank page.</t>
  </si>
  <si>
    <t xml:space="preserve">SCAMPER supplies structure when the room runs dry: substitute, combine, adapt, modify, put to another use, eliminate, reverse. Each prompt attacks the problem from a direction the group would not have chosen naturally.</t>
  </si>
  <si>
    <t xml:space="preserve">The critical discipline is to separate generation from evaluation completely. The moment the first idea is criticised, the group starts producing only defensible ideas, and defensible ideas are almost always ideas somebody has already had.</t>
  </si>
  <si>
    <t xml:space="preserve">Quantity genuinely predicts quality here. The funnel from raw ideas to adopted standards is steep — a few percent — so a session that produces twelve ideas will not produce a good one.</t>
  </si>
  <si>
    <t xml:space="preserve">✓  At the start of Improve, once the root cause is confirmed and the scope is clear.</t>
  </si>
  <si>
    <t xml:space="preserve">✗  The root cause is not yet confirmed — you would be generating solutions to a guess.</t>
  </si>
  <si>
    <t xml:space="preserve">✓  Whenever the group has converged on one solution before considering any alternative.</t>
  </si>
  <si>
    <t xml:space="preserve">✗  There is genuinely only one technically possible answer.</t>
  </si>
  <si>
    <t xml:space="preserve">✓  In a Kaizen event, on day 2 or 3, to widen the option set before designing.</t>
  </si>
  <si>
    <t xml:space="preserve">✗  The real obstacle is a decision nobody will take, not a shortage of ideas.</t>
  </si>
  <si>
    <t xml:space="preserve">✓  When the people who do the work have not yet been asked.</t>
  </si>
  <si>
    <t xml:space="preserve">The problem statement is specific and shared</t>
  </si>
  <si>
    <t xml:space="preserve">Everyone in the room can restate the problem in one sentence</t>
  </si>
  <si>
    <t xml:space="preserve">Rewrite the problem statement before starting</t>
  </si>
  <si>
    <t xml:space="preserve">The root cause is confirmed</t>
  </si>
  <si>
    <t xml:space="preserve">The cause has been verified with data, not asserted</t>
  </si>
  <si>
    <t xml:space="preserve">Return to root-cause analysis before generating solutions</t>
  </si>
  <si>
    <t xml:space="preserve">The scope and the constraints are stated up front</t>
  </si>
  <si>
    <t xml:space="preserve">Budget, timescale and what is out of bounds are written on the wall</t>
  </si>
  <si>
    <t xml:space="preserve">State them; an unstated scope produces ideas that are discarded later, which teaches people not to contribute</t>
  </si>
  <si>
    <t xml:space="preserve">Judgement is deferred during generation</t>
  </si>
  <si>
    <t xml:space="preserve">Watch for the first evaluative comment and stop it</t>
  </si>
  <si>
    <t xml:space="preserve">Restart the round; once criticism begins, the unusual ideas stop appearing</t>
  </si>
  <si>
    <t xml:space="preserve">Brainwriting 6-3-5 theoretical yield  =  participants  x  ideas per round  x  rounds 6 x 3 x 6 = 108 ideas in 30 minutes</t>
  </si>
  <si>
    <t xml:space="preserve">Session yield  =  ideas actually recorded / theoretical yield        (below 60%: rounds too short, or judgement crept in) Funnel conversion at each stage  =  count at this stage / count at the previous stage Overall conversion  =  ideas adopted as standard / ideas generated</t>
  </si>
  <si>
    <t xml:space="preserve">SCAMPER:  Substitute · Combine · Adapt · Modify (magnify / minify) · Put to another use · Eliminate · Reverse or rearrange.</t>
  </si>
  <si>
    <t xml:space="preserve">The four classical rules: defer judgement · go for quantity · build on others' ideas · welcome unusual ideas.</t>
  </si>
  <si>
    <t xml:space="preserve">Multiplication</t>
  </si>
  <si>
    <t xml:space="preserve">participants x ideas x rounds</t>
  </si>
  <si>
    <t xml:space="preserve">Theoretical idea count for a 6-3-5 session</t>
  </si>
  <si>
    <t xml:space="preserve">Protects every conversion percentage in the funnel</t>
  </si>
  <si>
    <t xml:space="preserve">Ratio of consecutive rows</t>
  </si>
  <si>
    <t xml:space="preserve">C63/C62</t>
  </si>
  <si>
    <t xml:space="preserve">Stage-to-stage conversion through the funnel</t>
  </si>
  <si>
    <t xml:space="preserve">Scenario: a 30-minute brainwriting session with six people — two operators, a technician, the shift supervisor, a process engineer and a planner — on reducing the format changeover. The funnel shows what happened to those ideas over the following six weeks.</t>
  </si>
  <si>
    <t xml:space="preserve">Brainwriting 6-3-5 log — 6 people, 3 ideas each, 5 minutes per round</t>
  </si>
  <si>
    <t xml:space="preserve">Each participant writes three ideas in five minutes, then passes the sheet to the next person, who builds on what is written. Six rounds produce 108 ideas in thirty minutes, in silence, without the loudest person in the room setting the direction.</t>
  </si>
  <si>
    <t xml:space="preserve">Participants</t>
  </si>
  <si>
    <t xml:space="preserve">people</t>
  </si>
  <si>
    <t xml:space="preserve">Six is the classic number</t>
  </si>
  <si>
    <t xml:space="preserve">Ideas per person per round</t>
  </si>
  <si>
    <t xml:space="preserve">ideas</t>
  </si>
  <si>
    <t xml:space="preserve">Rounds</t>
  </si>
  <si>
    <t xml:space="preserve">rounds</t>
  </si>
  <si>
    <t xml:space="preserve">Each round the sheet passes on</t>
  </si>
  <si>
    <t xml:space="preserve">Minutes per round</t>
  </si>
  <si>
    <t xml:space="preserve">Theoretical idea count</t>
  </si>
  <si>
    <t xml:space="preserve">Participants x ideas x rounds</t>
  </si>
  <si>
    <t xml:space="preserve">Total session time</t>
  </si>
  <si>
    <t xml:space="preserve">Rounds x minutes per round</t>
  </si>
  <si>
    <t xml:space="preserve">Ideas actually recorded</t>
  </si>
  <si>
    <t xml:space="preserve">Duplicates and blanks removed</t>
  </si>
  <si>
    <t xml:space="preserve">Yield</t>
  </si>
  <si>
    <t xml:space="preserve">Below 60% usually means the rounds were too short</t>
  </si>
  <si>
    <t xml:space="preserve">SCAMPER prompts — use these when the room goes quiet</t>
  </si>
  <si>
    <t xml:space="preserve">Prompt</t>
  </si>
  <si>
    <t xml:space="preserve">Question to ask</t>
  </si>
  <si>
    <t xml:space="preserve">Example on the changeover problem</t>
  </si>
  <si>
    <t xml:space="preserve">S  Substitute</t>
  </si>
  <si>
    <t xml:space="preserve">What could we use instead?</t>
  </si>
  <si>
    <t xml:space="preserve">Replace bolted clamps with quick-release levers</t>
  </si>
  <si>
    <t xml:space="preserve">C  Combine</t>
  </si>
  <si>
    <t xml:space="preserve">What could be merged or done at the same time?</t>
  </si>
  <si>
    <t xml:space="preserve">Combine the first-article check with the start-up ramp</t>
  </si>
  <si>
    <t xml:space="preserve">A  Adapt</t>
  </si>
  <si>
    <t xml:space="preserve">What works elsewhere that we could copy?</t>
  </si>
  <si>
    <t xml:space="preserve">Copy the kegs line's kitting trolley</t>
  </si>
  <si>
    <t xml:space="preserve">M  Modify / Magnify / Minify</t>
  </si>
  <si>
    <t xml:space="preserve">What if it were much bigger, smaller, or different?</t>
  </si>
  <si>
    <t xml:space="preserve">Reduce the format kit to a single cassette</t>
  </si>
  <si>
    <t xml:space="preserve">P  Put to another use</t>
  </si>
  <si>
    <t xml:space="preserve">What else could this be used for?</t>
  </si>
  <si>
    <t xml:space="preserve">Use the CIP window to pre-stage the next format</t>
  </si>
  <si>
    <t xml:space="preserve">E  Eliminate</t>
  </si>
  <si>
    <t xml:space="preserve">What could we remove entirely?</t>
  </si>
  <si>
    <t xml:space="preserve">Remove the trial-and-error height adjustment</t>
  </si>
  <si>
    <t xml:space="preserve">R  Reverse / Rearrange</t>
  </si>
  <si>
    <t xml:space="preserve">What if we did it in the opposite order?</t>
  </si>
  <si>
    <t xml:space="preserve">Change the labeller before the filler, not after</t>
  </si>
  <si>
    <t xml:space="preserve">Idea funnel — from raw ideas to tested changes</t>
  </si>
  <si>
    <t xml:space="preserve">Conversion from the previous stage</t>
  </si>
  <si>
    <t xml:space="preserve">Ideas generated</t>
  </si>
  <si>
    <t xml:space="preserve">Quantity first: judgement comes later</t>
  </si>
  <si>
    <t xml:space="preserve">After removing duplicates</t>
  </si>
  <si>
    <t xml:space="preserve">Merging near-duplicates is not filtering</t>
  </si>
  <si>
    <t xml:space="preserve">Feasible within scope</t>
  </si>
  <si>
    <t xml:space="preserve">First filter: inside the scope and inside our control</t>
  </si>
  <si>
    <t xml:space="preserve">Scored on the selection matrix</t>
  </si>
  <si>
    <t xml:space="preserve">Passed to L-25 for structured scoring</t>
  </si>
  <si>
    <t xml:space="preserve">Selected for pilot</t>
  </si>
  <si>
    <t xml:space="preserve">Piloted on L-26</t>
  </si>
  <si>
    <t xml:space="preserve">Adopted as standard</t>
  </si>
  <si>
    <t xml:space="preserve">Written into standard work</t>
  </si>
  <si>
    <t xml:space="preserve">Overall conversion</t>
  </si>
  <si>
    <t xml:space="preserve">Adopted ideas as a share of ideas generated</t>
  </si>
  <si>
    <t xml:space="preserve">Rules that decide whether the session works</t>
  </si>
  <si>
    <t xml:space="preserve">Why</t>
  </si>
  <si>
    <t xml:space="preserve">What happens if it is broken</t>
  </si>
  <si>
    <t xml:space="preserve">Defer judgement completely during generation</t>
  </si>
  <si>
    <t xml:space="preserve">Evaluation and generation use different modes of thinking</t>
  </si>
  <si>
    <t xml:space="preserve">The room self-censors and only safe ideas appear</t>
  </si>
  <si>
    <t xml:space="preserve">Go for quantity</t>
  </si>
  <si>
    <t xml:space="preserve">Volume is the reliable predictor of quality</t>
  </si>
  <si>
    <t xml:space="preserve">You get six obvious ideas and stop</t>
  </si>
  <si>
    <t xml:space="preserve">Build on the ideas of others</t>
  </si>
  <si>
    <t xml:space="preserve">Combination produces most of the good ideas</t>
  </si>
  <si>
    <t xml:space="preserve">Six parallel monologues</t>
  </si>
  <si>
    <t xml:space="preserve">Welcome unusual ideas</t>
  </si>
  <si>
    <t xml:space="preserve">The impractical idea often carries the useful principle</t>
  </si>
  <si>
    <t xml:space="preserve">The session produces what everyone already believed</t>
  </si>
  <si>
    <t xml:space="preserve">Write in silence, at least for the first rounds</t>
  </si>
  <si>
    <t xml:space="preserve">Removes status and volume from the process</t>
  </si>
  <si>
    <t xml:space="preserve">The senior person's first idea sets the direction</t>
  </si>
  <si>
    <t xml:space="preserve">Include the people who do the work</t>
  </si>
  <si>
    <t xml:space="preserve">They know the constraints and the workarounds</t>
  </si>
  <si>
    <t xml:space="preserve">Ideas that cannot survive contact with the line</t>
  </si>
  <si>
    <t xml:space="preserve">Session yield</t>
  </si>
  <si>
    <t xml:space="preserve">&gt;= 60% of the theoretical count</t>
  </si>
  <si>
    <t xml:space="preserve">Below this, the rounds were too short or judgement crept in</t>
  </si>
  <si>
    <t xml:space="preserve">Ideas from the people who do the work</t>
  </si>
  <si>
    <t xml:space="preserve">At least half the participants</t>
  </si>
  <si>
    <t xml:space="preserve">Ideas from a room of managers rarely survive contact with the line</t>
  </si>
  <si>
    <t xml:space="preserve">Feasible share after de-duplication</t>
  </si>
  <si>
    <t xml:space="preserve">&gt;= 30%</t>
  </si>
  <si>
    <t xml:space="preserve">A lower share means the scope was not stated clearly</t>
  </si>
  <si>
    <t xml:space="preserve">A few percent is normal</t>
  </si>
  <si>
    <t xml:space="preserve">Which is precisely why quantity matters at the start</t>
  </si>
  <si>
    <t xml:space="preserve">•  Evaluating ideas as they appear, which stops the unusual ones from being offered at all.</t>
  </si>
  <si>
    <t xml:space="preserve">•  Running a verbal brainstorm where the senior person speaks first and sets the direction.</t>
  </si>
  <si>
    <t xml:space="preserve">•  Excluding the operators, then wondering why the ideas do not work on the line.</t>
  </si>
  <si>
    <t xml:space="preserve">•  Stopping at the first plausible idea instead of generating a set worth choosing from.</t>
  </si>
  <si>
    <t xml:space="preserve">•  Generating solutions before the root cause has been confirmed.</t>
  </si>
  <si>
    <t xml:space="preserve">Q1.  Why does brainwriting usually out-produce verbal brainstorming?</t>
  </si>
  <si>
    <t xml:space="preserve">A1.  Because it removes production blocking — everyone writes simultaneously instead of waiting for a turn — and evaluation apprehension, since ideas are written rather than announced. It also removes the effect of seniority and volume on the direction of the session.</t>
  </si>
  <si>
    <t xml:space="preserve">Q2.  Why insist on quantity when only three or four ideas will ever be piloted?</t>
  </si>
  <si>
    <t xml:space="preserve">A2.  Because the funnel is steep and the good idea is rarely among the first few. Sessions that produce a dozen ideas almost always produce only the ideas the group already held; the useful ones typically appear in the later rounds, built on someone else's contribution.</t>
  </si>
  <si>
    <t xml:space="preserve">Q3.  The room has gone quiet after eight minutes. What do you do?</t>
  </si>
  <si>
    <t xml:space="preserve">A3.  Introduce a SCAMPER prompt — what could we eliminate entirely, what could we do in the opposite order, what works on the other line that we could copy. Structured prompts restart generation without anyone having to be creative on demand.</t>
  </si>
  <si>
    <t xml:space="preserve">L-25  Solution Selection</t>
  </si>
  <si>
    <t xml:space="preserve">H-10  Ishikawa / Fishbone</t>
  </si>
  <si>
    <t xml:space="preserve">L-25 — Pugh Matrix, Impact-Effort, Weighted Criteria</t>
  </si>
  <si>
    <t xml:space="preserve">Phase: IMPROVE   |   Data required: A list of candidate solutions and agreed selection criteria   |   Min. sample: n/a   |   Complexity: 2/5   |   Output: A ranked option list with a weighted score and a quadrant assessment</t>
  </si>
  <si>
    <t xml:space="preserve">Of the options we generated, which one should we actually pilot, and can we defend that choice?</t>
  </si>
  <si>
    <t xml:space="preserve">After idea generation, when several plausible options exist and the group is about to choose the one somebody already preferred.</t>
  </si>
  <si>
    <t xml:space="preserve">A transparent, weighted ranking of the options against agreed criteria, and a sensitivity check on it.</t>
  </si>
  <si>
    <t xml:space="preserve">The Pugh matrix compares every option against a datum — normally the current method — one criterion at a time, using only three values: better (+1), the same (0), or worse (-1). Its power comes from that coarseness. Arguing about whether an option scores 7 or 8 out of 10 is unproductive; agreeing whether it is better or worse than what you do today is usually easy.</t>
  </si>
  <si>
    <t xml:space="preserve">Weighting the criteria converts the comparison into a single number, but the number is not the point.</t>
  </si>
  <si>
    <t xml:space="preserve">The point is that the criteria and the weights were agreed before the options were scored, which is what makes the choice defensible rather than merely decided.</t>
  </si>
  <si>
    <t xml:space="preserve">Always check sensitivity. If the winner leads by one or two points, change a weight and see whether the ranking survives. A ranking that flips when a weight moves from 4 to 3 has not really chosen anything.</t>
  </si>
  <si>
    <t xml:space="preserve">The impact-effort grid is the faster screen. High impact and low effort is a Just Do It, and should not be waiting for a project. High impact and high effort is a real project that deserves planning. Low impact and low effort can be done when there is time. Low impact and high effort should be declined explicitly, because otherwise it will reappear.</t>
  </si>
  <si>
    <t xml:space="preserve">Neither tool selects a solution. Both narrow the field to what should be piloted — and a pilot, not a matrix, is what tells you whether the option actually works.</t>
  </si>
  <si>
    <t xml:space="preserve">✓  Choosing between several plausible improvement options after idea generation.</t>
  </si>
  <si>
    <t xml:space="preserve">✗  There is only one feasible option, in which case the matrix is decoration.</t>
  </si>
  <si>
    <t xml:space="preserve">✓  Making a selection defensible to a sponsor or a steering committee.</t>
  </si>
  <si>
    <t xml:space="preserve">✗  The criteria have not been agreed — scoring first and choosing criteria afterwards is reverse-engineering the answer.</t>
  </si>
  <si>
    <t xml:space="preserve">✓  Screening a long list quickly with impact-effort before scoring the shortlist properly.</t>
  </si>
  <si>
    <t xml:space="preserve">✗  As a substitute for a pilot. A matrix ranks expectations; a pilot measures reality.</t>
  </si>
  <si>
    <t xml:space="preserve">✓  Comparing suppliers, designs or layouts against the current arrangement.</t>
  </si>
  <si>
    <t xml:space="preserve">The criteria are agreed before scoring begins</t>
  </si>
  <si>
    <t xml:space="preserve">Criteria and weights written and agreed with the sponsor first</t>
  </si>
  <si>
    <t xml:space="preserve">Reset. Criteria chosen after the options are known will produce the preferred answer</t>
  </si>
  <si>
    <t xml:space="preserve">The datum is the real current method</t>
  </si>
  <si>
    <t xml:space="preserve">Confirm the datum column describes what actually happens today</t>
  </si>
  <si>
    <t xml:space="preserve">Correct the datum; every score is relative to it</t>
  </si>
  <si>
    <t xml:space="preserve">Scoring is done by the group, not by one person</t>
  </si>
  <si>
    <t xml:space="preserve">Score in the room, with the operators present</t>
  </si>
  <si>
    <t xml:space="preserve">Re-score with the people who will have to live with the outcome</t>
  </si>
  <si>
    <t xml:space="preserve">The ranking is robust to reasonable weight changes</t>
  </si>
  <si>
    <t xml:space="preserve">Change one or two weights and check whether the winner changes</t>
  </si>
  <si>
    <t xml:space="preserve">If the ranking flips, the options are effectively tied — pilot both</t>
  </si>
  <si>
    <t xml:space="preserve">PUGH MATRIX</t>
  </si>
  <si>
    <t xml:space="preserve">Each option is scored against the DATUM on each criterion:  +1 better · 0 same · -1 worse Unweighted sum  =  sum of the scores in the option's column WEIGHTED TOTAL  =  SUMPRODUCT( criterion weights , option scores ) Rank            =  RANK of the weighted total, largest first</t>
  </si>
  <si>
    <t xml:space="preserve">Sensitivity check: change one weight by 1 and confirm the winner does not change.</t>
  </si>
  <si>
    <t xml:space="preserve">IMPACT-EFFORT GRID</t>
  </si>
  <si>
    <t xml:space="preserve">   High impact, low effort   →  JUST DO IT</t>
  </si>
  <si>
    <t xml:space="preserve">   High impact, high effort  →  MAJOR PROJECT, plan it</t>
  </si>
  <si>
    <t xml:space="preserve">Low impact, low effort    →  FILL-IN, do it when there is time Low impact, high effort   →  AVOID, and say so explicitly</t>
  </si>
  <si>
    <t xml:space="preserve">Impact / effort ratio is a useful tie-breaker when two options sit in the same quadrant.</t>
  </si>
  <si>
    <t xml:space="preserve">SUMPRODUCT($C$60:$C$66, E60:E66)</t>
  </si>
  <si>
    <t xml:space="preserve">Weighted total: multiplies weights by scores and adds, in one cell</t>
  </si>
  <si>
    <t xml:space="preserve">RANK(total, all_totals, 0)</t>
  </si>
  <si>
    <t xml:space="preserve">Ranks the options, largest weighted total first</t>
  </si>
  <si>
    <t xml:space="preserve">COUNTIF(range, 1)</t>
  </si>
  <si>
    <t xml:space="preserve">Counts the plus and minus scores, which show how robust the ranking is</t>
  </si>
  <si>
    <t xml:space="preserve">LARGE(range, 2)</t>
  </si>
  <si>
    <t xml:space="preserve">Second-highest total, used to compute the winner's margin</t>
  </si>
  <si>
    <t xml:space="preserve">AND inside IF</t>
  </si>
  <si>
    <t xml:space="preserve">IF(AND(impact&gt;=3, effort&lt;=2), "JUST DO IT", ...)</t>
  </si>
  <si>
    <t xml:space="preserve">Assigns each option to an impact-effort quadrant</t>
  </si>
  <si>
    <t xml:space="preserve">Scenario: four changeover options generated in the kaizen event, scored against the current method on seven weighted criteria agreed with the sponsor beforehand. The impact-effort grid below screens the wider list of six ideas.</t>
  </si>
  <si>
    <t xml:space="preserve">Method 1 — PUGH MATRIX: score every option against a datum, criterion by criterion</t>
  </si>
  <si>
    <t xml:space="preserve">Score each option against the DATUM (the current method) on each criterion: +1 better, 0 same, -1 worse. The datum itself scores zero everywhere by definition. The weighted total is what ranks the options; the unweighted counts show how robust that ranking is.</t>
  </si>
  <si>
    <t xml:space="preserve">Weight 1-5</t>
  </si>
  <si>
    <t xml:space="preserve">DATUM: current method</t>
  </si>
  <si>
    <t xml:space="preserve">A  Quick-release clamps</t>
  </si>
  <si>
    <t xml:space="preserve">B  Pre-set valve cassette</t>
  </si>
  <si>
    <t xml:space="preserve">C  Full kitting trolley</t>
  </si>
  <si>
    <t xml:space="preserve">D  Automated recipe recall</t>
  </si>
  <si>
    <t xml:space="preserve">Reduces changeover time</t>
  </si>
  <si>
    <t xml:space="preserve">Low implementation cost</t>
  </si>
  <si>
    <t xml:space="preserve">Speed of implementation</t>
  </si>
  <si>
    <t xml:space="preserve">Does not add a safety risk</t>
  </si>
  <si>
    <t xml:space="preserve">Operator acceptance</t>
  </si>
  <si>
    <t xml:space="preserve">Works on both lines</t>
  </si>
  <si>
    <t xml:space="preserve">Maintainable with our own people</t>
  </si>
  <si>
    <t xml:space="preserve">Sum of scores (unweighted)</t>
  </si>
  <si>
    <t xml:space="preserve">Count of + (better than datum)</t>
  </si>
  <si>
    <t xml:space="preserve">Count of - (worse than datum)</t>
  </si>
  <si>
    <t xml:space="preserve">WEIGHTED TOTAL</t>
  </si>
  <si>
    <t xml:space="preserve">Best option by weighted score</t>
  </si>
  <si>
    <t xml:space="preserve">The option to take forward to a pilot</t>
  </si>
  <si>
    <t xml:space="preserve">Its weighted score</t>
  </si>
  <si>
    <t xml:space="preserve">Positive means better than the current method overall</t>
  </si>
  <si>
    <t xml:space="preserve">A small margin means the ranking is sensitive to the weights</t>
  </si>
  <si>
    <t xml:space="preserve">Options worse than the datum</t>
  </si>
  <si>
    <t xml:space="preserve">Options that would make things worse overall</t>
  </si>
  <si>
    <t xml:space="preserve">Method 2 — IMPACT vs EFFORT: the quick screen before a full matrix</t>
  </si>
  <si>
    <t xml:space="preserve">Option</t>
  </si>
  <si>
    <t xml:space="preserve">Impact 1-5</t>
  </si>
  <si>
    <t xml:space="preserve">Effort 1-5</t>
  </si>
  <si>
    <t xml:space="preserve">Impact / effort ratio</t>
  </si>
  <si>
    <t xml:space="preserve">Quadrant</t>
  </si>
  <si>
    <t xml:space="preserve">E  Move the tool cabinet line-side</t>
  </si>
  <si>
    <t xml:space="preserve">F  Second set of change parts</t>
  </si>
  <si>
    <t xml:space="preserve">Best impact-to-effort ratio</t>
  </si>
  <si>
    <t xml:space="preserve">Start here if you need a result quickly</t>
  </si>
  <si>
    <t xml:space="preserve">Weighted total</t>
  </si>
  <si>
    <t xml:space="preserve">Positive means better than the current method</t>
  </si>
  <si>
    <t xml:space="preserve">A negative total means the option would make things worse overall</t>
  </si>
  <si>
    <t xml:space="preserve">Margin over second place</t>
  </si>
  <si>
    <t xml:space="preserve">&gt; 3 points</t>
  </si>
  <si>
    <t xml:space="preserve">A smaller margin means the ranking depends on the weights</t>
  </si>
  <si>
    <t xml:space="preserve">Count of minus scores</t>
  </si>
  <si>
    <t xml:space="preserve">An option with a serious minus on a high weight may be unacceptable regardless of its total</t>
  </si>
  <si>
    <t xml:space="preserve">Impact-effort quadrant</t>
  </si>
  <si>
    <t xml:space="preserve">Just Do It items should not be in a project</t>
  </si>
  <si>
    <t xml:space="preserve">Do them this week and keep the project for the high-effort options</t>
  </si>
  <si>
    <t xml:space="preserve">•  Choosing the criteria after seeing the options, which reverse-engineers the preferred answer.</t>
  </si>
  <si>
    <t xml:space="preserve">•  Using a 1-10 scale, which produces long arguments about precision the data does not support.</t>
  </si>
  <si>
    <t xml:space="preserve">•  Ignoring a heavily weighted minus because the total still looks good — some minuses are disqualifying.</t>
  </si>
  <si>
    <t xml:space="preserve">•  Skipping the sensitivity check, and defending a ranking that a single weight change would reverse.</t>
  </si>
  <si>
    <t xml:space="preserve">•  Treating the matrix as the decision rather than as the shortlist for a pilot.</t>
  </si>
  <si>
    <t xml:space="preserve">Q1.  Why does the Pugh matrix use only +1, 0 and -1 instead of a 1-10 scale?</t>
  </si>
  <si>
    <t xml:space="preserve">A1.  Because groups can agree reliably on whether something is better or worse than what they do today, but cannot agree reliably on whether it scores 7 or 8. The coarse scale keeps the discussion on the comparison rather than on false precision.</t>
  </si>
  <si>
    <t xml:space="preserve">Q2.  Option A wins by 2 weighted points. What should you do before committing?</t>
  </si>
  <si>
    <t xml:space="preserve">A2.  A sensitivity check: change one or two weights by a single point and see whether A still wins. If the ranking flips, A and the runner-up are effectively tied and the decision should be made by piloting, not by arithmetic.</t>
  </si>
  <si>
    <t xml:space="preserve">Q3.  An option lands in high impact, low effort. Where does it belong?</t>
  </si>
  <si>
    <t xml:space="preserve">A3.  Not in a project. It is a Just Do It — implement it this week under normal management. Putting quick wins into a project delays them for months and consumes governance effort that the high-effort options need.</t>
  </si>
  <si>
    <t xml:space="preserve">L-24  Idea Generation</t>
  </si>
  <si>
    <t xml:space="preserve">H-12  Cause and Effect Matrix</t>
  </si>
  <si>
    <t xml:space="preserve">L-26 — Pilot Design and Confirmation Run</t>
  </si>
  <si>
    <t xml:space="preserve">Phase: IMPROVE   |   Data required: Baseline and pilot measurements of one primary metric   |   Min. sample: Computed on this sheet   |   Complexity: 3/5   |   Output: Pilot design, sample size, a tested confirmation result and a five-gate roll-out decision</t>
  </si>
  <si>
    <t xml:space="preserve">Does this change actually work, at small scale, before we commit the whole plant to it?</t>
  </si>
  <si>
    <t xml:space="preserve">After a solution is selected and before any roll-out, always — including when everyone is sure it will work.</t>
  </si>
  <si>
    <t xml:space="preserve">A designed pilot with a sample size, a statistical confirmation and an explicit five-gate roll-out decision.</t>
  </si>
  <si>
    <t xml:space="preserve">A pilot is a deliberately small, deliberately measured trial whose purpose is to find out whether the selected solution works in the real process, with the real people, on the real product. Its second purpose is to find the problems the design did not anticipate, while they are still cheap.</t>
  </si>
  <si>
    <t xml:space="preserve">The design questions matter more than the statistics. What exactly is changing, where, for how long, who is included, what the primary metric is, what would make you stop early, and what could confound the result. Naming the confounder in advance is what stops it from being used afterwards to explain the result away — in either direction.</t>
  </si>
  <si>
    <t xml:space="preserve">Sample size is not optional. A pilot too small to detect the difference you care about will produce an inconclusive result, which in practice is read as a failure and kills a good change. The calculation on this sheet is the standard two-sample comparison of means; the same logic is developed on E-20.</t>
  </si>
  <si>
    <t xml:space="preserve">Two independent questions must both be answered. Is the difference statistically significant — could it plausibly be chance? And is it practically meaningful — is it big enough to matter? A large pilot can make a trivial improvement significant, which is exactly the trap discussed on E-21.</t>
  </si>
  <si>
    <t xml:space="preserve">Volunteer-only pilots are the classic design error. They measure the enthusiasm of the volunteers rather than the effect of the change, and they always look better than the roll-out that follows.</t>
  </si>
  <si>
    <t xml:space="preserve">The roll-out decision is a gate, not a judgement. Statistical significance is one of five conditions, and standard work is one of the other four.</t>
  </si>
  <si>
    <t xml:space="preserve">✓  Before every roll-out, including changes that are obviously going to work.</t>
  </si>
  <si>
    <t xml:space="preserve">✗  The change cannot be reversed or contained — assess it formally instead (G-07).</t>
  </si>
  <si>
    <t xml:space="preserve">✓  To find the practical problems — tooling, training, handover, edge cases — while they are still small.</t>
  </si>
  <si>
    <t xml:space="preserve">✗  The pilot would take longer than simply implementing and monitoring a trivial change.</t>
  </si>
  <si>
    <t xml:space="preserve">✓  To produce the evidence a sponsor needs to fund a wider implementation.</t>
  </si>
  <si>
    <t xml:space="preserve">✗  No baseline exists, so there is nothing to compare against.</t>
  </si>
  <si>
    <t xml:space="preserve">✓  As the Do and Check steps of a PDCA cycle, at a scale worth measuring.</t>
  </si>
  <si>
    <t xml:space="preserve">A baseline was measured under the same conditions</t>
  </si>
  <si>
    <t xml:space="preserve">Same product, same shifts, same measurement method</t>
  </si>
  <si>
    <t xml:space="preserve">Measure the baseline first; a pilot without one proves nothing</t>
  </si>
  <si>
    <t xml:space="preserve">The pilot is large enough to detect the difference that matters</t>
  </si>
  <si>
    <t xml:space="preserve">Use the sample size calculation on this sheet</t>
  </si>
  <si>
    <t xml:space="preserve">Extend the pilot; an underpowered pilot kills good changes</t>
  </si>
  <si>
    <t xml:space="preserve">All shifts and both formats are included</t>
  </si>
  <si>
    <t xml:space="preserve">Check the pilot covers every shift pattern, not only volunteers</t>
  </si>
  <si>
    <t xml:space="preserve">Extend it. A volunteer pilot measures enthusiasm, not the change</t>
  </si>
  <si>
    <t xml:space="preserve">E-05  Sampling and Rational Subgrouping</t>
  </si>
  <si>
    <t xml:space="preserve">Nothing else changed during the pilot period</t>
  </si>
  <si>
    <t xml:space="preserve">List every other change made in the same weeks</t>
  </si>
  <si>
    <t xml:space="preserve">The result is confounded; re-run, or separate the effects with a designed experiment</t>
  </si>
  <si>
    <t xml:space="preserve">SAMPLE SIZE per group, comparing two means:</t>
  </si>
  <si>
    <t xml:space="preserve">n  =  2 x ( Z(alpha/2) + Z(power) )^2  x  sigma^2  /  delta^2        , rounded up where delta is the smallest difference worth detecting and sigma the baseline standard deviation.</t>
  </si>
  <si>
    <t xml:space="preserve">CONFIRMATION, Welch two-sample t-test (the modern default, see E-24):</t>
  </si>
  <si>
    <t xml:space="preserve">t   =  ( mean1 - mean2 ) / SQRT( s1^2/n1  +  s2^2/n2 ) df  =  ( s1^2/n1 + s2^2/n2 )^2  /  [ (s1^2/n1)^2/(n1-1)  +  (s2^2/n2)^2/(n2-1) ]      (Satterthwaite) p   =  TDIST( ABS(t), df, 2 )</t>
  </si>
  <si>
    <t xml:space="preserve">EFFECT SIZE, Cohen's d  =  ( mean1 - mean2 ) / pooled standard deviation 0.2 small · 0.5 medium · 0.8 large.  Independent of sample size, unlike the p-value.</t>
  </si>
  <si>
    <t xml:space="preserve">THE FIVE ROLL-OUT GATES:  statistically significant · practically meaningful · held on every shift · no new problem created · standard work written and trained.</t>
  </si>
  <si>
    <t xml:space="preserve">NORMSINV(1-alpha/2)</t>
  </si>
  <si>
    <t xml:space="preserve">Z values for the sample size calculation — legacy name, universally supported</t>
  </si>
  <si>
    <t xml:space="preserve">ROUNDUP(n, 0)</t>
  </si>
  <si>
    <t xml:space="preserve">Sample size is always rounded up, never to nearest</t>
  </si>
  <si>
    <t xml:space="preserve">Two-sided p-value from the t statistic and the Welch degrees of freedom</t>
  </si>
  <si>
    <t xml:space="preserve">SQRT(s1^2/n1 + s2^2/n2)</t>
  </si>
  <si>
    <t xml:space="preserve">Standard error of the difference between two means</t>
  </si>
  <si>
    <t xml:space="preserve">IF(AND(improvement&gt;=0.2, ABS(d)&gt;=0.8), ...)</t>
  </si>
  <si>
    <t xml:space="preserve">Requires both practical size conditions to pass the gate</t>
  </si>
  <si>
    <t xml:space="preserve">COUNTIF(gates, "PASS")</t>
  </si>
  <si>
    <t xml:space="preserve">Counts the roll-out gates passed</t>
  </si>
  <si>
    <t xml:space="preserve">Scenario: the quick-release clamps and kitted trolley selected on L-25, piloted on the PET line for four weeks across all four shifts, and compared against 44 baseline changeovers using a Welch two-sample t-test.</t>
  </si>
  <si>
    <t xml:space="preserve">Step 1 — pilot design</t>
  </si>
  <si>
    <t xml:space="preserve">Design question</t>
  </si>
  <si>
    <t xml:space="preserve">What exactly is being changed?</t>
  </si>
  <si>
    <t xml:space="preserve">Quick-release clamps plus a kitted change trolley on the filler</t>
  </si>
  <si>
    <t xml:space="preserve">One change, so the result can be attributed</t>
  </si>
  <si>
    <t xml:space="preserve">Where will it run?</t>
  </si>
  <si>
    <t xml:space="preserve">PET line only, 500 ml to 1.5 L changeovers</t>
  </si>
  <si>
    <t xml:space="preserve">Contained scope limits the damage if it fails</t>
  </si>
  <si>
    <t xml:space="preserve">For how long?</t>
  </si>
  <si>
    <t xml:space="preserve">4 weeks, covering at least 40 changeovers</t>
  </si>
  <si>
    <t xml:space="preserve">Long enough to cross all four shifts and both formats</t>
  </si>
  <si>
    <t xml:space="preserve">Who is included?</t>
  </si>
  <si>
    <t xml:space="preserve">All four shifts, no volunteers-only</t>
  </si>
  <si>
    <t xml:space="preserve">A volunteer-only pilot measures enthusiasm, not the change</t>
  </si>
  <si>
    <t xml:space="preserve">What is the primary metric?</t>
  </si>
  <si>
    <t xml:space="preserve">One primary metric decided in advance</t>
  </si>
  <si>
    <t xml:space="preserve">What would make us stop early?</t>
  </si>
  <si>
    <t xml:space="preserve">Any safety event, or changeover time above the baseline for 5 consecutive changeovers</t>
  </si>
  <si>
    <t xml:space="preserve">Stopping rules protect the line and the credibility of the pilot</t>
  </si>
  <si>
    <t xml:space="preserve">What could confound the result?</t>
  </si>
  <si>
    <t xml:space="preserve">The SMED standard work was issued in the same week</t>
  </si>
  <si>
    <t xml:space="preserve">Name it before it explains your result away</t>
  </si>
  <si>
    <t xml:space="preserve">Step 2 — sample size: how many changeovers does the pilot need?</t>
  </si>
  <si>
    <t xml:space="preserve">Baseline standard deviation</t>
  </si>
  <si>
    <t xml:space="preserve">From the baseline period</t>
  </si>
  <si>
    <t xml:space="preserve">Difference worth detecting</t>
  </si>
  <si>
    <t xml:space="preserve">The smallest improvement that would change a decision</t>
  </si>
  <si>
    <t xml:space="preserve">Significance level alpha</t>
  </si>
  <si>
    <t xml:space="preserve">Risk of claiming an improvement that is not real</t>
  </si>
  <si>
    <t xml:space="preserve">Power 1 - beta</t>
  </si>
  <si>
    <t xml:space="preserve">Chance of detecting the difference if it is real</t>
  </si>
  <si>
    <t xml:space="preserve">Z for alpha/2</t>
  </si>
  <si>
    <t xml:space="preserve">Two-sided test</t>
  </si>
  <si>
    <t xml:space="preserve">Z for power</t>
  </si>
  <si>
    <t xml:space="preserve">Sample size per group</t>
  </si>
  <si>
    <t xml:space="preserve">Two-sample comparison of means</t>
  </si>
  <si>
    <t xml:space="preserve">Weeks of pilot required</t>
  </si>
  <si>
    <t xml:space="preserve">Round up to whole weeks so every shift is covered</t>
  </si>
  <si>
    <t xml:space="preserve">Step 3 — confirmation run: did the change actually work?</t>
  </si>
  <si>
    <t xml:space="preserve">Baseline period</t>
  </si>
  <si>
    <t xml:space="preserve">Pilot period</t>
  </si>
  <si>
    <t xml:space="preserve">Number of changeovers observed</t>
  </si>
  <si>
    <t xml:space="preserve">Mean internal changeover time</t>
  </si>
  <si>
    <t xml:space="preserve">Pooled standard deviation</t>
  </si>
  <si>
    <t xml:space="preserve">t statistic (Welch)</t>
  </si>
  <si>
    <t xml:space="preserve">Effect size (Cohen's d)</t>
  </si>
  <si>
    <t xml:space="preserve">Practical size of the change, independent of sample size</t>
  </si>
  <si>
    <t xml:space="preserve">Step 4 — the roll-out decision</t>
  </si>
  <si>
    <t xml:space="preserve">Gate</t>
  </si>
  <si>
    <t xml:space="preserve">Test</t>
  </si>
  <si>
    <t xml:space="preserve">Passed?</t>
  </si>
  <si>
    <t xml:space="preserve">Statistically significant?</t>
  </si>
  <si>
    <t xml:space="preserve">Practically meaningful?</t>
  </si>
  <si>
    <t xml:space="preserve">Improvement &gt;= 20% and effect size &gt;= 0.8</t>
  </si>
  <si>
    <t xml:space="preserve">Held across all shifts?</t>
  </si>
  <si>
    <t xml:space="preserve">No shift materially worse than the others</t>
  </si>
  <si>
    <t xml:space="preserve">Yes — checked on all four</t>
  </si>
  <si>
    <t xml:space="preserve">No new problem created?</t>
  </si>
  <si>
    <t xml:space="preserve">Safety, quality and downstream checked</t>
  </si>
  <si>
    <t xml:space="preserve">Standard work written?</t>
  </si>
  <si>
    <t xml:space="preserve">Documented and trained before roll-out</t>
  </si>
  <si>
    <t xml:space="preserve">Gates passed</t>
  </si>
  <si>
    <t xml:space="preserve">All five must pass before roll-out</t>
  </si>
  <si>
    <t xml:space="preserve">&lt; 0.05</t>
  </si>
  <si>
    <t xml:space="preserve">Necessary but not sufficient — see the practical gate</t>
  </si>
  <si>
    <t xml:space="preserve">&gt;= 0.8 for a large effect</t>
  </si>
  <si>
    <t xml:space="preserve">Independent of sample size, unlike the p-value</t>
  </si>
  <si>
    <t xml:space="preserve">&gt;= the difference declared worth detecting</t>
  </si>
  <si>
    <t xml:space="preserve">Decided before the pilot, not after seeing the result</t>
  </si>
  <si>
    <t xml:space="preserve">5 of 5</t>
  </si>
  <si>
    <t xml:space="preserve">Statistical significance alone is not a roll-out decision</t>
  </si>
  <si>
    <t xml:space="preserve">Shift consistency</t>
  </si>
  <si>
    <t xml:space="preserve">No shift materially worse</t>
  </si>
  <si>
    <t xml:space="preserve">A change that works on two shifts is a training problem waiting to happen</t>
  </si>
  <si>
    <t xml:space="preserve">•  Running the pilot only with volunteers, which measures enthusiasm rather than the change.</t>
  </si>
  <si>
    <t xml:space="preserve">•  Choosing the primary metric after seeing the data, which guarantees a favourable answer.</t>
  </si>
  <si>
    <t xml:space="preserve">•  Running a pilot too small to detect the difference that matters, then reading 'not significant' as 'did not work'.</t>
  </si>
  <si>
    <t xml:space="preserve">•  Rolling out on a p-value alone, without checking whether the change is large enough to matter.</t>
  </si>
  <si>
    <t xml:space="preserve">•  Rolling out before the standard work is written, so the pilot's method is not the method that spreads.</t>
  </si>
  <si>
    <t xml:space="preserve">•  Ignoring a confounding change made in the same weeks, which will be raised by somebody later.</t>
  </si>
  <si>
    <t xml:space="preserve">Q1.  The pilot gives p = 0.03 and an improvement of 1.5%. Should you roll out?</t>
  </si>
  <si>
    <t xml:space="preserve">A1.  Probably not. The result is statistically significant but may not be practically meaningful — check the effect size and whether 1.5% justifies the cost and disruption of a roll-out. This is exactly the statistical-versus-practical distinction on E-21.</t>
  </si>
  <si>
    <t xml:space="preserve">Q2.  Why calculate the sample size before the pilot rather than after?</t>
  </si>
  <si>
    <t xml:space="preserve">A2.  Because an underpowered pilot produces an inconclusive result, and inconclusive results are read as failures. Deciding in advance how many changeovers are needed to detect the difference that matters protects a good change from being killed by a badly sized trial.</t>
  </si>
  <si>
    <t xml:space="preserve">Q3.  Why is 'standard work written' one of the roll-out gates?</t>
  </si>
  <si>
    <t xml:space="preserve">A3.  Because what spreads in a roll-out is the documented method, not the pilot team's memory of it. Rolling out before the standard exists means each area implements its own interpretation, and the measured pilot result is not the result you get.</t>
  </si>
  <si>
    <t xml:space="preserve">E-24  2-Sample t-Test</t>
  </si>
  <si>
    <t xml:space="preserve">H-01 — Project Charter</t>
  </si>
  <si>
    <t xml:space="preserve">DEFINE</t>
  </si>
  <si>
    <t xml:space="preserve">Phase: DEFINE   |   Data required: Baseline measurement, financial data agreed with Finance   |   Min. sample: Baseline period of at least 3 months   |   Complexity: 2/5   |   Output: An approved charter with a SMART goal, a financial case and dated tollgates</t>
  </si>
  <si>
    <t xml:space="preserve">What problem are we solving, how big is it in money, and what will 'done' look like?</t>
  </si>
  <si>
    <t xml:space="preserve">Before any project starts, and again whenever the scope, the target or the sponsor changes.</t>
  </si>
  <si>
    <t xml:space="preserve">A one-page contract between the Black Belt and the Champion, with a SMART goal and a validated business case.</t>
  </si>
  <si>
    <t xml:space="preserve">The charter is a contract, not paperwork. It states what problem is being solved, why it matters in money, what success looks like numerically, what is in and out of scope, and who is accountable. Every later argument about scope creep is settled by this document, which is precisely why it must be written before the work starts and signed by someone with the authority to protect it.</t>
  </si>
  <si>
    <t xml:space="preserve">Four statements do most of the work. The business case says why now and what it is worth. The problem statement says what is happening, where, since when and how big — and contains no cause and no solution, because both would prejudge the analysis. The goal statement says what the process will look like when the project closes. The scope statement says what the project will not touch.</t>
  </si>
  <si>
    <t xml:space="preserve">Baseline, target and entitlement should always appear together. Entitlement is the best the process has ever demonstrated, or what physics allows; it is not a stretch target. Showing all three prevents a team from celebrating a 20% improvement on a process that has previously run twice as well.</t>
  </si>
  <si>
    <t xml:space="preserve">The financial case must be built with Finance, not near Finance. A benefit the plant controller has not agreed to will not survive the closure review, and a project whose claimed benefit collapses at closure damages the credibility of every project that follows.</t>
  </si>
  <si>
    <t xml:space="preserve">A charter is a living document. If the Measure phase shows the baseline was wrong, the charter is amended and re-signed — it is not quietly ignored.</t>
  </si>
  <si>
    <t xml:space="preserve">✓  At the start of every DMAIC project, before the Define tollgate.</t>
  </si>
  <si>
    <t xml:space="preserve">✗  For a Just Do It — see the route selector on N-08 before chartering anything.</t>
  </si>
  <si>
    <t xml:space="preserve">✓  To settle a scope dispute, which is what the scope statement exists for.</t>
  </si>
  <si>
    <t xml:space="preserve">✗  As a document written after the project to justify what was done.</t>
  </si>
  <si>
    <t xml:space="preserve">✓  To get explicit agreement from the process owner that the project may change their process.</t>
  </si>
  <si>
    <t xml:space="preserve">✗  When the sponsor will not sign. An unsigned charter means the project has no protection.</t>
  </si>
  <si>
    <t xml:space="preserve">✓  As the front page of the tollgate review pack throughout the project.</t>
  </si>
  <si>
    <t xml:space="preserve">The baseline is measured, not estimated</t>
  </si>
  <si>
    <t xml:space="preserve">At least three months of data from a validated measurement system</t>
  </si>
  <si>
    <t xml:space="preserve">Measure the baseline first; every number on the charter depends on it</t>
  </si>
  <si>
    <t xml:space="preserve">E-06  Data Collection Plan</t>
  </si>
  <si>
    <t xml:space="preserve">The measurement system is capable</t>
  </si>
  <si>
    <t xml:space="preserve">Gage R&amp;R before trusting the baseline</t>
  </si>
  <si>
    <t xml:space="preserve">Run the MSA; a baseline from an incapable gauge is a fiction</t>
  </si>
  <si>
    <t xml:space="preserve">E-59  Gage R and R</t>
  </si>
  <si>
    <t xml:space="preserve">The financial case is agreed with Finance</t>
  </si>
  <si>
    <t xml:space="preserve">Named finance representative on the charter</t>
  </si>
  <si>
    <t xml:space="preserve">Get agreement before the Define tollgate, not at closure</t>
  </si>
  <si>
    <t xml:space="preserve">The problem statement contains no cause and no solution</t>
  </si>
  <si>
    <t xml:space="preserve">Read it aloud: if it names a cause, it has prejudged the analysis</t>
  </si>
  <si>
    <t xml:space="preserve">Rewrite it; a charter that names the cause usually gets the wrong one</t>
  </si>
  <si>
    <t xml:space="preserve">Gap to target       =  baseline  -  target</t>
  </si>
  <si>
    <t xml:space="preserve">Gap to entitlement  =  baseline  -  entitlement</t>
  </si>
  <si>
    <t xml:space="preserve">Share of the opportunity captured  =  ( baseline - target ) / ( baseline - entitlement )</t>
  </si>
  <si>
    <t xml:space="preserve">Financial case:</t>
  </si>
  <si>
    <t xml:space="preserve">litres recovered   =  annual volume  x  reduction per unit / 1000 hard saving        =  litres recovered  x  value per litre payback (months)   =  project cost / annual saving  x  12</t>
  </si>
  <si>
    <t xml:space="preserve">SMART:  Specific · Measurable · Achievable (target inside entitlement) · Relevant · Time-bound</t>
  </si>
  <si>
    <t xml:space="preserve">Rule: the problem statement contains WHAT, WHERE, WHEN and HOW BIG — never WHY and never the solution.</t>
  </si>
  <si>
    <t xml:space="preserve">Date subtraction</t>
  </si>
  <si>
    <t xml:space="preserve">IFERROR(actual-planned,"")</t>
  </si>
  <si>
    <t xml:space="preserve">Days late per tollgate; blank while the gate is still open</t>
  </si>
  <si>
    <t xml:space="preserve">IF(AND(target&gt;=entitlement, ...), 1, 0)</t>
  </si>
  <si>
    <t xml:space="preserve">Tests achievability automatically from the metric table</t>
  </si>
  <si>
    <t xml:space="preserve">SUM(D:D)</t>
  </si>
  <si>
    <t xml:space="preserve">SMART score out of five</t>
  </si>
  <si>
    <t xml:space="preserve">Protects the share-of-opportunity and payback calculations</t>
  </si>
  <si>
    <t xml:space="preserve">Scenario: a Black Belt project to reduce fill volume giveaway on the 500 ml PET line. Baseline from six months of checkweigher data; financial case built with the plant controller.</t>
  </si>
  <si>
    <t xml:space="preserve">Section 1 — identification</t>
  </si>
  <si>
    <t xml:space="preserve">Project title</t>
  </si>
  <si>
    <t xml:space="preserve">Reduce fill volume variation on the 500 ml PET line</t>
  </si>
  <si>
    <t xml:space="preserve">Project ID</t>
  </si>
  <si>
    <t xml:space="preserve">PKG-2026-014</t>
  </si>
  <si>
    <t xml:space="preserve">Black Belt</t>
  </si>
  <si>
    <t xml:space="preserve">Champion / Sponsor</t>
  </si>
  <si>
    <t xml:space="preserve">Process owner</t>
  </si>
  <si>
    <t xml:space="preserve">Finance representative</t>
  </si>
  <si>
    <t xml:space="preserve">Controlling — plant</t>
  </si>
  <si>
    <t xml:space="preserve">Start date</t>
  </si>
  <si>
    <t xml:space="preserve">Target close date</t>
  </si>
  <si>
    <t xml:space="preserve">Section 2 — the four statements</t>
  </si>
  <si>
    <t xml:space="preserve">Statement</t>
  </si>
  <si>
    <t xml:space="preserve">Test it must pass</t>
  </si>
  <si>
    <t xml:space="preserve">Business case</t>
  </si>
  <si>
    <t xml:space="preserve">Overfill on the 500 ml line averages 3.1 ml per bottle against a 1.0 ml target. At 134 million bottles a year this is 415,000 litres of product given away, worth roughly 178,000 USD a year in lost margin, and it consumes capacity on a line that is already the constraint.</t>
  </si>
  <si>
    <t xml:space="preserve">Why this project, why now, and what it is worth in money</t>
  </si>
  <si>
    <t xml:space="preserve">Between January and June 2026, mean fill volume on the 500 ml PET line was 503.1 ml against a target of 500.0 ml, with a standard deviation of 1.9 ml. 4.2% of bottles fell outside the 498-502 ml internal limits.</t>
  </si>
  <si>
    <t xml:space="preserve">What, where, when and how big — with no cause and no solution in it</t>
  </si>
  <si>
    <t xml:space="preserve">Goal statement</t>
  </si>
  <si>
    <t xml:space="preserve">Reduce mean fill volume to 500.8 ml or below and the standard deviation to 1.2 ml or below by 18 December 2026, holding the underfill rate below 0.1%.</t>
  </si>
  <si>
    <t xml:space="preserve">Specific, measurable, achievable, relevant, time-bound</t>
  </si>
  <si>
    <t xml:space="preserve">Scope</t>
  </si>
  <si>
    <t xml:space="preserve">IN: the Innofil filler on the PET line, 500 ml SKUs, all four shifts. OUT: the kegs line, the 1.5 L format, filler replacement, and any change to the declared fill volume.</t>
  </si>
  <si>
    <t xml:space="preserve">What is in, what is out — the sentence that protects the project</t>
  </si>
  <si>
    <t xml:space="preserve">Section 3 — baseline, target and entitlement</t>
  </si>
  <si>
    <t xml:space="preserve">Gap to target</t>
  </si>
  <si>
    <t xml:space="preserve">Gap to entitlement</t>
  </si>
  <si>
    <t xml:space="preserve">Mean fill volume</t>
  </si>
  <si>
    <t xml:space="preserve">ml</t>
  </si>
  <si>
    <t xml:space="preserve">Giveaway per bottle</t>
  </si>
  <si>
    <t xml:space="preserve">Out-of-limit rate</t>
  </si>
  <si>
    <t xml:space="preserve">Section 4 — the financial case</t>
  </si>
  <si>
    <t xml:space="preserve">Annual volume of the 500 ml SKU</t>
  </si>
  <si>
    <t xml:space="preserve">From the production plan</t>
  </si>
  <si>
    <t xml:space="preserve">Giveaway reduction per bottle</t>
  </si>
  <si>
    <t xml:space="preserve">Baseline giveaway minus target giveaway</t>
  </si>
  <si>
    <t xml:space="preserve">Litres recovered per year</t>
  </si>
  <si>
    <t xml:space="preserve">litres</t>
  </si>
  <si>
    <t xml:space="preserve">Volume x reduction, converted to litres</t>
  </si>
  <si>
    <t xml:space="preserve">Value of product</t>
  </si>
  <si>
    <t xml:space="preserve">USD/litre</t>
  </si>
  <si>
    <t xml:space="preserve">Variable cost of the filled product, agreed with Controlling</t>
  </si>
  <si>
    <t xml:space="preserve">Hard saving per year</t>
  </si>
  <si>
    <t xml:space="preserve">Recovered litres valued at variable cost</t>
  </si>
  <si>
    <t xml:space="preserve">Project cost estimate</t>
  </si>
  <si>
    <t xml:space="preserve">Instrumentation, engineering time, trials</t>
  </si>
  <si>
    <t xml:space="preserve">Net benefit in year 1</t>
  </si>
  <si>
    <t xml:space="preserve">Payback period</t>
  </si>
  <si>
    <t xml:space="preserve">months</t>
  </si>
  <si>
    <t xml:space="preserve">Project cost divided by annual saving</t>
  </si>
  <si>
    <t xml:space="preserve">Benefit type</t>
  </si>
  <si>
    <t xml:space="preserve">Hard — reduced material usage, validated by Controlling</t>
  </si>
  <si>
    <t xml:space="preserve">Hard, soft or cost avoidance — see G-09</t>
  </si>
  <si>
    <t xml:space="preserve">Section 5 — milestones and team</t>
  </si>
  <si>
    <t xml:space="preserve">Tollgate deliverable</t>
  </si>
  <si>
    <t xml:space="preserve">Planned date</t>
  </si>
  <si>
    <t xml:space="preserve">Actual date</t>
  </si>
  <si>
    <t xml:space="preserve">Days late</t>
  </si>
  <si>
    <t xml:space="preserve">Define</t>
  </si>
  <si>
    <t xml:space="preserve">Charter approved, SIPOC, VOC</t>
  </si>
  <si>
    <t xml:space="preserve">MSA passed, baseline capability, data plan</t>
  </si>
  <si>
    <t xml:space="preserve">Analyze</t>
  </si>
  <si>
    <t xml:space="preserve">Root causes verified with data</t>
  </si>
  <si>
    <t xml:space="preserve">Improve</t>
  </si>
  <si>
    <t xml:space="preserve">Solutions piloted and confirmed</t>
  </si>
  <si>
    <t xml:space="preserve">Control</t>
  </si>
  <si>
    <t xml:space="preserve">Control plan live, benefit validated</t>
  </si>
  <si>
    <t xml:space="preserve">SMART check on the goal statement</t>
  </si>
  <si>
    <t xml:space="preserve">Met? 1/0</t>
  </si>
  <si>
    <t xml:space="preserve">Evidence</t>
  </si>
  <si>
    <t xml:space="preserve">Specific</t>
  </si>
  <si>
    <t xml:space="preserve">Does it name one process, one metric and one direction?</t>
  </si>
  <si>
    <t xml:space="preserve">Mean and SD of fill volume on the 500 ml PET line</t>
  </si>
  <si>
    <t xml:space="preserve">Measurable</t>
  </si>
  <si>
    <t xml:space="preserve">Is the metric already being measured, with a validated system?</t>
  </si>
  <si>
    <t xml:space="preserve">Checkweigher data; MSA scheduled in Measure</t>
  </si>
  <si>
    <t xml:space="preserve">Achievable</t>
  </si>
  <si>
    <t xml:space="preserve">Is the target inside the entitlement?</t>
  </si>
  <si>
    <t xml:space="preserve">Target sits between baseline and entitlement</t>
  </si>
  <si>
    <t xml:space="preserve">Relevant</t>
  </si>
  <si>
    <t xml:space="preserve">Does it link to a plant or business objective?</t>
  </si>
  <si>
    <t xml:space="preserve">Plant cost-per-hectolitre objective 2026</t>
  </si>
  <si>
    <t xml:space="preserve">Time-bound</t>
  </si>
  <si>
    <t xml:space="preserve">Is there a dated deadline?</t>
  </si>
  <si>
    <t xml:space="preserve">18 December 2026</t>
  </si>
  <si>
    <t xml:space="preserve">SMART score</t>
  </si>
  <si>
    <t xml:space="preserve">5 of 5 before approval</t>
  </si>
  <si>
    <t xml:space="preserve">Any failing criterion is a defect in the charter, not a detail</t>
  </si>
  <si>
    <t xml:space="preserve">Share of entitlement captured</t>
  </si>
  <si>
    <t xml:space="preserve">&gt;= 50%</t>
  </si>
  <si>
    <t xml:space="preserve">Below this, the project is not ambitious enough to justify a Black Belt</t>
  </si>
  <si>
    <t xml:space="preserve">Payback</t>
  </si>
  <si>
    <t xml:space="preserve">&lt; 12 months for a plant improvement project</t>
  </si>
  <si>
    <t xml:space="preserve">Longer paybacks need a different approval route</t>
  </si>
  <si>
    <t xml:space="preserve">Benefit agreed with Finance</t>
  </si>
  <si>
    <t xml:space="preserve">Named representative, signed</t>
  </si>
  <si>
    <t xml:space="preserve">Unagreed benefits do not survive closure</t>
  </si>
  <si>
    <t xml:space="preserve">Problem statement content</t>
  </si>
  <si>
    <t xml:space="preserve">No cause, no solution</t>
  </si>
  <si>
    <t xml:space="preserve">Both prejudge the analysis and usually get it wrong</t>
  </si>
  <si>
    <t xml:space="preserve">•  Writing the suspected cause into the problem statement, which quietly converts the project into a confirmation exercise.</t>
  </si>
  <si>
    <t xml:space="preserve">•  Setting the target at the entitlement, which guarantees the project is declared a failure.</t>
  </si>
  <si>
    <t xml:space="preserve">•  Claiming a benefit Finance has never seen, which collapses at the closure review.</t>
  </si>
  <si>
    <t xml:space="preserve">•  Leaving the scope statement vague, so every stakeholder assumes their problem is included.</t>
  </si>
  <si>
    <t xml:space="preserve">•  Treating the charter as a form to be completed rather than as the contract that protects the project.</t>
  </si>
  <si>
    <t xml:space="preserve">Q1.  Why must the problem statement exclude the suspected cause?</t>
  </si>
  <si>
    <t xml:space="preserve">A1.  Because naming a cause turns the Analyze phase into a search for confirmation. The problem statement describes the gap — what, where, when, how big — and the analysis decides the cause. Most projects that name the cause in the charter end up fixing the wrong thing.</t>
  </si>
  <si>
    <t xml:space="preserve">Q2.  Baseline 503.1 ml, target 500.8 ml, entitlement 500.3 ml. How ambitious is the target?</t>
  </si>
  <si>
    <t xml:space="preserve">A2.  It captures (503.1-500.8)/(503.1-500.3) = 2.3/2.8 = 82% of the available opportunity, which is an appropriately ambitious target: demanding, but inside what the process has demonstrated it can do.</t>
  </si>
  <si>
    <t xml:space="preserve">Q3.  The Measure phase shows the baseline was 501.9 ml, not 503.1 ml. What happens to the charter?</t>
  </si>
  <si>
    <t xml:space="preserve">A3.  It is amended and re-signed. The financial case, the target and possibly the whole justification change. Quietly continuing against a charter you know to be wrong is how projects end up delivering a benefit nobody can validate.</t>
  </si>
  <si>
    <t xml:space="preserve">H-02 — SIPOC</t>
  </si>
  <si>
    <t xml:space="preserve">Phase: DEFINE   |   Data required: Knowledge of the process, gathered with the people who run it   |   Min. sample: n/a   |   Complexity: 1/5   |   Output: Agreed process boundaries, suppliers, inputs, outputs, customers and their requirements</t>
  </si>
  <si>
    <t xml:space="preserve">Where does this process start and stop, what does it need, and who receives what it produces?</t>
  </si>
  <si>
    <t xml:space="preserve">In the Define phase, immediately after the charter, before anybody starts collecting data.</t>
  </si>
  <si>
    <t xml:space="preserve">An agreed one-page picture of the process at a level everyone can hold in their head, with its critical inputs and outputs.</t>
  </si>
  <si>
    <t xml:space="preserve">SIPOC is a high-level map read from the outside in: Suppliers, Inputs, Process, Outputs, Customers. It is deliberately coarse — five to seven process steps, no decisions, no loops. If it needs more than seven steps it has become a process map, and the level is wrong.</t>
  </si>
  <si>
    <t xml:space="preserve">Its real function is to fix the boundaries. Most scope disputes in a project come from two people assuming different start and end points, and the SIPOC forces that disagreement into the open in the first week rather than the fourth month.</t>
  </si>
  <si>
    <t xml:space="preserve">The columns are usually completed in the order P, O, C, I, S — process first, then what it produces and for whom, then what it needs and from whom. Starting with suppliers tends to produce a purchasing list rather than a process.</t>
  </si>
  <si>
    <t xml:space="preserve">Its output feeds the rest of the project directly. The critical inputs become the X's for the Cause and Effect matrix (H-12) and, later, the FMEA (H-13). The critical outputs become the Y's for the data collection plan and the control charts.</t>
  </si>
  <si>
    <t xml:space="preserve">Every requirement in the table must be measurable and owned. 'Good quality product' is not a requirement; '500.0 +/- 2.0 ml' is. An unowned requirement is an aspiration.</t>
  </si>
  <si>
    <t xml:space="preserve">✓  In the Define phase of every project, immediately after the charter is signed.</t>
  </si>
  <si>
    <t xml:space="preserve">✗  As a substitute for a detailed process map — that is L-04, and it comes later.</t>
  </si>
  <si>
    <t xml:space="preserve">✓  To settle where a process starts and stops before data collection begins.</t>
  </si>
  <si>
    <t xml:space="preserve">✗  When the scope covers many processes; do one SIPOC per process.</t>
  </si>
  <si>
    <t xml:space="preserve">✓  To identify who the customers actually are — internal customers are routinely forgotten.</t>
  </si>
  <si>
    <t xml:space="preserve">✗  Filled in alone at a desk. The disagreements it surfaces are the point, and they need people in a room.</t>
  </si>
  <si>
    <t xml:space="preserve">✓  As the input to the VOC/CTQ tree (H-03) and the Cause and Effect matrix (H-12).</t>
  </si>
  <si>
    <t xml:space="preserve">The boundaries are agreed before the columns are filled</t>
  </si>
  <si>
    <t xml:space="preserve">First and last step written down and agreed by the process owner</t>
  </si>
  <si>
    <t xml:space="preserve">Stop and agree them; everything else depends on the boundary</t>
  </si>
  <si>
    <t xml:space="preserve">Every customer is identified, including internal ones</t>
  </si>
  <si>
    <t xml:space="preserve">Ask who receives each output, not only who buys the product</t>
  </si>
  <si>
    <t xml:space="preserve">Add them; internal customers are the most commonly missed</t>
  </si>
  <si>
    <t xml:space="preserve">H-03  VOC and CTQ Tree</t>
  </si>
  <si>
    <t xml:space="preserve">Requirements are measurable</t>
  </si>
  <si>
    <t xml:space="preserve">Each requirement has a number and a tolerance</t>
  </si>
  <si>
    <t xml:space="preserve">Rewrite them; an unmeasurable requirement cannot be controlled</t>
  </si>
  <si>
    <t xml:space="preserve">The process level is 5-7 steps</t>
  </si>
  <si>
    <t xml:space="preserve">Count the steps</t>
  </si>
  <si>
    <t xml:space="preserve">Raise the level, or split the process into two SIPOCs</t>
  </si>
  <si>
    <t xml:space="preserve">There is no arithmetic in a SIPOC. The discipline is in the sequence and the level:</t>
  </si>
  <si>
    <t xml:space="preserve">   1. Fix the BOUNDARY: the first step and the last step</t>
  </si>
  <si>
    <t xml:space="preserve">   2. List the PROCESS: 5-7 high-level steps, no decisions, no loops</t>
  </si>
  <si>
    <t xml:space="preserve">   3. List the OUTPUTS of the process, then the CUSTOMERS who receive each one</t>
  </si>
  <si>
    <t xml:space="preserve">   4. List the INPUTS the process needs, then the SUPPLIERS who provide each one</t>
  </si>
  <si>
    <t xml:space="preserve">   5. Attach a MEASURABLE requirement and an OWNER to every critical input and output</t>
  </si>
  <si>
    <t xml:space="preserve">Critical inputs are the KPIVs — key process input variables, the X's.</t>
  </si>
  <si>
    <t xml:space="preserve">Critical outputs are the KPOVs — key process output variables, the Y's.</t>
  </si>
  <si>
    <t xml:space="preserve">The project's job is to find which X's drive the Y that matters:  Y = f(X).</t>
  </si>
  <si>
    <t xml:space="preserve">Counts steps, suppliers and customers actually filled in</t>
  </si>
  <si>
    <t xml:space="preserve">COUNTIFS(type, "Input", critical, 1)</t>
  </si>
  <si>
    <t xml:space="preserve">Counts critical inputs and critical outputs separately</t>
  </si>
  <si>
    <t xml:space="preserve">COUNTA(requirements)-COUNTA(owners)</t>
  </si>
  <si>
    <t xml:space="preserve">Finds requirements that nobody owns</t>
  </si>
  <si>
    <t xml:space="preserve">Internal hyperlink</t>
  </si>
  <si>
    <t xml:space="preserve">Link to the control sheet</t>
  </si>
  <si>
    <t xml:space="preserve">Each requirement points at where it is actually controlled</t>
  </si>
  <si>
    <t xml:space="preserve">Scenario: the fill and cap process on the 500 ml PET line, mapped at SIPOC level with the process owner, two operators and the quality technician in the room.</t>
  </si>
  <si>
    <t xml:space="preserve">Step 1 — define the process boundary FIRST</t>
  </si>
  <si>
    <t xml:space="preserve">Boundary</t>
  </si>
  <si>
    <t xml:space="preserve">Why this boundary</t>
  </si>
  <si>
    <t xml:space="preserve">Process name</t>
  </si>
  <si>
    <t xml:space="preserve">Fill and cap the 500 ml PET bottle</t>
  </si>
  <si>
    <t xml:space="preserve">One process, named as a verb plus an object</t>
  </si>
  <si>
    <t xml:space="preserve">FIRST step (start boundary)</t>
  </si>
  <si>
    <t xml:space="preserve">Empty bottle enters the filler infeed star wheel</t>
  </si>
  <si>
    <t xml:space="preserve">Everything before this is out of scope</t>
  </si>
  <si>
    <t xml:space="preserve">LAST step (end boundary)</t>
  </si>
  <si>
    <t xml:space="preserve">Capped bottle leaves the capper discharge</t>
  </si>
  <si>
    <t xml:space="preserve">Everything after this is out of scope</t>
  </si>
  <si>
    <t xml:space="preserve">Step 2 — the five columns</t>
  </si>
  <si>
    <t xml:space="preserve">S  Suppliers</t>
  </si>
  <si>
    <t xml:space="preserve">I  Inputs</t>
  </si>
  <si>
    <t xml:space="preserve">P  Process (5-7 high-level steps)</t>
  </si>
  <si>
    <t xml:space="preserve">O  Outputs</t>
  </si>
  <si>
    <t xml:space="preserve">C  Customers</t>
  </si>
  <si>
    <t xml:space="preserve">Blow moulder (internal)</t>
  </si>
  <si>
    <t xml:space="preserve">Empty 500 ml PET bottle</t>
  </si>
  <si>
    <t xml:space="preserve">1  Bottle enters the infeed star wheel</t>
  </si>
  <si>
    <t xml:space="preserve">Filled and capped bottle</t>
  </si>
  <si>
    <t xml:space="preserve">Labeller (internal, next process)</t>
  </si>
  <si>
    <t xml:space="preserve">Syrup room (internal)</t>
  </si>
  <si>
    <t xml:space="preserve">Product at 4 C, carbonated to 5.2 g/L</t>
  </si>
  <si>
    <t xml:space="preserve">2  Bottle is lifted to the filling valve</t>
  </si>
  <si>
    <t xml:space="preserve">Fill volume record</t>
  </si>
  <si>
    <t xml:space="preserve">Quality (internal)</t>
  </si>
  <si>
    <t xml:space="preserve">Cap supplier (external)</t>
  </si>
  <si>
    <t xml:space="preserve">28 mm caps, correct colour for the SKU</t>
  </si>
  <si>
    <t xml:space="preserve">3  Valve opens; bottle fills to level</t>
  </si>
  <si>
    <t xml:space="preserve">Torque record</t>
  </si>
  <si>
    <t xml:space="preserve">Utilities (internal)</t>
  </si>
  <si>
    <t xml:space="preserve">CO2, compressed air, chilled water</t>
  </si>
  <si>
    <t xml:space="preserve">4  Valve closes; bottle is lowered</t>
  </si>
  <si>
    <t xml:space="preserve">Reject bottles</t>
  </si>
  <si>
    <t xml:space="preserve">Waste stream</t>
  </si>
  <si>
    <t xml:space="preserve">Maintenance (internal)</t>
  </si>
  <si>
    <t xml:space="preserve">Filler in calibrated, clean condition</t>
  </si>
  <si>
    <t xml:space="preserve">5  Bottle transfers to the capper</t>
  </si>
  <si>
    <t xml:space="preserve">Downtime record</t>
  </si>
  <si>
    <t xml:space="preserve">Planning (internal)</t>
  </si>
  <si>
    <t xml:space="preserve">Production order with SKU and quantity</t>
  </si>
  <si>
    <t xml:space="preserve">6  Cap is applied and torqued</t>
  </si>
  <si>
    <t xml:space="preserve">Operators (internal)</t>
  </si>
  <si>
    <t xml:space="preserve">Trained crew, standard work Rev 4</t>
  </si>
  <si>
    <t xml:space="preserve">7  Bottle leaves the capper discharge</t>
  </si>
  <si>
    <t xml:space="preserve">Step 3 — critical inputs and outputs, with their requirements</t>
  </si>
  <si>
    <t xml:space="preserve">Item</t>
  </si>
  <si>
    <t xml:space="preserve">Requirement (measurable)</t>
  </si>
  <si>
    <t xml:space="preserve">Who owns it</t>
  </si>
  <si>
    <t xml:space="preserve">Critical? 1/0</t>
  </si>
  <si>
    <t xml:space="preserve">Where it is controlled</t>
  </si>
  <si>
    <t xml:space="preserve">Product temperature</t>
  </si>
  <si>
    <t xml:space="preserve">4.0 +/- 1.0 C at the filler bowl</t>
  </si>
  <si>
    <t xml:space="preserve">Syrup room</t>
  </si>
  <si>
    <t xml:space="preserve">Bottle height</t>
  </si>
  <si>
    <t xml:space="preserve">223.0 +/- 0.5 mm</t>
  </si>
  <si>
    <t xml:space="preserve">Blow moulder</t>
  </si>
  <si>
    <t xml:space="preserve">E-57  Process Capability</t>
  </si>
  <si>
    <t xml:space="preserve">CO2 content</t>
  </si>
  <si>
    <t xml:space="preserve">5.2 +/- 0.2 g/L</t>
  </si>
  <si>
    <t xml:space="preserve">Cap colour by SKU</t>
  </si>
  <si>
    <t xml:space="preserve">Matches the recipe, 100%</t>
  </si>
  <si>
    <t xml:space="preserve">Materials</t>
  </si>
  <si>
    <t xml:space="preserve">Output</t>
  </si>
  <si>
    <t xml:space="preserve">Fill volume</t>
  </si>
  <si>
    <t xml:space="preserve">500.0 +/- 2.0 ml</t>
  </si>
  <si>
    <t xml:space="preserve">Packaging</t>
  </si>
  <si>
    <t xml:space="preserve">Cap torque</t>
  </si>
  <si>
    <t xml:space="preserve">1.5 +/- 0.4 Nm</t>
  </si>
  <si>
    <t xml:space="preserve">Bottle appearance</t>
  </si>
  <si>
    <t xml:space="preserve">No visible defect at the FBI</t>
  </si>
  <si>
    <t xml:space="preserve">Process steps</t>
  </si>
  <si>
    <t xml:space="preserve">Five to seven is the right level for a SIPOC</t>
  </si>
  <si>
    <t xml:space="preserve">Suppliers identified</t>
  </si>
  <si>
    <t xml:space="preserve">Each one is a source of input variation</t>
  </si>
  <si>
    <t xml:space="preserve">Customers identified</t>
  </si>
  <si>
    <t xml:space="preserve">Each one has requirements that must be known</t>
  </si>
  <si>
    <t xml:space="preserve">Critical inputs (KPIVs)</t>
  </si>
  <si>
    <t xml:space="preserve">The X's the project will investigate</t>
  </si>
  <si>
    <t xml:space="preserve">Critical outputs (KPOVs)</t>
  </si>
  <si>
    <t xml:space="preserve">The Y's the project will move</t>
  </si>
  <si>
    <t xml:space="preserve">Requirements without an owner</t>
  </si>
  <si>
    <t xml:space="preserve">An unowned requirement is not a requirement</t>
  </si>
  <si>
    <t xml:space="preserve">5 to 7</t>
  </si>
  <si>
    <t xml:space="preserve">More means it is a process map; fewer means the level is too coarse</t>
  </si>
  <si>
    <t xml:space="preserve">Requirements</t>
  </si>
  <si>
    <t xml:space="preserve">Every critical item has a number and a tolerance</t>
  </si>
  <si>
    <t xml:space="preserve">Unmeasurable requirements cannot be controlled</t>
  </si>
  <si>
    <t xml:space="preserve">Requirement owners</t>
  </si>
  <si>
    <t xml:space="preserve">An unowned requirement is an aspiration</t>
  </si>
  <si>
    <t xml:space="preserve">Internal customers</t>
  </si>
  <si>
    <t xml:space="preserve">Identified explicitly</t>
  </si>
  <si>
    <t xml:space="preserve">The most commonly missed, and the most commonly disappointed</t>
  </si>
  <si>
    <t xml:space="preserve">•  Starting with the S column, which produces a purchasing list instead of a process.</t>
  </si>
  <si>
    <t xml:space="preserve">•  Drawing fifteen steps with decision diamonds, which turns the SIPOC into a bad process map.</t>
  </si>
  <si>
    <t xml:space="preserve">•  Listing only the paying customer and forgetting the next process, which is the customer that matters daily.</t>
  </si>
  <si>
    <t xml:space="preserve">•  Writing requirements like 'good quality' that cannot be measured and therefore cannot be controlled.</t>
  </si>
  <si>
    <t xml:space="preserve">•  Completing it alone at a desk, so the boundary disagreements surface in month four instead of week one.</t>
  </si>
  <si>
    <t xml:space="preserve">Q1.  Why does the SIPOC fix boundaries before anything else?</t>
  </si>
  <si>
    <t xml:space="preserve">A1.  Because almost every scope dispute later in a project comes from two people assuming different start and end points. Fixing the first and last step in the first week converts a future argument into a five-minute conversation.</t>
  </si>
  <si>
    <t xml:space="preserve">Q2.  What is the difference between a KPIV and a KPOV, and why does the distinction matter?</t>
  </si>
  <si>
    <t xml:space="preserve">A2.  A KPIV is a key process input variable — an X the process consumes. A KPOV is a key process output variable — a Y the process produces. Projects move a Y by changing the X's that drive it, so the SIPOC's job is to list the candidate X's that the Cause and Effect matrix will then screen.</t>
  </si>
  <si>
    <t xml:space="preserve">Q3.  A SIPOC has fourteen process steps with three decision points. What went wrong?</t>
  </si>
  <si>
    <t xml:space="preserve">A3.  The level is wrong. That is a process map (L-04), which is a legitimate tool but a different one. A SIPOC should stay at five to seven steps so the whole process fits in one view and the inputs and outputs remain visible.</t>
  </si>
  <si>
    <t xml:space="preserve">H-03 — Voice of the Customer and CTQ Tree</t>
  </si>
  <si>
    <t xml:space="preserve">Phase: DEFINE   |   Data required: Complaints, returns, audits, surveys and interviews   |   Min. sample: Enough VOC to see repetition   |   Complexity: 2/5   |   Output: Measurable CTQs with targets, specifications and the current gap</t>
  </si>
  <si>
    <t xml:space="preserve">What does the customer actually need, and what number will we measure to know whether they are getting it?</t>
  </si>
  <si>
    <t xml:space="preserve">In Define, after the SIPOC identifies the customers, and whenever a project is about to optimise something nobody asked for.</t>
  </si>
  <si>
    <t xml:space="preserve">A traceable chain from a customer statement to a measurable characteristic with a target and a specification.</t>
  </si>
  <si>
    <t xml:space="preserve">The voice of the customer is what people say. A CTQ — critical to quality — is what you measure. The tree between them exists because the two are almost never the same sentence, and the translation is where most of the value and most of the errors are.</t>
  </si>
  <si>
    <t xml:space="preserve">'The labels are crooked' is a voice. The need behind it is that the product must look professional on the shelf. The driver is label placement. The CTQ is placement deviation in millimetres from the datum, with a target and a specification. Only the last of those can be controlled, charted or improved.</t>
  </si>
  <si>
    <t xml:space="preserve">VOC sources split into reactive and proactive. Reactive sources — complaints, returns, credit notes, audit findings — arrive without being asked and are heavily biased towards failure and towards the minority of customers who bother to complain. Proactive sources — surveys, interviews, observation — cost effort but represent the customers who simply stop buying without ever telling you why.</t>
  </si>
  <si>
    <t xml:space="preserve">A CTQ must be measurable, must have a target, and must have a specification that reflects what the customer needs rather than what the process happens to deliver. Specifications quietly widened to match process performance are one of the most common ways a plant loses touch with its customers.</t>
  </si>
  <si>
    <t xml:space="preserve">Internal customers count. The next process is a customer, and on a packaging line the warehouse and the loading team have requirements that are rarely written down anywhere.</t>
  </si>
  <si>
    <t xml:space="preserve">✓  In Define, to convert customer language into measurable project metrics.</t>
  </si>
  <si>
    <t xml:space="preserve">✗  There is no customer contact at all and none can be obtained — do not invent the voice.</t>
  </si>
  <si>
    <t xml:space="preserve">✓  When a project is about to improve something the customer never mentioned.</t>
  </si>
  <si>
    <t xml:space="preserve">✗  The requirement is regulatory rather than customer-driven; it is a constraint, not a CTQ.</t>
  </si>
  <si>
    <t xml:space="preserve">✓  To decide which of several possible Y's the project should actually move.</t>
  </si>
  <si>
    <t xml:space="preserve">✗  As a substitute for a specification agreed with the customer.</t>
  </si>
  <si>
    <t xml:space="preserve">✓  As the input to the Kano analysis (H-04), which then ranks the CTQs by their effect on satisfaction.</t>
  </si>
  <si>
    <t xml:space="preserve">The VOC includes proactive sources</t>
  </si>
  <si>
    <t xml:space="preserve">Check the share of items that came from surveys, interviews or observation</t>
  </si>
  <si>
    <t xml:space="preserve">Add proactive collection; complaints alone describe the loudest, not the typical</t>
  </si>
  <si>
    <t xml:space="preserve">H-04  Kano Model</t>
  </si>
  <si>
    <t xml:space="preserve">Every CTQ is measurable with an existing or obtainable method</t>
  </si>
  <si>
    <t xml:space="preserve">Name the measurement method and its resolution</t>
  </si>
  <si>
    <t xml:space="preserve">Define the measurement first, and validate it with an MSA</t>
  </si>
  <si>
    <t xml:space="preserve">Specifications reflect customer need, not process capability</t>
  </si>
  <si>
    <t xml:space="preserve">Ask where the specification limit came from</t>
  </si>
  <si>
    <t xml:space="preserve">Renegotiate the spec with the customer, or accept that the process is not capable</t>
  </si>
  <si>
    <t xml:space="preserve">Internal customers are included</t>
  </si>
  <si>
    <t xml:space="preserve">Check that the next process appears among the customers</t>
  </si>
  <si>
    <t xml:space="preserve">Add them; internal requirements are the most commonly undocumented</t>
  </si>
  <si>
    <t xml:space="preserve">THE CTQ TREE, four levels:</t>
  </si>
  <si>
    <t xml:space="preserve">   VOICE      what the customer literally said</t>
  </si>
  <si>
    <t xml:space="preserve">   NEED       the requirement behind the statement</t>
  </si>
  <si>
    <t xml:space="preserve">DRIVER     the characteristic of the product or service that satisfies the need CTQ        the measurable characteristic, with a unit, a target and a specification</t>
  </si>
  <si>
    <t xml:space="preserve">Gap to target   =  current performance  -  target</t>
  </si>
  <si>
    <t xml:space="preserve">Relative gap    =  | current - target | / | target |</t>
  </si>
  <si>
    <t xml:space="preserve">A CTQ is complete only when it has:  a name · a unit · a measurement method · a target · a specification</t>
  </si>
  <si>
    <t xml:space="preserve">· an owner.  Anything missing one of these cannot be charted or controlled.</t>
  </si>
  <si>
    <t xml:space="preserve">SUMIF(type, "Proactive", count)</t>
  </si>
  <si>
    <t xml:space="preserve">Share of the VOC that came from proactive sources</t>
  </si>
  <si>
    <t xml:space="preserve">COUNTIF with a criterion</t>
  </si>
  <si>
    <t xml:space="preserve">COUNTIF(gap, "&gt;0.02")</t>
  </si>
  <si>
    <t xml:space="preserve">Counts CTQs materially away from target</t>
  </si>
  <si>
    <t xml:space="preserve">INDEX(ctqs, MATCH(MAX(gap), gap, 0))</t>
  </si>
  <si>
    <t xml:space="preserve">Names the CTQ furthest from target</t>
  </si>
  <si>
    <t xml:space="preserve">IF guarding a zero divisor</t>
  </si>
  <si>
    <t xml:space="preserve">IF(target=0, 1, ABS(target))</t>
  </si>
  <si>
    <t xml:space="preserve">Prevents division by zero when the target is 0</t>
  </si>
  <si>
    <t xml:space="preserve">Scenario: six months of VOC from complaints, credit notes, a retailer audit, a distributor survey and the internal warehouse, translated into five CTQs for the 500 ml PET product.</t>
  </si>
  <si>
    <t xml:space="preserve">Step 1 — collect the voice of the customer</t>
  </si>
  <si>
    <t xml:space="preserve">Source of VOC</t>
  </si>
  <si>
    <t xml:space="preserve">Reactive or proactive?</t>
  </si>
  <si>
    <t xml:space="preserve">Items collected</t>
  </si>
  <si>
    <t xml:space="preserve">Period</t>
  </si>
  <si>
    <t xml:space="preserve">Customer complaints</t>
  </si>
  <si>
    <t xml:space="preserve">Reactive</t>
  </si>
  <si>
    <t xml:space="preserve">Jan-Jun 2026</t>
  </si>
  <si>
    <t xml:space="preserve">The loudest, but biased towards failure</t>
  </si>
  <si>
    <t xml:space="preserve">Returns and credit notes</t>
  </si>
  <si>
    <t xml:space="preserve">Financially validated, so hard to dispute</t>
  </si>
  <si>
    <t xml:space="preserve">Retailer audit findings</t>
  </si>
  <si>
    <t xml:space="preserve">Q2 2026</t>
  </si>
  <si>
    <t xml:space="preserve">Written requirements, often not in our spec</t>
  </si>
  <si>
    <t xml:space="preserve">Sales team interviews</t>
  </si>
  <si>
    <t xml:space="preserve">Proactive</t>
  </si>
  <si>
    <t xml:space="preserve">June 2026</t>
  </si>
  <si>
    <t xml:space="preserve">Second-hand, but covers the silent customers</t>
  </si>
  <si>
    <t xml:space="preserve">Distributor survey</t>
  </si>
  <si>
    <t xml:space="preserve">May 2026</t>
  </si>
  <si>
    <t xml:space="preserve">Structured, and covers the majority who never complain</t>
  </si>
  <si>
    <t xml:space="preserve">Internal next-process feedback</t>
  </si>
  <si>
    <t xml:space="preserve">The warehouse and the loading team are customers too</t>
  </si>
  <si>
    <t xml:space="preserve">Step 2 — the CTQ tree: from what they said to what we measure</t>
  </si>
  <si>
    <t xml:space="preserve">What the customer said (the voice)</t>
  </si>
  <si>
    <t xml:space="preserve">The need behind it</t>
  </si>
  <si>
    <t xml:space="preserve">Quality driver</t>
  </si>
  <si>
    <t xml:space="preserve">CTQ — what we will measure</t>
  </si>
  <si>
    <t xml:space="preserve">Specification</t>
  </si>
  <si>
    <t xml:space="preserve">Current performance</t>
  </si>
  <si>
    <t xml:space="preserve">Relative gap</t>
  </si>
  <si>
    <t xml:space="preserve">"The bottles arrive with the labels crooked"</t>
  </si>
  <si>
    <t xml:space="preserve">Product looks professional on the shelf</t>
  </si>
  <si>
    <t xml:space="preserve">Label placement</t>
  </si>
  <si>
    <t xml:space="preserve">Label placement deviation</t>
  </si>
  <si>
    <t xml:space="preserve">mm from the datum</t>
  </si>
  <si>
    <t xml:space="preserve">&lt;= 1.0 mm</t>
  </si>
  <si>
    <t xml:space="preserve">"Sometimes the cap is hard to open"</t>
  </si>
  <si>
    <t xml:space="preserve">The pack works when the consumer uses it</t>
  </si>
  <si>
    <t xml:space="preserve">Cap application</t>
  </si>
  <si>
    <t xml:space="preserve">Removal torque</t>
  </si>
  <si>
    <t xml:space="preserve">Nm</t>
  </si>
  <si>
    <t xml:space="preserve">1.1 - 1.9 Nm</t>
  </si>
  <si>
    <t xml:space="preserve">"We are not getting the volume we pay for"</t>
  </si>
  <si>
    <t xml:space="preserve">We receive what the label declares</t>
  </si>
  <si>
    <t xml:space="preserve">Fill accuracy</t>
  </si>
  <si>
    <t xml:space="preserve">498 - 502 ml</t>
  </si>
  <si>
    <t xml:space="preserve">"The pallets are unstable on the forklift"</t>
  </si>
  <si>
    <t xml:space="preserve">The pallet survives handling</t>
  </si>
  <si>
    <t xml:space="preserve">Pallet integrity</t>
  </si>
  <si>
    <t xml:space="preserve">Wrap force and pattern compliance</t>
  </si>
  <si>
    <t xml:space="preserve">% compliant pallets</t>
  </si>
  <si>
    <t xml:space="preserve">&gt;= 99.5%</t>
  </si>
  <si>
    <t xml:space="preserve">"Deliveries are unpredictable"</t>
  </si>
  <si>
    <t xml:space="preserve">We can plan our own stock</t>
  </si>
  <si>
    <t xml:space="preserve">Delivery reliability</t>
  </si>
  <si>
    <t xml:space="preserve">On-time in-full</t>
  </si>
  <si>
    <t xml:space="preserve">% OTIF</t>
  </si>
  <si>
    <t xml:space="preserve">&gt;= 98%</t>
  </si>
  <si>
    <t xml:space="preserve">VOC items collected</t>
  </si>
  <si>
    <t xml:space="preserve">Total voice items behind these CTQs</t>
  </si>
  <si>
    <t xml:space="preserve">Share from proactive sources</t>
  </si>
  <si>
    <t xml:space="preserve">Below 50% means you are only hearing the complainers</t>
  </si>
  <si>
    <t xml:space="preserve">CTQs defined</t>
  </si>
  <si>
    <t xml:space="preserve">Each must be measurable with a target and a spec</t>
  </si>
  <si>
    <t xml:space="preserve">CTQs currently out of specification</t>
  </si>
  <si>
    <t xml:space="preserve">Relative gap above 2% of target</t>
  </si>
  <si>
    <t xml:space="preserve">Largest relative gap</t>
  </si>
  <si>
    <t xml:space="preserve">The CTQ furthest from what the customer needs</t>
  </si>
  <si>
    <t xml:space="preserve">Which CTQ</t>
  </si>
  <si>
    <t xml:space="preserve">The candidate for the next project</t>
  </si>
  <si>
    <t xml:space="preserve">Complaints alone represent the loudest customers, not the typical one</t>
  </si>
  <si>
    <t xml:space="preserve">CTQ completeness</t>
  </si>
  <si>
    <t xml:space="preserve">Unit, method, target, spec and owner</t>
  </si>
  <si>
    <t xml:space="preserve">A CTQ missing any of these cannot be controlled</t>
  </si>
  <si>
    <t xml:space="preserve">Specification origin</t>
  </si>
  <si>
    <t xml:space="preserve">Customer need, not process capability</t>
  </si>
  <si>
    <t xml:space="preserve">A spec widened to match the process is not a customer requirement</t>
  </si>
  <si>
    <t xml:space="preserve">&gt; 2% of target</t>
  </si>
  <si>
    <t xml:space="preserve">Marks the CTQs that are candidates for a project</t>
  </si>
  <si>
    <t xml:space="preserve">•  Treating the voice as the CTQ, which produces a project metric nobody can measure.</t>
  </si>
  <si>
    <t xml:space="preserve">•  Building the CTQ set entirely from complaints, and therefore optimising for the minority who complain.</t>
  </si>
  <si>
    <t xml:space="preserve">•  Widening a specification until the process is capable, then reporting that the customer is satisfied.</t>
  </si>
  <si>
    <t xml:space="preserve">•  Forgetting internal customers, whose requirements then surface as friction rather than as specifications.</t>
  </si>
  <si>
    <t xml:space="preserve">•  Defining a CTQ with no measurement method, which guarantees the Measure phase starts from zero.</t>
  </si>
  <si>
    <t xml:space="preserve">Q1.  A customer says 'the caps are hard to open'. Walk that up the CTQ tree.</t>
  </si>
  <si>
    <t xml:space="preserve">A1.  Voice: the caps are hard to open. Need: the pack must work when the consumer uses it. Driver: cap application. CTQ: removal torque in Nm, target 1.5, specification 1.1-1.9 Nm, measured on a torque tester, owned by Packaging. Only the CTQ can be charted.</t>
  </si>
  <si>
    <t xml:space="preserve">Q2.  Why is a VOC set built only from complaints dangerous?</t>
  </si>
  <si>
    <t xml:space="preserve">A2.  Because complaints come from a small, self-selected minority and are biased towards failures rather than towards what most customers value. The customers who quietly switch supplier never appear in the data, so a complaint-only CTQ set optimises for the wrong population.</t>
  </si>
  <si>
    <t xml:space="preserve">Q3.  A specification was widened from ±2 ml to ±4 ml two years ago because the filler could not hold it. Is ±4 ml a CTQ specification?</t>
  </si>
  <si>
    <t xml:space="preserve">A3.  No. It is a record of process capability, not of customer need. Using it as the CTQ specification means the process is declared capable by definition, and the real gap to the customer requirement disappears from every report.</t>
  </si>
  <si>
    <t xml:space="preserve">H-04 — Kano Model</t>
  </si>
  <si>
    <t xml:space="preserve">Phase: DEFINE   |   Data required: Paired functional/dysfunctional survey responses per feature   |   Min. sample: 30+ respondents for a stable classification   |   Complexity: 3/5   |   Output: Each feature classified as must-be, one-dimensional, attractive, indifferent or reverse</t>
  </si>
  <si>
    <t xml:space="preserve">Which product features actually drive satisfaction, and which ones are we paying for without being noticed?</t>
  </si>
  <si>
    <t xml:space="preserve">When deciding what to improve, what to protect and what to stop spending money on — especially before a redesign.</t>
  </si>
  <si>
    <t xml:space="preserve">Every feature classified into one of five Kano categories, with satisfaction and dissatisfaction coefficients.</t>
  </si>
  <si>
    <t xml:space="preserve">Kano's insight is that the relationship between performance and satisfaction is not the same for every feature. Some features only cause dissatisfaction when absent and earn nothing when present; some raise satisfaction in proportion to performance; some delight precisely because nobody expected them.</t>
  </si>
  <si>
    <t xml:space="preserve">Must-be features are assumed. Fill volume inside the declared tolerance earns no praise — it is simply expected — but falling short causes strong dissatisfaction and, in this industry, legal exposure.</t>
  </si>
  <si>
    <t xml:space="preserve">Investing beyond compliance on a must-be buys nothing.</t>
  </si>
  <si>
    <t xml:space="preserve">One-dimensional features behave the way most managers assume all features behave: more is better, and satisfaction rises roughly linearly. This is where competitive differentiation is genuinely bought.</t>
  </si>
  <si>
    <t xml:space="preserve">Attractive features delight when present and are not missed when absent, which makes a cheap delighter the best return available. They decay, though: today's delighter becomes tomorrow's must-be, which is why the survey must be repeated every few years rather than treated as a permanent classification.</t>
  </si>
  <si>
    <t xml:space="preserve">The two-question method is what makes the classification objective. Each respondent is asked how they feel if the feature is present and how they feel if it is absent; the pair of answers is looked up in a fixed table. A contradictory pair is marked questionable rather than forced into a category.</t>
  </si>
  <si>
    <t xml:space="preserve">The most commercially useful finding is usually the indifferent column: features the organisation is proud of and the customer does not notice.</t>
  </si>
  <si>
    <t xml:space="preserve">✓  Prioritising which CTQs to improve when resources are limited.</t>
  </si>
  <si>
    <t xml:space="preserve">✗  Fewer than about 30 respondents, where the classification is unstable.</t>
  </si>
  <si>
    <t xml:space="preserve">✓  Before a product or pack redesign, to decide what must be protected.</t>
  </si>
  <si>
    <t xml:space="preserve">✗  The feature is regulatory — legal requirements are not subject to customer preference.</t>
  </si>
  <si>
    <t xml:space="preserve">✓  To justify stopping investment in a feature nobody values.</t>
  </si>
  <si>
    <t xml:space="preserve">✗  As a one-off. Categories migrate over time, so a five-year-old Kano study is a historical document.</t>
  </si>
  <si>
    <t xml:space="preserve">✓  To find a low-cost delighter that differentiates without adding much cost.</t>
  </si>
  <si>
    <t xml:space="preserve">Respondents represent the customer base</t>
  </si>
  <si>
    <t xml:space="preserve">Check the sample against the customer mix, not just the sample size</t>
  </si>
  <si>
    <t xml:space="preserve">Re-sample; a survey of your three friendliest customers classifies their preferences, not the market's</t>
  </si>
  <si>
    <t xml:space="preserve">Both questions were asked for every feature</t>
  </si>
  <si>
    <t xml:space="preserve">The classification requires the pair; one answer alone is meaningless</t>
  </si>
  <si>
    <t xml:space="preserve">Re-survey the incomplete features</t>
  </si>
  <si>
    <t xml:space="preserve">Questionable responses are excluded, not forced</t>
  </si>
  <si>
    <t xml:space="preserve">Count the Q results before interpreting anything</t>
  </si>
  <si>
    <t xml:space="preserve">Re-ask those respondents; a high Q count means the question was unclear</t>
  </si>
  <si>
    <t xml:space="preserve">The classification is current</t>
  </si>
  <si>
    <t xml:space="preserve">Check when the survey was run</t>
  </si>
  <si>
    <t xml:space="preserve">Repeat it; attractive features decay into must-be within a few years</t>
  </si>
  <si>
    <t xml:space="preserve">TWO QUESTIONS per feature, each answered 1 to 5:</t>
  </si>
  <si>
    <t xml:space="preserve">   FUNCTIONAL:     how do you feel if the feature IS present?</t>
  </si>
  <si>
    <t xml:space="preserve">   DYSFUNCTIONAL:  how do you feel if the feature is NOT present?</t>
  </si>
  <si>
    <t xml:space="preserve">   1 Like it · 2 Expect it · 3 Neutral · 4 Can tolerate it · 5 Dislike it</t>
  </si>
  <si>
    <t xml:space="preserve">The pair is looked up in the Kano evaluation table:</t>
  </si>
  <si>
    <t xml:space="preserve">   M must-be · O one-dimensional · A attractive · I indifferent · R reverse · Q questionable</t>
  </si>
  <si>
    <t xml:space="preserve">COEFFICIENTS (classical form):</t>
  </si>
  <si>
    <t xml:space="preserve">CS  =  ( A + O ) / ( A + O + M + I )          satisfaction potential, 0 to 1 DS  = -( O + M ) / ( A + O + M + I )          dissatisfaction potential, 0 to -1</t>
  </si>
  <si>
    <t xml:space="preserve">Reading them: a CS near 1 means adding the feature strongly raises satisfaction; a DS near -1 means removing it strongly damages satisfaction. Must-be features show a weak CS and a strong DS.</t>
  </si>
  <si>
    <t xml:space="preserve">INDEX with two indices</t>
  </si>
  <si>
    <t xml:space="preserve">INDEX($C$60:$G$64, functional, dysfunctional)</t>
  </si>
  <si>
    <t xml:space="preserve">Looks the answer pair up in the Kano evaluation table — a live two-way lookup</t>
  </si>
  <si>
    <t xml:space="preserve">COUNTIF(categories, "M")</t>
  </si>
  <si>
    <t xml:space="preserve">Counts features in each Kano category</t>
  </si>
  <si>
    <t xml:space="preserve">MAX / MIN + INDEX/MATCH</t>
  </si>
  <si>
    <t xml:space="preserve">INDEX(features, MATCH(MAX(CS), CS, 0))</t>
  </si>
  <si>
    <t xml:space="preserve">Names the features with the highest satisfaction and dissatisfaction potential</t>
  </si>
  <si>
    <t xml:space="preserve">Protects the coefficients while the survey table is empty</t>
  </si>
  <si>
    <t xml:space="preserve">Scenario: 84 distributor and retailer responses on eight features of the 500 ml PET product, collected in the May 2026 survey. The evaluation table above drives the classification live — change a functional or dysfunctional answer and the category updates.</t>
  </si>
  <si>
    <t xml:space="preserve">Step 1 — the Kano evaluation table (this is the lookup the classification uses)</t>
  </si>
  <si>
    <t xml:space="preserve">Ask each customer two questions about each feature: how do you feel if the feature IS present (functional), and how do you feel if it is NOT present (dysfunctional). Each answer is one of five: 1 Like it, 2 Expect it, 3 Neutral, 4 Can tolerate it, 5 Dislike it.</t>
  </si>
  <si>
    <t xml:space="preserve">Functional answer  \  Dysfunctional answer</t>
  </si>
  <si>
    <t xml:space="preserve">1  Like</t>
  </si>
  <si>
    <t xml:space="preserve">2  Expect</t>
  </si>
  <si>
    <t xml:space="preserve">3  Neutral</t>
  </si>
  <si>
    <t xml:space="preserve">4  Tolerate</t>
  </si>
  <si>
    <t xml:space="preserve">5  Dislike</t>
  </si>
  <si>
    <t xml:space="preserve">Q</t>
  </si>
  <si>
    <t xml:space="preserve">O</t>
  </si>
  <si>
    <t xml:space="preserve">Code</t>
  </si>
  <si>
    <t xml:space="preserve">What to do about it</t>
  </si>
  <si>
    <t xml:space="preserve">MUST-BE (basic)</t>
  </si>
  <si>
    <t xml:space="preserve">Expected. Presence is unnoticed; absence causes strong dissatisfaction</t>
  </si>
  <si>
    <t xml:space="preserve">Meet it without exception. Investment beyond compliance buys nothing</t>
  </si>
  <si>
    <t xml:space="preserve">ONE-DIMENSIONAL (performance)</t>
  </si>
  <si>
    <t xml:space="preserve">Satisfaction rises linearly with performance</t>
  </si>
  <si>
    <t xml:space="preserve">Where competitive differentiation is bought; invest where you can win</t>
  </si>
  <si>
    <t xml:space="preserve">ATTRACTIVE (delighter)</t>
  </si>
  <si>
    <t xml:space="preserve">Absence is accepted; presence delights</t>
  </si>
  <si>
    <t xml:space="preserve">Low-cost delighters are the best return — but they decay into must-be over time</t>
  </si>
  <si>
    <t xml:space="preserve">INDIFFERENT</t>
  </si>
  <si>
    <t xml:space="preserve">The customer does not care either way</t>
  </si>
  <si>
    <t xml:space="preserve">Stop paying for it</t>
  </si>
  <si>
    <t xml:space="preserve">REVERSE</t>
  </si>
  <si>
    <t xml:space="preserve">The customer prefers the opposite</t>
  </si>
  <si>
    <t xml:space="preserve">You are actively making it worse</t>
  </si>
  <si>
    <t xml:space="preserve">QUESTIONABLE</t>
  </si>
  <si>
    <t xml:space="preserve">Contradictory answers — the question was misunderstood</t>
  </si>
  <si>
    <t xml:space="preserve">Re-ask; do not classify on a questionable response</t>
  </si>
  <si>
    <t xml:space="preserve">Step 2 — survey results by feature</t>
  </si>
  <si>
    <t xml:space="preserve">Feature</t>
  </si>
  <si>
    <t xml:space="preserve">Functional answer 1-5</t>
  </si>
  <si>
    <t xml:space="preserve">Dysfunctional answer 1-5</t>
  </si>
  <si>
    <t xml:space="preserve">Kano category (live lookup)</t>
  </si>
  <si>
    <t xml:space="preserve">Count A</t>
  </si>
  <si>
    <t xml:space="preserve">Count O</t>
  </si>
  <si>
    <t xml:space="preserve">Count M</t>
  </si>
  <si>
    <t xml:space="preserve">Count I</t>
  </si>
  <si>
    <t xml:space="preserve">CS coefficient</t>
  </si>
  <si>
    <t xml:space="preserve">DS coefficient</t>
  </si>
  <si>
    <t xml:space="preserve">Fill volume within the declared tolerance</t>
  </si>
  <si>
    <t xml:space="preserve">Label perfectly straight</t>
  </si>
  <si>
    <t xml:space="preserve">Cap opens with normal hand force</t>
  </si>
  <si>
    <t xml:space="preserve">Pallet arrives intact and stable</t>
  </si>
  <si>
    <t xml:space="preserve">Delivery on time in full</t>
  </si>
  <si>
    <t xml:space="preserve">QR code on the label linking to origin data</t>
  </si>
  <si>
    <t xml:space="preserve">Recyclable, lighter preform</t>
  </si>
  <si>
    <t xml:space="preserve">Bottle shape unique to our brand</t>
  </si>
  <si>
    <t xml:space="preserve">The category in column E is a live two-way lookup of the functional and dysfunctional answers into the Kano evaluation table above. The coefficients use the classical formulas CS = (A+O)/(A+O+M+I) and DS = -(O+M)/(A+O+M+I), where the counts are the number of respondents whose answer pair fell into each category. A must-be feature shows a weak CS and a strong DS.</t>
  </si>
  <si>
    <t xml:space="preserve">Must-be features</t>
  </si>
  <si>
    <t xml:space="preserve">Meet these without exception — they buy no praise, only absence of complaint</t>
  </si>
  <si>
    <t xml:space="preserve">One-dimensional features</t>
  </si>
  <si>
    <t xml:space="preserve">Where more really is better, and where differentiation is bought</t>
  </si>
  <si>
    <t xml:space="preserve">Attractive features</t>
  </si>
  <si>
    <t xml:space="preserve">Delighters — the cheapest source of competitive advantage</t>
  </si>
  <si>
    <t xml:space="preserve">Indifferent features</t>
  </si>
  <si>
    <t xml:space="preserve">Stop spending money here</t>
  </si>
  <si>
    <t xml:space="preserve">Highest satisfaction potential</t>
  </si>
  <si>
    <t xml:space="preserve">The feature whose presence most increases satisfaction</t>
  </si>
  <si>
    <t xml:space="preserve">Highest dissatisfaction risk</t>
  </si>
  <si>
    <t xml:space="preserve">The feature whose absence most damages satisfaction</t>
  </si>
  <si>
    <t xml:space="preserve">Meet 100% of the time</t>
  </si>
  <si>
    <t xml:space="preserve">They buy no praise, but failure is disproportionately damaging</t>
  </si>
  <si>
    <t xml:space="preserve">Invest where you can win</t>
  </si>
  <si>
    <t xml:space="preserve">Satisfaction rises with performance, so this is where differentiation is bought</t>
  </si>
  <si>
    <t xml:space="preserve">Look for low-cost delighters</t>
  </si>
  <si>
    <t xml:space="preserve">Best return available, but they decay into must-be</t>
  </si>
  <si>
    <t xml:space="preserve">Stop spending</t>
  </si>
  <si>
    <t xml:space="preserve">The most commercially useful finding in most Kano studies</t>
  </si>
  <si>
    <t xml:space="preserve">Questionable responses</t>
  </si>
  <si>
    <t xml:space="preserve">More than this means the questions were not understood</t>
  </si>
  <si>
    <t xml:space="preserve">•  Asking only the functional question, which makes the classification impossible.</t>
  </si>
  <si>
    <t xml:space="preserve">•  Treating the categories as permanent — attractive features become must-be within a few years.</t>
  </si>
  <si>
    <t xml:space="preserve">•  Investing heavily in a must-be feature beyond compliance and expecting satisfaction to rise.</t>
  </si>
  <si>
    <t xml:space="preserve">•  Surveying only the customers you already talk to, which classifies their preferences rather than the market's.</t>
  </si>
  <si>
    <t xml:space="preserve">•  Forcing questionable responses into a category instead of re-asking.</t>
  </si>
  <si>
    <t xml:space="preserve">Q1.  A respondent answers 'Expect it' to the functional question and 'Dislike it' to the dysfunctional question. What category is that?</t>
  </si>
  <si>
    <t xml:space="preserve">A1.  Must-be. They take it for granted when present and are actively dissatisfied when it is absent — the defining pattern of a basic requirement. Fill volume within tolerance is the classic packaging example.</t>
  </si>
  <si>
    <t xml:space="preserve">Q2.  Why is the indifferent column often the most valuable finding?</t>
  </si>
  <si>
    <t xml:space="preserve">A2.  Because it identifies features the organisation invests in, is proud of, and the customer does not notice at all. Redirecting that spend towards must-be reliability or a one-dimensional feature usually produces more satisfaction per unit of cost than any other change.</t>
  </si>
  <si>
    <t xml:space="preserve">Q3.  Why must a Kano study be repeated every few years?</t>
  </si>
  <si>
    <t xml:space="preserve">A3.  Because categories migrate. A feature that delights today becomes expected once competitors offer it, moving from attractive to one-dimensional to must-be. A classification treated as permanent leads to under-investment in something that has quietly become a basic requirement.</t>
  </si>
  <si>
    <t xml:space="preserve">H-05 — Check Sheets and Data Collection Forms</t>
  </si>
  <si>
    <t xml:space="preserve">Phase: MEASURE   |   Data required: Direct observation at the point of occurrence   |   Min. sample: Enough to see the pattern — usually 2 weeks   |   Complexity: 1/5   |   Output: Structured counts by category and by stratum, with operational definitions</t>
  </si>
  <si>
    <t xml:space="preserve">How do we collect data that everybody will still believe in three months?</t>
  </si>
  <si>
    <t xml:space="preserve">At the start of Measure, before any counting begins, and any time two people count the same thing differently.</t>
  </si>
  <si>
    <t xml:space="preserve">A data collection plan, operational definitions, and a structured tally by category and stratum.</t>
  </si>
  <si>
    <t xml:space="preserve">A check sheet is a form designed so that recording data is easier than not recording it, and so that the pattern is visible while the data is still being collected.</t>
  </si>
  <si>
    <t xml:space="preserve">The form is the easy part. What makes the data usable is the operational definition — a description of the characteristic so unambiguous that two people, working separately, classify the same item the same way. 'Label crooked' is not an operational definition. 'Label edge more than 2 mm from the vertical datum line, measured with the gauge on the reference board, with exactly 2.0 mm counting as a pass' is.</t>
  </si>
  <si>
    <t xml:space="preserve">Boundary cases must be decided in advance and written down. Almost every disagreement about defect data turns out to be a disagreement about the boundary, and it is far cheaper to settle it before collection than to discover it during the analysis.</t>
  </si>
  <si>
    <t xml:space="preserve">Design the check sheet to support the analysis you already intend to do. If you plan to stratify by shift, put shift on the sheet. If you plan to build a Pareto, use categories that are mutually exclusive and collectively exhaustive, with an 'Other' category that stays small — an Other category above about 10% means the categories are wrong.</t>
  </si>
  <si>
    <t xml:space="preserve">Collect at the point of occurrence, by the person who sees it, at the moment it happens. Data reconstructed at the end of a shift is a memory, and memory reorganises events into what it expected.</t>
  </si>
  <si>
    <t xml:space="preserve">✓  At the start of the Measure phase, before any counting.</t>
  </si>
  <si>
    <t xml:space="preserve">✗  The data already exists in a reliable system — extract it instead of recollecting it.</t>
  </si>
  <si>
    <t xml:space="preserve">✓  When defect categories are disputed or counted differently by different shifts.</t>
  </si>
  <si>
    <t xml:space="preserve">✗  The characteristic is continuous and better handled by measurement than by counting.</t>
  </si>
  <si>
    <t xml:space="preserve">✓  To build the raw data for a Pareto (H-06), a stratification (H-09) or a control chart.</t>
  </si>
  <si>
    <t xml:space="preserve">✗  The categories have not been agreed; the sheet would simply record the disagreement.</t>
  </si>
  <si>
    <t xml:space="preserve">✓  As the standing record for a recurring problem, so the pattern accumulates.</t>
  </si>
  <si>
    <t xml:space="preserve">Operational definitions exist and are agreed</t>
  </si>
  <si>
    <t xml:space="preserve">Two people classify 20 items independently and compare</t>
  </si>
  <si>
    <t xml:space="preserve">Rewrite the definitions until the two agree — that is an attribute agreement analysis</t>
  </si>
  <si>
    <t xml:space="preserve">E-60  MSA Bias and Linearity</t>
  </si>
  <si>
    <t xml:space="preserve">Data is recorded at the point of occurrence</t>
  </si>
  <si>
    <t xml:space="preserve">Check where the sheet physically is</t>
  </si>
  <si>
    <t xml:space="preserve">Move the sheet to the point of occurrence; end-of-shift recall is not data</t>
  </si>
  <si>
    <t xml:space="preserve">Check that no event could be logged in two categories, and that Other stays under 10%</t>
  </si>
  <si>
    <t xml:space="preserve">Redesign the categories before continuing to collect</t>
  </si>
  <si>
    <t xml:space="preserve">The collection period covers all strata</t>
  </si>
  <si>
    <t xml:space="preserve">All shifts, all products, all machines relevant to the question</t>
  </si>
  <si>
    <t xml:space="preserve">Extend the period; a sheet covering two shifts cannot answer a four-shift question</t>
  </si>
  <si>
    <t xml:space="preserve">The arithmetic is only counting. The rigour is in the definitions:</t>
  </si>
  <si>
    <t xml:space="preserve">Total per category  =  sum across the strata (here, across the four shifts) Share of total      =  category total / grand total</t>
  </si>
  <si>
    <t xml:space="preserve">   Between-stratum spread  =  MAX(stratum counts)  -  MIN(stratum counts)</t>
  </si>
  <si>
    <t xml:space="preserve">AN OPERATIONAL DEFINITION HAS THREE PARTS:</t>
  </si>
  <si>
    <t xml:space="preserve">   1. The CHARACTERISTIC, stated unambiguously</t>
  </si>
  <si>
    <t xml:space="preserve">   2. The TEST or measurement method used to judge it</t>
  </si>
  <si>
    <t xml:space="preserve">   3. The DECISION RULE, including what happens exactly on the boundary</t>
  </si>
  <si>
    <t xml:space="preserve">Test of a good definition: two people, working separately, classify the same 20 items identically.</t>
  </si>
  <si>
    <t xml:space="preserve">If they do not, the definition is the problem — not the people.</t>
  </si>
  <si>
    <t xml:space="preserve">SUM across a row</t>
  </si>
  <si>
    <t xml:space="preserve">SUM(C60:F60)</t>
  </si>
  <si>
    <t xml:space="preserve">Category total across the four shifts</t>
  </si>
  <si>
    <t xml:space="preserve">MAX - MIN</t>
  </si>
  <si>
    <t xml:space="preserve">MAX(C60:F60)-MIN(C60:F60)</t>
  </si>
  <si>
    <t xml:space="preserve">Between-shift spread, a first signal that stratification will pay</t>
  </si>
  <si>
    <t xml:space="preserve">INDEX with an array constant</t>
  </si>
  <si>
    <t xml:space="preserve">INDEX({"Shift A","Shift B"...}, MATCH(...))</t>
  </si>
  <si>
    <t xml:space="preserve">Names the shift holding the maximum without a helper table</t>
  </si>
  <si>
    <t xml:space="preserve">Absolute range in the denominator</t>
  </si>
  <si>
    <t xml:space="preserve">$G$60:$G$67</t>
  </si>
  <si>
    <t xml:space="preserve">Locks the grand total so every percentage uses the same base</t>
  </si>
  <si>
    <t xml:space="preserve">Scenario: 14 days of Innocheck FBI rejects on the PET line, tallied at the reject station by the operator on each shift, using the operational definitions agreed in the Measure phase.</t>
  </si>
  <si>
    <t xml:space="preserve">Step 1 — the data collection plan, before a single tally mark is made</t>
  </si>
  <si>
    <t xml:space="preserve">What exactly is being counted?</t>
  </si>
  <si>
    <t xml:space="preserve">Bottles rejected by the Innocheck FBI, by defect type</t>
  </si>
  <si>
    <t xml:space="preserve">The operational definition — see the box below</t>
  </si>
  <si>
    <t xml:space="preserve">Who collects it?</t>
  </si>
  <si>
    <t xml:space="preserve">Line operator on each shift, at the reject chute</t>
  </si>
  <si>
    <t xml:space="preserve">One named role, not 'whoever is free'</t>
  </si>
  <si>
    <t xml:space="preserve">When and how often?</t>
  </si>
  <si>
    <t xml:space="preserve">Every reject, continuously, for 14 days</t>
  </si>
  <si>
    <t xml:space="preserve">Continuous beats sampling for rare events</t>
  </si>
  <si>
    <t xml:space="preserve">How is it recorded?</t>
  </si>
  <si>
    <t xml:space="preserve">Tally on the printed sheet at the reject station, entered daily</t>
  </si>
  <si>
    <t xml:space="preserve">At the point of occurrence, not from memory</t>
  </si>
  <si>
    <t xml:space="preserve">What is the sample size?</t>
  </si>
  <si>
    <t xml:space="preserve">All rejects during the period — census, not sample</t>
  </si>
  <si>
    <t xml:space="preserve">Census removes the sampling question entirely</t>
  </si>
  <si>
    <t xml:space="preserve">Who checks the data?</t>
  </si>
  <si>
    <t xml:space="preserve">Shift supervisor at handover, signature on the sheet</t>
  </si>
  <si>
    <t xml:space="preserve">Unchecked data is unverified data</t>
  </si>
  <si>
    <t xml:space="preserve">What will it be used for?</t>
  </si>
  <si>
    <t xml:space="preserve">Pareto (H-06), then stratification by shift (H-09)</t>
  </si>
  <si>
    <t xml:space="preserve">Decide the analysis before collecting</t>
  </si>
  <si>
    <t xml:space="preserve">Operational definitions — the part that decides whether the data means anything</t>
  </si>
  <si>
    <t xml:space="preserve">Operational definition (unambiguous, testable)</t>
  </si>
  <si>
    <t xml:space="preserve">How it is judged</t>
  </si>
  <si>
    <t xml:space="preserve">Boundary case</t>
  </si>
  <si>
    <t xml:space="preserve">Low fill</t>
  </si>
  <si>
    <t xml:space="preserve">Fill level below the lower mark on the reference bottle at the sight glass</t>
  </si>
  <si>
    <t xml:space="preserve">Automatic — FBI level sensor</t>
  </si>
  <si>
    <t xml:space="preserve">Exactly on the mark counts as PASS</t>
  </si>
  <si>
    <t xml:space="preserve">High fill</t>
  </si>
  <si>
    <t xml:space="preserve">Fill level above the upper mark on the reference bottle</t>
  </si>
  <si>
    <t xml:space="preserve">Cap askew</t>
  </si>
  <si>
    <t xml:space="preserve">Cap visibly not seated square; gap visible on one side at 30 cm</t>
  </si>
  <si>
    <t xml:space="preserve">Visual, against the reference sample board</t>
  </si>
  <si>
    <t xml:space="preserve">Any visible gap counts as a defect</t>
  </si>
  <si>
    <t xml:space="preserve">Label crooked</t>
  </si>
  <si>
    <t xml:space="preserve">Label edge more than 2 mm from the vertical datum line</t>
  </si>
  <si>
    <t xml:space="preserve">Gauge on the reference board</t>
  </si>
  <si>
    <t xml:space="preserve">Exactly 2.0 mm counts as PASS</t>
  </si>
  <si>
    <t xml:space="preserve">Label bubble</t>
  </si>
  <si>
    <t xml:space="preserve">Any trapped bubble larger than 3 mm across</t>
  </si>
  <si>
    <t xml:space="preserve">Visual, against the reference board</t>
  </si>
  <si>
    <t xml:space="preserve">Bubbles under 3 mm are not counted</t>
  </si>
  <si>
    <t xml:space="preserve">Foreign body</t>
  </si>
  <si>
    <t xml:space="preserve">Any visible object in the product</t>
  </si>
  <si>
    <t xml:space="preserve">Visual plus FBI</t>
  </si>
  <si>
    <t xml:space="preserve">Always a defect; also triggers the quality hold procedure</t>
  </si>
  <si>
    <t xml:space="preserve">Step 2 — the check sheet: defect type by shift, 14 days</t>
  </si>
  <si>
    <t xml:space="preserve">% of all defects</t>
  </si>
  <si>
    <t xml:space="preserve">Spread between shifts</t>
  </si>
  <si>
    <t xml:space="preserve">Bottle deformed</t>
  </si>
  <si>
    <t xml:space="preserve">Other</t>
  </si>
  <si>
    <t xml:space="preserve">Total defects recorded</t>
  </si>
  <si>
    <t xml:space="preserve">Over 14 days, all four shifts</t>
  </si>
  <si>
    <t xml:space="preserve">Largest defect type</t>
  </si>
  <si>
    <t xml:space="preserve">Go to the Pareto on H-06</t>
  </si>
  <si>
    <t xml:space="preserve">Its share of all defects</t>
  </si>
  <si>
    <t xml:space="preserve">Above 30% means one defect dominates</t>
  </si>
  <si>
    <t xml:space="preserve">Shift with most defects</t>
  </si>
  <si>
    <t xml:space="preserve">A shift difference is a stratification finding, not a blame finding</t>
  </si>
  <si>
    <t xml:space="preserve">Largest between-shift spread</t>
  </si>
  <si>
    <t xml:space="preserve">The defect type that behaves most differently between shifts</t>
  </si>
  <si>
    <t xml:space="preserve">Which defect</t>
  </si>
  <si>
    <t xml:space="preserve">Take this one to stratification (H-09)</t>
  </si>
  <si>
    <t xml:space="preserve">Agreement between two collectors</t>
  </si>
  <si>
    <t xml:space="preserve">&gt;= 90% on 20 items</t>
  </si>
  <si>
    <t xml:space="preserve">Below this the operational definition is the problem</t>
  </si>
  <si>
    <t xml:space="preserve">Other category</t>
  </si>
  <si>
    <t xml:space="preserve">&lt; 10% of the total</t>
  </si>
  <si>
    <t xml:space="preserve">A large Other means the categories are wrong</t>
  </si>
  <si>
    <t xml:space="preserve">Collection point</t>
  </si>
  <si>
    <t xml:space="preserve">At the point of occurrence</t>
  </si>
  <si>
    <t xml:space="preserve">Reconstructed data is memory, not measurement</t>
  </si>
  <si>
    <t xml:space="preserve">Coverage</t>
  </si>
  <si>
    <t xml:space="preserve">All strata of interest</t>
  </si>
  <si>
    <t xml:space="preserve">A sheet that misses a shift cannot answer a shift question</t>
  </si>
  <si>
    <t xml:space="preserve">•  Designing the sheet before deciding what analysis it will feed, so the stratum you need was never recorded.</t>
  </si>
  <si>
    <t xml:space="preserve">•  Using category names without operational definitions, which guarantees two shifts count differently.</t>
  </si>
  <si>
    <t xml:space="preserve">•  Leaving boundary cases undecided, which is where almost every counting dispute originates.</t>
  </si>
  <si>
    <t xml:space="preserve">•  Letting the Other category grow, which quietly hides the real pattern.</t>
  </si>
  <si>
    <t xml:space="preserve">•  Filling the sheet at the end of the shift from memory.</t>
  </si>
  <si>
    <t xml:space="preserve">Q1.  Two shifts record very different numbers of 'label crooked' defects. Name two explanations, and how you would tell them apart.</t>
  </si>
  <si>
    <t xml:space="preserve">A1.  Either the shifts genuinely produce different rates, or they apply the definition differently. Test it with an attribute agreement analysis: give both shifts the same 20 sample bottles and compare their classifications. If they disagree on the samples, the definition is the problem, not the process.</t>
  </si>
  <si>
    <t xml:space="preserve">Q2.  Why must boundary cases be written into the operational definition?</t>
  </si>
  <si>
    <t xml:space="preserve">A2.  Because the boundary is where classification disagreements happen. If 'exactly 2.0 mm' is not explicitly a pass or a fail, two careful people will decide differently, and the resulting data will contain a variation that has nothing to do with the process.</t>
  </si>
  <si>
    <t xml:space="preserve">Q3.  The Other category is 22% of the total. What does that tell you?</t>
  </si>
  <si>
    <t xml:space="preserve">A3.  That the category scheme is wrong. Nearly a quarter of the events do not fit any named category, so the Pareto built from this sheet will hide the real pattern. Redesign the categories from a sample of the Other entries before collecting any more data.</t>
  </si>
  <si>
    <t xml:space="preserve">H-06 — Pareto Analysis</t>
  </si>
  <si>
    <t xml:space="preserve">Phase: MEASURE   |   Data required: Counts by category, ideally with a cost per occurrence   |   Min. sample: Enough events for the pattern to be stable   |   Complexity: 1/5   |   Output: Ranked categories with cumulative percentage, the vital few, and a Pareto by cost</t>
  </si>
  <si>
    <t xml:space="preserve">Of all the categories of this problem, which few account for most of it?</t>
  </si>
  <si>
    <t xml:space="preserve">Immediately after a check sheet, whenever a problem has categories, and before choosing where to spend effort.</t>
  </si>
  <si>
    <t xml:space="preserve">A sorted, cumulative view that separates the vital few from the useful many — by count and by cost.</t>
  </si>
  <si>
    <t xml:space="preserve">The Pareto principle observes that a small number of causes usually account for most of the effect.</t>
  </si>
  <si>
    <t xml:space="preserve">The chart makes that concentration visible: categories sorted from largest to smallest, with a cumulative percentage line running across them.</t>
  </si>
  <si>
    <t xml:space="preserve">The 80/20 split is a rule of thumb, not a law. What matters is not whether the split is exactly 80/20 but whether the distribution is concentrated at all. A flat Pareto is itself a finding — it says there is no single problem to attack, and that the cause is systemic.</t>
  </si>
  <si>
    <t xml:space="preserve">The most important discipline is to build the Pareto twice: once by frequency and once by cost, impact or severity. They frequently disagree. A foreign body may occur four times a year against four hundred crooked labels, and still be the defect that matters most — because one of them can cost a customer, a recall or a licence.</t>
  </si>
  <si>
    <t xml:space="preserve">Categories must be mutually exclusive and collectively exhaustive, with an Other category that stays small. An Other bar that would rank in the top three means the categories are wrong and the chart is hiding the pattern rather than revealing it.</t>
  </si>
  <si>
    <t xml:space="preserve">A Pareto also gives you the second project. Once the first category is solved, the chart is rebuilt and the second category becomes the vital few — which is why it is worth keeping the raw data.</t>
  </si>
  <si>
    <t xml:space="preserve">✓  Choosing where to focus after a check sheet or a downtime log.</t>
  </si>
  <si>
    <t xml:space="preserve">✗  There are only two or three categories — a Pareto adds nothing to a simple comparison.</t>
  </si>
  <si>
    <t xml:space="preserve">✓  Presenting a concentrated problem to a sponsor in one picture.</t>
  </si>
  <si>
    <t xml:space="preserve">✗  The categories are not mutually exclusive, so the same event is counted twice.</t>
  </si>
  <si>
    <t xml:space="preserve">✓  Comparing the same categories before and after an improvement.</t>
  </si>
  <si>
    <t xml:space="preserve">✗  The data covers too short a period for the ranking to be stable.</t>
  </si>
  <si>
    <t xml:space="preserve">✓  Screening a long list of causes into a manageable few for root-cause analysis.</t>
  </si>
  <si>
    <t xml:space="preserve">Check that no event fits two categories and that Other is under 10%</t>
  </si>
  <si>
    <t xml:space="preserve">Redesign the categories and recount</t>
  </si>
  <si>
    <t xml:space="preserve">The data is sorted descending</t>
  </si>
  <si>
    <t xml:space="preserve">Check the count column before reading the cumulative line</t>
  </si>
  <si>
    <t xml:space="preserve">Sort it; the cumulative column is meaningless on unsorted data</t>
  </si>
  <si>
    <t xml:space="preserve">The period is representative</t>
  </si>
  <si>
    <t xml:space="preserve">Compare two consecutive periods and check the ranking is stable</t>
  </si>
  <si>
    <t xml:space="preserve">Extend the period; a ranking that changes weekly is noise</t>
  </si>
  <si>
    <t xml:space="preserve">Frequency is the right weighting</t>
  </si>
  <si>
    <t xml:space="preserve">Build the second Pareto by cost or severity and compare</t>
  </si>
  <si>
    <t xml:space="preserve">Act on the cost Pareto, and say explicitly that you are doing so</t>
  </si>
  <si>
    <t xml:space="preserve">Percentage of total     =  category count / grand total Cumulative percentage   =  running sum of counts / grand total          (sorted descending) Vital few               =  categories whose cumulative percentage is at or below 80%</t>
  </si>
  <si>
    <t xml:space="preserve">Weighted (cost) Pareto:</t>
  </si>
  <si>
    <t xml:space="preserve">total cost of a category  =  count  x  cost per occurrence the ranking by cost is then built exactly as above, on the cost column</t>
  </si>
  <si>
    <t xml:space="preserve">The two-Pareto rule: always build it by frequency AND by cost or severity. If the top category differs, the decision about which to act on must be made explicitly, not by whichever chart was drawn first.</t>
  </si>
  <si>
    <t xml:space="preserve">Running sum with a mixed anchor</t>
  </si>
  <si>
    <t xml:space="preserve">SUM($C$60:C64)/SUM($C$60:$C$67)</t>
  </si>
  <si>
    <t xml:space="preserve">Cumulative percentage: the start of the range is locked, the end moves down</t>
  </si>
  <si>
    <t xml:space="preserve">SUMIF(flag, "VITAL FEW", counts)</t>
  </si>
  <si>
    <t xml:space="preserve">Total explained by the vital few</t>
  </si>
  <si>
    <t xml:space="preserve">COUNTIF(flag, "VITAL FEW")</t>
  </si>
  <si>
    <t xml:space="preserve">How many categories fall inside the 80% line</t>
  </si>
  <si>
    <t xml:space="preserve">INDEX(cats, MATCH(MAX(count), count, 0))</t>
  </si>
  <si>
    <t xml:space="preserve">Names the largest category, by count and separately by cost</t>
  </si>
  <si>
    <t xml:space="preserve">Combined bar and line chart</t>
  </si>
  <si>
    <t xml:space="preserve">BarChart + LineChart on a secondary axis</t>
  </si>
  <si>
    <t xml:space="preserve">Counts as bars, cumulative percentage as a line</t>
  </si>
  <si>
    <t xml:space="preserve">Scenario: the 889 defects from the 14-day check sheet on H-05, grouped into eight categories and priced with the cost of each occurrence — including the foreign body, which is rare and expensive.</t>
  </si>
  <si>
    <t xml:space="preserve">Pareto table — categories already sorted from largest to smallest</t>
  </si>
  <si>
    <t xml:space="preserve">A Pareto must be sorted descending before the cumulative column means anything. If you paste unsorted data, sort it first: the cumulative line is only interpretable on sorted categories.</t>
  </si>
  <si>
    <t xml:space="preserve">Defect category (sorted descending)</t>
  </si>
  <si>
    <t xml:space="preserve">Cumulative %</t>
  </si>
  <si>
    <t xml:space="preserve">Vital few or useful many?</t>
  </si>
  <si>
    <t xml:space="preserve">Cost per occurrence (USD)</t>
  </si>
  <si>
    <t xml:space="preserve">Total cost (USD)</t>
  </si>
  <si>
    <t xml:space="preserve">% of total cost</t>
  </si>
  <si>
    <t xml:space="preserve">Categories in the vital few</t>
  </si>
  <si>
    <t xml:space="preserve">Categories inside the 80% cumulative line</t>
  </si>
  <si>
    <t xml:space="preserve">Share of defects they explain</t>
  </si>
  <si>
    <t xml:space="preserve">How concentrated the problem really is</t>
  </si>
  <si>
    <t xml:space="preserve">Largest category</t>
  </si>
  <si>
    <t xml:space="preserve">By count</t>
  </si>
  <si>
    <t xml:space="preserve">Its share</t>
  </si>
  <si>
    <t xml:space="preserve">Above 40% means one category dominates completely</t>
  </si>
  <si>
    <t xml:space="preserve">Largest category BY COST</t>
  </si>
  <si>
    <t xml:space="preserve">Frequently different from the largest by count</t>
  </si>
  <si>
    <t xml:space="preserve">Its share of cost</t>
  </si>
  <si>
    <t xml:space="preserve">Do count and cost agree?</t>
  </si>
  <si>
    <t xml:space="preserve">The single most important check on any Pareto</t>
  </si>
  <si>
    <t xml:space="preserve">Concentration</t>
  </si>
  <si>
    <t xml:space="preserve">Top 2-3 categories above 70-80%</t>
  </si>
  <si>
    <t xml:space="preserve">Confirms there is a focused problem to attack</t>
  </si>
  <si>
    <t xml:space="preserve">No category above ~20%</t>
  </si>
  <si>
    <t xml:space="preserve">Systemic problem — map the process instead of chasing a category</t>
  </si>
  <si>
    <t xml:space="preserve">Larger means the categories are wrong</t>
  </si>
  <si>
    <t xml:space="preserve">Count vs cost ranking</t>
  </si>
  <si>
    <t xml:space="preserve">Should be compared explicitly</t>
  </si>
  <si>
    <t xml:space="preserve">When they disagree, the cost Pareto usually wins</t>
  </si>
  <si>
    <t xml:space="preserve">•  Reading the cumulative line on unsorted data, which makes it meaningless.</t>
  </si>
  <si>
    <t xml:space="preserve">•  Building the Pareto only by frequency and missing the rare, expensive defect.</t>
  </si>
  <si>
    <t xml:space="preserve">•  Allowing the Other category to grow until it hides the real pattern.</t>
  </si>
  <si>
    <t xml:space="preserve">•  Treating 80/20 as a law and forcing the cut at exactly 80% when the natural break is elsewhere.</t>
  </si>
  <si>
    <t xml:space="preserve">•  Rebuilding the Pareto after the improvement and being surprised that a new category is now first — that is success, not failure.</t>
  </si>
  <si>
    <t xml:space="preserve">Q1.  The most frequent defect is crooked labels; the most expensive is foreign body, at four occurrences a year. Which do you attack?</t>
  </si>
  <si>
    <t xml:space="preserve">A1.  Both, but not with the same urgency or the same tool. Foreign body is a severity problem — it needs prevention and containment regardless of its frequency, and it would carry a Severity of 9-10 in an FMEA. Crooked labels is a capacity and cost problem suited to a DMAIC project. The mistake is to let the frequency Pareto silently decide.</t>
  </si>
  <si>
    <t xml:space="preserve">Q2.  Your Pareto is completely flat — eight categories, none above 15%. What does that tell you?</t>
  </si>
  <si>
    <t xml:space="preserve">A2.  That there is no vital few. The losses are systemic rather than concentrated, so attacking any single category will change little. Map the process (L-04) or the value stream (L-02) and look for a common mechanism instead.</t>
  </si>
  <si>
    <t xml:space="preserve">Q3.  After fixing the top category, the new Pareto shows a different category first. Has the improvement failed?</t>
  </si>
  <si>
    <t xml:space="preserve">A3.  No — that is exactly what success looks like. The absolute counts should have fallen; the ranking simply re-forms around what remains. Compare the totals, not the ranks, when judging the improvement.</t>
  </si>
  <si>
    <t xml:space="preserve">H-07 — Histogram and Box Plot</t>
  </si>
  <si>
    <t xml:space="preserve">Phase: MEASURE   |   Data required: At least 30 continuous measurements, with their stratum recorded   |   Min. sample: 30, preferably 50+   |   Complexity: 2/5   |   Output: Shape, centre, spread, outliers, and a comparison of the strata</t>
  </si>
  <si>
    <t xml:space="preserve">What shape is this data, where is it centred, how spread out is it, and does it sit inside the specification?</t>
  </si>
  <si>
    <t xml:space="preserve">The first thing you do with any set of continuous measurements, before any test and before any capability index.</t>
  </si>
  <si>
    <t xml:space="preserve">A picture of the distribution, a five-number summary, an outlier test, and a per-stratum comparison.</t>
  </si>
  <si>
    <t xml:space="preserve">Look at the data before calculating anything. A histogram and a box plot answer, in a few seconds, questions that summary statistics can hide entirely: is the distribution symmetric, is it bimodal, are there outliers, and does the bulk of it sit inside the specification.</t>
  </si>
  <si>
    <t xml:space="preserve">Bimodality is the finding that most often changes a project. Two peaks almost always mean two populations mixed together — two shifts, two machines, two suppliers, two filling valves. A mean computed across two populations describes neither of them, and a capability index computed on mixed data is meaningless.</t>
  </si>
  <si>
    <t xml:space="preserve">The box plot compresses the distribution to five numbers — minimum, Q1, median, Q3, maximum — and draws fences at 1.5 times the interquartile range beyond the quartiles. It is at its most useful when several groups are drawn side by side, because differences in centre and in spread become obvious simultaneously.</t>
  </si>
  <si>
    <t xml:space="preserve">Bin width matters more than people expect. Too few bins hides structure; too many turns the histogram into noise. A useful starting point is the square root of n bins, adjusted so the bin edges fall on round numbers that mean something to the process.</t>
  </si>
  <si>
    <t xml:space="preserve">Neither chart is a substitute for a control chart. A histogram has no time axis, so a process that is drifting steadily and one that is stable can produce the same histogram. Always pair the shape with a run chart or a control chart.</t>
  </si>
  <si>
    <t xml:space="preserve">✓  As the first look at any set of continuous data.</t>
  </si>
  <si>
    <t xml:space="preserve">✗  Fewer than about 30 observations, where the shape is not yet informative.</t>
  </si>
  <si>
    <t xml:space="preserve">✓  To detect bimodality, skewness and outliers before choosing a statistical test.</t>
  </si>
  <si>
    <t xml:space="preserve">✗  As evidence of stability — that requires a time-ordered chart (H-08, E-49).</t>
  </si>
  <si>
    <t xml:space="preserve">✓  To compare several groups' centre and spread in one picture.</t>
  </si>
  <si>
    <t xml:space="preserve">✗  For attribute data, where a Pareto (H-06) is the right tool.</t>
  </si>
  <si>
    <t xml:space="preserve">✓  Before any capability study, to check the normality assumption visually.</t>
  </si>
  <si>
    <t xml:space="preserve">The data comes from one process, or is stratified</t>
  </si>
  <si>
    <t xml:space="preserve">Look for two peaks in the histogram and for separated boxes between groups</t>
  </si>
  <si>
    <t xml:space="preserve">Stratify and analyse the groups separately</t>
  </si>
  <si>
    <t xml:space="preserve">Gage R&amp;R before trusting any spread statistic</t>
  </si>
  <si>
    <t xml:space="preserve">Fix the measurement system; part of the spread you see may be the gauge</t>
  </si>
  <si>
    <t xml:space="preserve">Outliers are investigated, not deleted</t>
  </si>
  <si>
    <t xml:space="preserve">Every point beyond the fences has a documented explanation</t>
  </si>
  <si>
    <t xml:space="preserve">Investigate first; an outlier is often the most informative point in the data</t>
  </si>
  <si>
    <t xml:space="preserve">E-33  When Assumptions Fail</t>
  </si>
  <si>
    <t xml:space="preserve">The sample is representative of the period</t>
  </si>
  <si>
    <t xml:space="preserve">Confirm the sampling plan covered all shifts and conditions</t>
  </si>
  <si>
    <t xml:space="preserve">Re-sample; a histogram of one shift describes one shift</t>
  </si>
  <si>
    <t xml:space="preserve">FIVE-NUMBER SUMMARY:  minimum · Q1 · median · Q3 · maximum IQR          =  Q3  -  Q1</t>
  </si>
  <si>
    <t xml:space="preserve">   Lower fence  =  Q1  -  1.5 x IQR</t>
  </si>
  <si>
    <t xml:space="preserve">   Upper fence  =  Q3  +  1.5 x IQR</t>
  </si>
  <si>
    <t xml:space="preserve">   A point beyond a fence is a candidate outlier — a candidate, not a verdict.</t>
  </si>
  <si>
    <t xml:space="preserve">HISTOGRAM:</t>
  </si>
  <si>
    <t xml:space="preserve">frequency of a bin  =  COUNTIF(range, &gt;= lower edge)  -  COUNTIF(range, &gt;= upper edge) suggested number of bins  ~  SQRT(n), adjusted to round, process-meaningful edges</t>
  </si>
  <si>
    <t xml:space="preserve">SHAPE:</t>
  </si>
  <si>
    <t xml:space="preserve">skewness near 0 is approximately symmetric; positive is right-skewed, negative left-skewed two peaks  →  two populations. Stratify before doing anything else.</t>
  </si>
  <si>
    <t xml:space="preserve">QUARTILE(range, 1)</t>
  </si>
  <si>
    <t xml:space="preserve">Legacy name; QUARTILE.INC is not universally supported by the verification engine</t>
  </si>
  <si>
    <t xml:space="preserve">MEDIAN / STDEV / SKEW</t>
  </si>
  <si>
    <t xml:space="preserve">MEDIAN(range), STDEV(range), SKEW(range)</t>
  </si>
  <si>
    <t xml:space="preserve">Centre, spread and shape from the raw data</t>
  </si>
  <si>
    <t xml:space="preserve">COUNTIF with a concatenated criterion</t>
  </si>
  <si>
    <t xml:space="preserve">COUNTIF(range, "&gt;="&amp;C60)</t>
  </si>
  <si>
    <t xml:space="preserve">Builds bin frequencies live from a cell reference</t>
  </si>
  <si>
    <t xml:space="preserve">Stacked bar chart</t>
  </si>
  <si>
    <t xml:space="preserve">BarChart with grouping='stacked'</t>
  </si>
  <si>
    <t xml:space="preserve">Box plot approximation: segments built from differences</t>
  </si>
  <si>
    <t xml:space="preserve">IF(AND(low&gt;=LSL, high&lt;=USL), ...)</t>
  </si>
  <si>
    <t xml:space="preserve">Flags which histogram bins sit inside the specification</t>
  </si>
  <si>
    <t xml:space="preserve">Scenario: 60 fill volume measurements from the 500 ml PET line, 15 from each shift, taken over one week.</t>
  </si>
  <si>
    <t xml:space="preserve">The specification is 498-502 ml. Shift C is visibly different from the other three.</t>
  </si>
  <si>
    <t xml:space="preserve">Step 1 — the raw data (fill volume, ml, 60 bottles, 15 per shift, 5 per row)</t>
  </si>
  <si>
    <t xml:space="preserve">Sample block</t>
  </si>
  <si>
    <t xml:space="preserve">Shift A, bottles 1-5</t>
  </si>
  <si>
    <t xml:space="preserve">Shift A, bottles 6-10</t>
  </si>
  <si>
    <t xml:space="preserve">Shift A, bottles 11-15</t>
  </si>
  <si>
    <t xml:space="preserve">Shift B, bottles 1-5</t>
  </si>
  <si>
    <t xml:space="preserve">Shift B, bottles 6-10</t>
  </si>
  <si>
    <t xml:space="preserve">Shift B, bottles 11-15</t>
  </si>
  <si>
    <t xml:space="preserve">Shift C, bottles 1-5</t>
  </si>
  <si>
    <t xml:space="preserve">Shift C, bottles 6-10</t>
  </si>
  <si>
    <t xml:space="preserve">Shift C, bottles 11-15</t>
  </si>
  <si>
    <t xml:space="preserve">Shift D, bottles 1-5</t>
  </si>
  <si>
    <t xml:space="preserve">Shift D, bottles 6-10</t>
  </si>
  <si>
    <t xml:space="preserve">Shift D, bottles 11-15</t>
  </si>
  <si>
    <t xml:space="preserve">Step 2 — descriptive statistics and the five-number summary</t>
  </si>
  <si>
    <t xml:space="preserve">Formula used</t>
  </si>
  <si>
    <t xml:space="preserve">Minimum</t>
  </si>
  <si>
    <t xml:space="preserve">Q1 (25th percentile)</t>
  </si>
  <si>
    <t xml:space="preserve">Median (Q2)</t>
  </si>
  <si>
    <t xml:space="preserve">Q3 (75th percentile)</t>
  </si>
  <si>
    <t xml:space="preserve">QUARTILE(range, 3)</t>
  </si>
  <si>
    <t xml:space="preserve">IQR</t>
  </si>
  <si>
    <t xml:space="preserve">Q3 - Q1</t>
  </si>
  <si>
    <t xml:space="preserve">Lower fence</t>
  </si>
  <si>
    <t xml:space="preserve">Q1 - 1.5 x IQR</t>
  </si>
  <si>
    <t xml:space="preserve">Upper fence</t>
  </si>
  <si>
    <t xml:space="preserve">Q3 + 1.5 x IQR</t>
  </si>
  <si>
    <t xml:space="preserve">Outliers beyond the fences</t>
  </si>
  <si>
    <t xml:space="preserve">COUNTIF both directions</t>
  </si>
  <si>
    <t xml:space="preserve">Step 3 — specification limits</t>
  </si>
  <si>
    <t xml:space="preserve">Limit</t>
  </si>
  <si>
    <t xml:space="preserve">Lower specification limit (LSL)</t>
  </si>
  <si>
    <t xml:space="preserve">Internal control limit for the 500 ml SKU</t>
  </si>
  <si>
    <t xml:space="preserve">Declared fill volume</t>
  </si>
  <si>
    <t xml:space="preserve">Upper specification limit (USL)</t>
  </si>
  <si>
    <t xml:space="preserve">Internal control limit</t>
  </si>
  <si>
    <t xml:space="preserve">Bottles outside specification</t>
  </si>
  <si>
    <t xml:space="preserve">Counted from the raw data</t>
  </si>
  <si>
    <t xml:space="preserve">Share outside specification</t>
  </si>
  <si>
    <t xml:space="preserve">Step 4 — histogram bins (frequency computed live with COUNTIF)</t>
  </si>
  <si>
    <t xml:space="preserve">Bin (ml)</t>
  </si>
  <si>
    <t xml:space="preserve">Lower edge</t>
  </si>
  <si>
    <t xml:space="preserve">Upper edge</t>
  </si>
  <si>
    <t xml:space="preserve">Inside the spec?</t>
  </si>
  <si>
    <t xml:space="preserve">500.5 to 501.0</t>
  </si>
  <si>
    <t xml:space="preserve">501.0 to 501.5</t>
  </si>
  <si>
    <t xml:space="preserve">501.5 to 502.0</t>
  </si>
  <si>
    <t xml:space="preserve">502.0 to 502.5</t>
  </si>
  <si>
    <t xml:space="preserve">502.5 to 503.0</t>
  </si>
  <si>
    <t xml:space="preserve">503.0 to 503.5</t>
  </si>
  <si>
    <t xml:space="preserve">503.5 to 504.0</t>
  </si>
  <si>
    <t xml:space="preserve">504.0 to 504.5</t>
  </si>
  <si>
    <t xml:space="preserve">504.5 to 505.0</t>
  </si>
  <si>
    <t xml:space="preserve">505.0 to 505.5</t>
  </si>
  <si>
    <t xml:space="preserve">505.5 to 506.0</t>
  </si>
  <si>
    <t xml:space="preserve">506.0 to 506.5</t>
  </si>
  <si>
    <t xml:space="preserve">Step 5 — box plot by shift (stacked-bar approximation)</t>
  </si>
  <si>
    <t xml:space="preserve">Base (minimum)</t>
  </si>
  <si>
    <t xml:space="preserve">Q3 to maximum</t>
  </si>
  <si>
    <t xml:space="preserve">Median</t>
  </si>
  <si>
    <t xml:space="preserve">The stacked bars are built from differences so that they stack into a box-and-whisker shape: the first segment is the distance from zero to the minimum, then min to Q1, Q1 to median, median to Q3, and Q3 to maximum. Excel has no native box plot in this file format, and this construction is the standard workaround.</t>
  </si>
  <si>
    <t xml:space="preserve">Highest median shift</t>
  </si>
  <si>
    <t xml:space="preserve">Shift running furthest from target</t>
  </si>
  <si>
    <t xml:space="preserve">Spread between shift medians</t>
  </si>
  <si>
    <t xml:space="preserve">A large gap is a stratification finding (H-09)</t>
  </si>
  <si>
    <t xml:space="preserve">Widest IQR</t>
  </si>
  <si>
    <t xml:space="preserve">The least consistent shift</t>
  </si>
  <si>
    <t xml:space="preserve">Distribution shape</t>
  </si>
  <si>
    <t xml:space="preserve">From the skewness statistic</t>
  </si>
  <si>
    <t xml:space="preserve">Two peaks in the histogram</t>
  </si>
  <si>
    <t xml:space="preserve">Two populations mixed — stratify before anything else</t>
  </si>
  <si>
    <t xml:space="preserve">Investigate each one; never delete without a documented cause</t>
  </si>
  <si>
    <t xml:space="preserve">|skew| &lt; 0.5 approximately symmetric</t>
  </si>
  <si>
    <t xml:space="preserve">Beyond ~1, transform or use a non-normal method</t>
  </si>
  <si>
    <t xml:space="preserve">Spread between group medians</t>
  </si>
  <si>
    <t xml:space="preserve">Large relative to the IQR</t>
  </si>
  <si>
    <t xml:space="preserve">A stratification finding, and usually the project</t>
  </si>
  <si>
    <t xml:space="preserve">•  Computing a mean and a capability index on visibly bimodal data.</t>
  </si>
  <si>
    <t xml:space="preserve">•  Choosing bin widths that hide the structure, or that create structure that is not there.</t>
  </si>
  <si>
    <t xml:space="preserve">•  Deleting outliers because they spoil the picture, instead of investigating what produced them.</t>
  </si>
  <si>
    <t xml:space="preserve">•  Reading a histogram as evidence of stability — it has no time axis at all.</t>
  </si>
  <si>
    <t xml:space="preserve">•  Comparing groups by their means alone when the box plot shows the spreads differ.</t>
  </si>
  <si>
    <t xml:space="preserve">Q1.  A histogram of fill volume has two clear peaks. What is the first thing to do?</t>
  </si>
  <si>
    <t xml:space="preserve">A1.  Stratify. Two peaks almost always mean two populations — two shifts, two valves, two suppliers, two settings. Split the data by the candidate strata and re-plot. Any mean, standard deviation or capability index computed on the mixed data describes a distribution that does not exist.</t>
  </si>
  <si>
    <t xml:space="preserve">Q2.  Why is a point beyond the 1.5 x IQR fence a candidate outlier rather than an outlier?</t>
  </si>
  <si>
    <t xml:space="preserve">A2.  Because the fence is a statistical screen, not a verdict on the point. Roughly 0.7% of normal data falls beyond the fences by chance. The point becomes an outlier only when investigation finds a special cause; until then it is data.</t>
  </si>
  <si>
    <t xml:space="preserve">Q3.  Can a histogram tell you whether a process is in control?</t>
  </si>
  <si>
    <t xml:space="preserve">A3.  No. A histogram has no time axis, so a steadily drifting process and a stable one can produce identical histograms. Stability is a question about time order, and it needs a run chart (H-08) or a control chart (E-49).</t>
  </si>
  <si>
    <t xml:space="preserve">H-08 — Run Chart and Trend Analysis</t>
  </si>
  <si>
    <t xml:space="preserve">Phase: MEASURE   |   Data required: Measurements in strict time order   |   Min. sample: 20-25 observations   |   Complexity: 1/5   |   Output: A time-ordered plot with the median, a run count and the four run tests</t>
  </si>
  <si>
    <t xml:space="preserve">Is this process changing over time, and is what I am seeing a pattern or just noise?</t>
  </si>
  <si>
    <t xml:space="preserve">Before any control chart, whenever you want to know whether something changed, and to show a before/after effect.</t>
  </si>
  <si>
    <t xml:space="preserve">A time-ordered picture with the median, plus four objective tests for non-random behaviour.</t>
  </si>
  <si>
    <t xml:space="preserve">A run chart is the simplest useful chart in the toolkit: the measurements plotted in the order they were taken, with a horizontal line at the median. It requires no control limits, no assumption of normality and no subgroup structure.</t>
  </si>
  <si>
    <t xml:space="preserve">Its power is that it restores the time axis. A histogram cannot distinguish a stable process from one that has drifted steadily across the whole period, because it has thrown away the order. Most real process questions are questions about time.</t>
  </si>
  <si>
    <t xml:space="preserve">The centre line is the median rather than the mean, and deliberately so: the run tests are counting points above and below the line, and the median guarantees roughly half fall on each side regardless of skewness or outliers.</t>
  </si>
  <si>
    <t xml:space="preserve">Four classical tests turn visual impression into something objective. Too few runs means the level has shifted. Too many runs means the data is alternating more than chance allows — usually two populations plotted together, or a process being over-adjusted. Six or more consecutive points on one side of the median is a sustained shift. Six or more consecutive points moving in the same direction is a trend.</t>
  </si>
  <si>
    <t xml:space="preserve">A run chart is not a control chart. It has no control limits, so it cannot separate common cause from special cause in the Shewhart sense. It is the right first look, and E-49 onwards is the right second one.</t>
  </si>
  <si>
    <t xml:space="preserve">✓  As the first look at any time-ordered data, before choosing a control chart.</t>
  </si>
  <si>
    <t xml:space="preserve">✗  The order of the observations is unknown or has been lost — the chart would be meaningless.</t>
  </si>
  <si>
    <t xml:space="preserve">✓  To show a before/after effect honestly, with all the points visible rather than two bars.</t>
  </si>
  <si>
    <t xml:space="preserve">✗  You need control limits and special-cause rules; go to E-49 and E-56.</t>
  </si>
  <si>
    <t xml:space="preserve">✓  When you have too few points, or no rational subgroup, for a control chart.</t>
  </si>
  <si>
    <t xml:space="preserve">✗  Fewer than about 20 points, where the run tests have very little power.</t>
  </si>
  <si>
    <t xml:space="preserve">✓  To detect drift, cycles and step changes that summary statistics hide completely.</t>
  </si>
  <si>
    <t xml:space="preserve">The data is in true time order</t>
  </si>
  <si>
    <t xml:space="preserve">Check the timestamps, not the row order in the file</t>
  </si>
  <si>
    <t xml:space="preserve">Reorder before plotting; a run chart on shuffled data proves nothing</t>
  </si>
  <si>
    <t xml:space="preserve">The measurement method did not change during the period</t>
  </si>
  <si>
    <t xml:space="preserve">Confirm the gauge, the method and the operators over the window</t>
  </si>
  <si>
    <t xml:space="preserve">Split the chart at the change point and analyse the parts separately</t>
  </si>
  <si>
    <t xml:space="preserve">Points equal to the median are excluded from the run count</t>
  </si>
  <si>
    <t xml:space="preserve">Check how ties are handled</t>
  </si>
  <si>
    <t xml:space="preserve">Exclude them; including ties inflates the run count</t>
  </si>
  <si>
    <t xml:space="preserve">There are enough points for the tests</t>
  </si>
  <si>
    <t xml:space="preserve">20-25 observations minimum</t>
  </si>
  <si>
    <t xml:space="preserve">Collect more before concluding anything from the run tests</t>
  </si>
  <si>
    <t xml:space="preserve">Centre line  =  MEDIAN of all observations   (not the mean) A RUN         =  one or more consecutive points on the same side of the median Points exactly on the median are excluded from the run count.</t>
  </si>
  <si>
    <t xml:space="preserve">Expected number of runs, with n1 points above and n2 below:</t>
  </si>
  <si>
    <t xml:space="preserve">   E(R)    =  2 x n1 x n2 / (n1 + n2)  +  1</t>
  </si>
  <si>
    <t xml:space="preserve">Var(R)  =  2 x n1 x n2 x (2 x n1 x n2 - n1 - n2) / [ (n1+n2)^2 x (n1+n2-1) ] Lower critical value  =  E(R)  -  1.96 x SQRT(Var(R)) Upper critical value  =  E(R)  +  1.96 x SQRT(Var(R))</t>
  </si>
  <si>
    <t xml:space="preserve">THE FOUR TESTS:</t>
  </si>
  <si>
    <t xml:space="preserve">   1  Too few runs        →  the level has shifted</t>
  </si>
  <si>
    <t xml:space="preserve">2  Too many runs       →  two populations, or over-control 3  Six or more consecutive points on one side of the median  →  a sustained shift 4  Six or more consecutive points moving in one direction    →  a trend</t>
  </si>
  <si>
    <t xml:space="preserve">MEDIAN($D$60:$D$89)</t>
  </si>
  <si>
    <t xml:space="preserve">Centre line, held constant down the column so it plots as a straight line</t>
  </si>
  <si>
    <t xml:space="preserve">COUNTIF(range, "above")</t>
  </si>
  <si>
    <t xml:space="preserve">Counts points above and below the median for the run tests</t>
  </si>
  <si>
    <t xml:space="preserve">Comparison with the row above</t>
  </si>
  <si>
    <t xml:space="preserve">IF(F61=F60, 0, 1)</t>
  </si>
  <si>
    <t xml:space="preserve">Flags the start of each new run so SUM counts the runs</t>
  </si>
  <si>
    <t xml:space="preserve">ROW</t>
  </si>
  <si>
    <t xml:space="preserve">IF(ROW()=ROW($D$60), 1, ...)</t>
  </si>
  <si>
    <t xml:space="preserve">Handles the first row, which has no previous point to compare with</t>
  </si>
  <si>
    <t xml:space="preserve">SQRT(Var(R))</t>
  </si>
  <si>
    <t xml:space="preserve">Standard deviation of the run count, for the critical values</t>
  </si>
  <si>
    <t xml:space="preserve">Line chart with two series</t>
  </si>
  <si>
    <t xml:space="preserve">LineChart with the data and the median</t>
  </si>
  <si>
    <t xml:space="preserve">Observations plus a flat median line</t>
  </si>
  <si>
    <t xml:space="preserve">Scenario: 30 consecutive changeovers on the PET line. The first 20 are before the SMED implementation of L-15; the last 10 are after it. The run tests are asked whether the change is a real shift or noise.</t>
  </si>
  <si>
    <t xml:space="preserve">Run chart data — observations in strict time order</t>
  </si>
  <si>
    <t xml:space="preserve">Observation #</t>
  </si>
  <si>
    <t xml:space="preserve">Changeover time (min)</t>
  </si>
  <si>
    <t xml:space="preserve">Median (constant)</t>
  </si>
  <si>
    <t xml:space="preserve">Above or below the median</t>
  </si>
  <si>
    <t xml:space="preserve">Start of a new run? 1/0</t>
  </si>
  <si>
    <t xml:space="preserve">Direction vs previous</t>
  </si>
  <si>
    <t xml:space="preserve">Length of the current run</t>
  </si>
  <si>
    <t xml:space="preserve">Consecutive moves in one direction</t>
  </si>
  <si>
    <t xml:space="preserve">Wk 1</t>
  </si>
  <si>
    <t xml:space="preserve">Wk 2</t>
  </si>
  <si>
    <t xml:space="preserve">Wk 3</t>
  </si>
  <si>
    <t xml:space="preserve">Wk 4</t>
  </si>
  <si>
    <t xml:space="preserve">Wk 5</t>
  </si>
  <si>
    <t xml:space="preserve">Wk 6</t>
  </si>
  <si>
    <t xml:space="preserve">Run chart tests — the four classical non-random patterns</t>
  </si>
  <si>
    <t xml:space="preserve">What it detects</t>
  </si>
  <si>
    <t xml:space="preserve">Observed</t>
  </si>
  <si>
    <t xml:space="preserve">Critical value</t>
  </si>
  <si>
    <t xml:space="preserve">Signal?</t>
  </si>
  <si>
    <t xml:space="preserve">1  Too few runs</t>
  </si>
  <si>
    <t xml:space="preserve">A shift in the process level</t>
  </si>
  <si>
    <t xml:space="preserve">Fewer runs than the critical value</t>
  </si>
  <si>
    <t xml:space="preserve">2  Too many runs</t>
  </si>
  <si>
    <t xml:space="preserve">Mixing of two populations, or over-control</t>
  </si>
  <si>
    <t xml:space="preserve">More runs than the upper critical value</t>
  </si>
  <si>
    <t xml:space="preserve">3  Long run (clustering)</t>
  </si>
  <si>
    <t xml:space="preserve">A sustained shift in level</t>
  </si>
  <si>
    <t xml:space="preserve">6 or more consecutive points on one side of the median</t>
  </si>
  <si>
    <t xml:space="preserve">4  Trend</t>
  </si>
  <si>
    <t xml:space="preserve">A steady drift up or down</t>
  </si>
  <si>
    <t xml:space="preserve">6 or more consecutive points moving in the same direction</t>
  </si>
  <si>
    <t xml:space="preserve">Observations</t>
  </si>
  <si>
    <t xml:space="preserve">At least 20 before the run tests are meaningful</t>
  </si>
  <si>
    <t xml:space="preserve">The centre line of a run chart is the median, not the mean</t>
  </si>
  <si>
    <t xml:space="preserve">Points above the median</t>
  </si>
  <si>
    <t xml:space="preserve">Points below the median</t>
  </si>
  <si>
    <t xml:space="preserve">Number of runs</t>
  </si>
  <si>
    <t xml:space="preserve">A run is a sequence of consecutive points on one side</t>
  </si>
  <si>
    <t xml:space="preserve">First 20 mean</t>
  </si>
  <si>
    <t xml:space="preserve">Before the SMED change</t>
  </si>
  <si>
    <t xml:space="preserve">Last 10 mean</t>
  </si>
  <si>
    <t xml:space="preserve">After the SMED change</t>
  </si>
  <si>
    <t xml:space="preserve">Shift in level</t>
  </si>
  <si>
    <t xml:space="preserve">The change the run chart is showing</t>
  </si>
  <si>
    <t xml:space="preserve">Between the lower and upper critical values</t>
  </si>
  <si>
    <t xml:space="preserve">Outside either bound is a non-random signal</t>
  </si>
  <si>
    <t xml:space="preserve">Too few runs</t>
  </si>
  <si>
    <t xml:space="preserve">Below the lower critical value</t>
  </si>
  <si>
    <t xml:space="preserve">A shift in level — find what changed and when</t>
  </si>
  <si>
    <t xml:space="preserve">Too many runs</t>
  </si>
  <si>
    <t xml:space="preserve">Above the upper critical value</t>
  </si>
  <si>
    <t xml:space="preserve">Two populations plotted together, or over-adjustment</t>
  </si>
  <si>
    <t xml:space="preserve">6 consecutive on one side</t>
  </si>
  <si>
    <t xml:space="preserve">Sustained shift, even if the total run count looks acceptable</t>
  </si>
  <si>
    <t xml:space="preserve">6 consecutive in one direction</t>
  </si>
  <si>
    <t xml:space="preserve">Trend — the process is drifting, not oscillating</t>
  </si>
  <si>
    <t xml:space="preserve">•  Using the mean as the centre line, which breaks the logic of the run tests on skewed data.</t>
  </si>
  <si>
    <t xml:space="preserve">•  Plotting data whose time order has been lost or sorted away.</t>
  </si>
  <si>
    <t xml:space="preserve">•  Reacting to every up-and-down movement, which is over-control and will make the process worse.</t>
  </si>
  <si>
    <t xml:space="preserve">•  Treating a run chart as a control chart and calling ordinary variation a special cause.</t>
  </si>
  <si>
    <t xml:space="preserve">•  Drawing the chart with fewer than 20 points and concluding that there is no signal.</t>
  </si>
  <si>
    <t xml:space="preserve">Q1.  Why is the centre line of a run chart the median rather than the mean?</t>
  </si>
  <si>
    <t xml:space="preserve">A1.  Because the run tests count points above and below the line, and the median guarantees roughly half fall on each side regardless of skewness or outliers. A mean pulled by a few extreme values would put most points on one side and generate false signals.</t>
  </si>
  <si>
    <t xml:space="preserve">Q2.  A run chart of 30 points has only 4 runs. What does that mean?</t>
  </si>
  <si>
    <t xml:space="preserve">A2.  Far fewer runs than chance would produce, which is the signature of a shift in level: the points cluster on one side and then on the other. Look for what changed at the transition point — in this example, the SMED implementation between observation 20 and 21.</t>
  </si>
  <si>
    <t xml:space="preserve">Q3.  What can a control chart tell you that a run chart cannot?</t>
  </si>
  <si>
    <t xml:space="preserve">A3.  Whether a point is beyond the limits of common-cause variation. A run chart has no control limits, so it detects patterns — shifts, trends, clustering — but cannot say whether a single high point is a special cause. That requires E-49 onwards and the Nelson rules on E-56.</t>
  </si>
  <si>
    <t xml:space="preserve">H-09 — Stratification</t>
  </si>
  <si>
    <t xml:space="preserve">Phase: ANALYZE   |   Data required: Existing measurements plus the stratum each one came from   |   Min. sample: At least 10 per stratum   |   Complexity: 2/5   |   Output: Per-stratum means, spreads and confidence intervals, and whether the factor explains the variation</t>
  </si>
  <si>
    <t xml:space="preserve">Is this one population, or several different populations that have been averaged together?</t>
  </si>
  <si>
    <t xml:space="preserve">The moment a histogram looks bimodal, a box plot shows separated groups, or a total hides a difference nobody has looked for.</t>
  </si>
  <si>
    <t xml:space="preserve">The same data split by a factor, with each group's centre and spread, and a verdict on whether the split explains anything.</t>
  </si>
  <si>
    <t xml:space="preserve">Stratification is the habit of asking, before anything else, whether the data in front of you came from one process or from several. It requires no new measurements — only that the relevant factor was recorded alongside each reading.</t>
  </si>
  <si>
    <t xml:space="preserve">It is the cheapest analysis in the toolkit and one of the most productive. A mean computed across two shifts that behave differently describes neither shift, and every subsequent calculation built on it — capability, control limits, a t-test against a target — inherits the error.</t>
  </si>
  <si>
    <t xml:space="preserve">The comparison that matters is between-stratum spread against within-stratum spread. If the gap between group means is large relative to the variation inside the groups, the factor explains something real.</t>
  </si>
  <si>
    <t xml:space="preserve">If it is small, the factor is not where the variation lives, and you should try another one.</t>
  </si>
  <si>
    <t xml:space="preserve">On a packaging line the productive factors are usually the ones nobody recorded: filling valve number, mould cavity, and before-versus-after changeover. A fill volume problem that looks like random noise across the whole filler frequently turns out to be three valves out of forty.</t>
  </si>
  <si>
    <t xml:space="preserve">Stratification finds where the difference is. It does not find why. Once a stratum is identified, the difference must be confirmed statistically (E-24, E-26) and then explained (H-10, H-11).</t>
  </si>
  <si>
    <t xml:space="preserve">One caution: a shift difference is a system finding, not a people finding. It nearly always points to a method, training or handover gap rather than to the crew.</t>
  </si>
  <si>
    <t xml:space="preserve">✓  Whenever a histogram is bimodal or a box plot shows separated groups.</t>
  </si>
  <si>
    <t xml:space="preserve">✗  The stratum factor was not recorded — go back and record it, do not guess.</t>
  </si>
  <si>
    <t xml:space="preserve">✓  Before computing any capability index or setting any control limit.</t>
  </si>
  <si>
    <t xml:space="preserve">✗  Fewer than about 10 observations per stratum, where the comparison is unstable.</t>
  </si>
  <si>
    <t xml:space="preserve">✓  As the first analysis step in Analyze, before building a fishbone.</t>
  </si>
  <si>
    <t xml:space="preserve">✗  As proof of causation. Stratification locates a difference; it does not explain it.</t>
  </si>
  <si>
    <t xml:space="preserve">✓  When a total looks acceptable and you suspect it is hiding a problem in one group.</t>
  </si>
  <si>
    <t xml:space="preserve">The stratum was recorded with each observation</t>
  </si>
  <si>
    <t xml:space="preserve">Check the data collection sheet</t>
  </si>
  <si>
    <t xml:space="preserve">Add the factor to the collection plan and recollect — this is the commonest blocker</t>
  </si>
  <si>
    <t xml:space="preserve">Each stratum has enough observations</t>
  </si>
  <si>
    <t xml:space="preserve">At least 10, preferably 20 per group</t>
  </si>
  <si>
    <t xml:space="preserve">Collect more before comparing; small groups produce spurious differences</t>
  </si>
  <si>
    <t xml:space="preserve">The measurement system is the same across strata</t>
  </si>
  <si>
    <t xml:space="preserve">Same gauge, same method, same operators</t>
  </si>
  <si>
    <t xml:space="preserve">A measurement difference will look exactly like a process difference</t>
  </si>
  <si>
    <t xml:space="preserve">The difference is confirmed statistically before it is acted on</t>
  </si>
  <si>
    <t xml:space="preserve">Run the appropriate test on the strata</t>
  </si>
  <si>
    <t xml:space="preserve">Confirm with a 2-sample t-test or ANOVA before investing in a cause</t>
  </si>
  <si>
    <t xml:space="preserve">E-26  One-Way ANOVA</t>
  </si>
  <si>
    <t xml:space="preserve">For each stratum:  n, mean, standard deviation</t>
  </si>
  <si>
    <t xml:space="preserve">   standard error  =  s / SQRT(n)</t>
  </si>
  <si>
    <t xml:space="preserve">   95% CI          =  mean  +/-  1.96 x standard error</t>
  </si>
  <si>
    <t xml:space="preserve">Overall mean (weighted)  =  SUMPRODUCT(n, mean) / SUM(n) Between-stratum spread   =  MAX(stratum means)  -  MIN(stratum means) Within-stratum spread    =  average of the stratum standard deviations</t>
  </si>
  <si>
    <t xml:space="preserve">Ratio  =  between-stratum spread / average within-stratum SD &gt; 2   the factor explains more than it hides — stratify and investigate &lt; 1   the factor is not where the variation lives — try another one</t>
  </si>
  <si>
    <t xml:space="preserve">This ratio is the intuition behind the F statistic in ANOVA (E-26), which formalises the same comparison.</t>
  </si>
  <si>
    <t xml:space="preserve">SUMPRODUCT(n, means)/SUM(n)</t>
  </si>
  <si>
    <t xml:space="preserve">Weighted overall mean, correct when the strata differ in size</t>
  </si>
  <si>
    <t xml:space="preserve">s/SQRT(n)</t>
  </si>
  <si>
    <t xml:space="preserve">Standard error of a stratum mean</t>
  </si>
  <si>
    <t xml:space="preserve">MAX(means)-MIN(means)</t>
  </si>
  <si>
    <t xml:space="preserve">Between-stratum spread</t>
  </si>
  <si>
    <t xml:space="preserve">COUNTIF(range, "DIFFERENT*")</t>
  </si>
  <si>
    <t xml:space="preserve">Counts the strata flagged as different</t>
  </si>
  <si>
    <t xml:space="preserve">INDEX(strata, MATCH(MAX(mean), mean, 0))</t>
  </si>
  <si>
    <t xml:space="preserve">Names the highest and lowest strata</t>
  </si>
  <si>
    <t xml:space="preserve">Scenario: the same 60 fill volume readings analysed on H-07, split by shift. Shift C is visibly higher than the other three; the question is whether that difference is large relative to the variation inside each shift.</t>
  </si>
  <si>
    <t xml:space="preserve">Step 1 — the same 60 fill volume readings, split by candidate stratum</t>
  </si>
  <si>
    <t xml:space="preserve">Stratification does not need new data. It needs the data you already have, split by a factor you already recorded. If the factor was not recorded, that is the finding — go back to the data collection plan (E-06) and record it.</t>
  </si>
  <si>
    <t xml:space="preserve">Stratum</t>
  </si>
  <si>
    <t xml:space="preserve">Standard deviation (ml)</t>
  </si>
  <si>
    <t xml:space="preserve">Difference vs the overall mean</t>
  </si>
  <si>
    <t xml:space="preserve">95% CI lower</t>
  </si>
  <si>
    <t xml:space="preserve">95% CI upper</t>
  </si>
  <si>
    <t xml:space="preserve">Step 2 — does stratifying explain the variation?</t>
  </si>
  <si>
    <t xml:space="preserve">Overall n</t>
  </si>
  <si>
    <t xml:space="preserve">readings</t>
  </si>
  <si>
    <t xml:space="preserve">Overall mean</t>
  </si>
  <si>
    <t xml:space="preserve">Weighted by stratum size</t>
  </si>
  <si>
    <t xml:space="preserve">Largest stratum mean minus smallest</t>
  </si>
  <si>
    <t xml:space="preserve">Average within-stratum SD</t>
  </si>
  <si>
    <t xml:space="preserve">Typical spread inside a stratum</t>
  </si>
  <si>
    <t xml:space="preserve">Ratio between / within</t>
  </si>
  <si>
    <t xml:space="preserve">Above ~2 means the stratum explains more than it hides</t>
  </si>
  <si>
    <t xml:space="preserve">Highest stratum</t>
  </si>
  <si>
    <t xml:space="preserve">Lowest stratum</t>
  </si>
  <si>
    <t xml:space="preserve">Strata flagged different</t>
  </si>
  <si>
    <t xml:space="preserve">strata</t>
  </si>
  <si>
    <t xml:space="preserve">Each one is a separate investigation</t>
  </si>
  <si>
    <t xml:space="preserve">Step 3 — candidate stratification factors on a packaging line</t>
  </si>
  <si>
    <t xml:space="preserve">Why it is worth splitting by</t>
  </si>
  <si>
    <t xml:space="preserve">Was it recorded?</t>
  </si>
  <si>
    <t xml:space="preserve">What a difference would mean</t>
  </si>
  <si>
    <t xml:space="preserve">Shift / crew</t>
  </si>
  <si>
    <t xml:space="preserve">Method, training and handover differ between crews</t>
  </si>
  <si>
    <t xml:space="preserve">A standard work or training gap, not a people problem</t>
  </si>
  <si>
    <t xml:space="preserve">Machine / line</t>
  </si>
  <si>
    <t xml:space="preserve">Two nominally identical machines rarely behave identically</t>
  </si>
  <si>
    <t xml:space="preserve">Maintenance condition or set-up difference</t>
  </si>
  <si>
    <t xml:space="preserve">Filling valve number</t>
  </si>
  <si>
    <t xml:space="preserve">Individual valves wear and foul at different rates</t>
  </si>
  <si>
    <t xml:space="preserve">A maintenance target, and the single most common finding on a filler</t>
  </si>
  <si>
    <t xml:space="preserve">Mould cavity</t>
  </si>
  <si>
    <t xml:space="preserve">Cavity-to-cavity variation in preform and bottle geometry</t>
  </si>
  <si>
    <t xml:space="preserve">Tooling wear or cooling difference</t>
  </si>
  <si>
    <t xml:space="preserve">Preform supplier / batch</t>
  </si>
  <si>
    <t xml:space="preserve">Material variation arrives with the batch</t>
  </si>
  <si>
    <t xml:space="preserve">A supplier quality conversation</t>
  </si>
  <si>
    <t xml:space="preserve">Product / SKU</t>
  </si>
  <si>
    <t xml:space="preserve">Different viscosity, foaming and target volumes</t>
  </si>
  <si>
    <t xml:space="preserve">The setting is not right for every product</t>
  </si>
  <si>
    <t xml:space="preserve">Time of day / hour</t>
  </si>
  <si>
    <t xml:space="preserve">Temperature and fatigue vary through the shift</t>
  </si>
  <si>
    <t xml:space="preserve">An environmental or ergonomic cause</t>
  </si>
  <si>
    <t xml:space="preserve">Before vs after changeover</t>
  </si>
  <si>
    <t xml:space="preserve">Set-up quality differs from steady running</t>
  </si>
  <si>
    <t xml:space="preserve">A set-up capability problem — go to L-15</t>
  </si>
  <si>
    <t xml:space="preserve">Between / within ratio</t>
  </si>
  <si>
    <t xml:space="preserve">&gt; 2</t>
  </si>
  <si>
    <t xml:space="preserve">The factor explains more variation than it hides</t>
  </si>
  <si>
    <t xml:space="preserve">Confidence intervals</t>
  </si>
  <si>
    <t xml:space="preserve">Non-overlapping</t>
  </si>
  <si>
    <t xml:space="preserve">A quick visual test that two strata genuinely differ</t>
  </si>
  <si>
    <t xml:space="preserve">Observations per stratum</t>
  </si>
  <si>
    <t xml:space="preserve">&gt;= 10</t>
  </si>
  <si>
    <t xml:space="preserve">Below this the comparison is unstable</t>
  </si>
  <si>
    <t xml:space="preserve">Unrecorded candidate factors</t>
  </si>
  <si>
    <t xml:space="preserve">Valve number and cavity number are the two most productive on a filler</t>
  </si>
  <si>
    <t xml:space="preserve">•  Computing capability or control limits on pooled data that contains two populations.</t>
  </si>
  <si>
    <t xml:space="preserve">•  Concluding causation from a stratum difference without confirming it statistically.</t>
  </si>
  <si>
    <t xml:space="preserve">•  Treating a shift difference as a people problem rather than as a method or training gap.</t>
  </si>
  <si>
    <t xml:space="preserve">•  Stratifying by the factor that was easy to record instead of the one that matters.</t>
  </si>
  <si>
    <t xml:space="preserve">•  Giving up after one factor shows nothing — the productive factor is usually the third or fourth one tried.</t>
  </si>
  <si>
    <t xml:space="preserve">Q1.  Between-stratum spread is 3.0 ml and the average within-stratum SD is 0.7 ml. What does that tell you?</t>
  </si>
  <si>
    <t xml:space="preserve">A1.  A ratio of about 4.3 — the differences between strata are far larger than the variation inside them, so the factor explains a great deal. The data is not one population, and the analysis should now focus on the stratum that differs rather than on the pooled data.</t>
  </si>
  <si>
    <t xml:space="preserve">Q2.  Why is valve number so often the productive stratification factor on a filler?</t>
  </si>
  <si>
    <t xml:space="preserve">A2.  Because each valve is a separate mechanical system with its own wear, seal condition and flow characteristic. A fill volume distribution that looks like random noise across the whole machine is frequently three or four valves behaving differently — invisible unless the valve number was recorded.</t>
  </si>
  <si>
    <t xml:space="preserve">Q3.  Shift C runs 3 ml higher than the other three shifts. What is the correct conclusion?</t>
  </si>
  <si>
    <t xml:space="preserve">A3.  That there is a system difference associated with shift C — most likely a different set-up practice, a different interpretation of the standard, or a handover gap. It is a finding about the method, not about the people, and the next step is to observe the shift (L-22) and compare against the standard (L-14).</t>
  </si>
  <si>
    <t xml:space="preserve">H-10 — Ishikawa / Fishbone Diagram</t>
  </si>
  <si>
    <t xml:space="preserve">Phase: ANALYZE   |   Data required: Team knowledge, then data to verify each candidate cause   |   Min. sample: n/a   |   Complexity: 1/5   |   Output: A structured, rated and verified list of candidate causes</t>
  </si>
  <si>
    <t xml:space="preserve">What could be causing this effect, across the whole system rather than in the one place we already suspect?</t>
  </si>
  <si>
    <t xml:space="preserve">At the start of Analyze, after the problem is quantified and stratified, and before anybody proposes a solution.</t>
  </si>
  <si>
    <t xml:space="preserve">A structured list of candidate causes across six categories, rated and marked verified, ruled out or open.</t>
  </si>
  <si>
    <t xml:space="preserve">The fishbone is a structured brainstorm. Its value is not the diagram but the structure: six categories force the team to look in places it would not have looked, particularly Measurement and Method, which are where a surprising share of real causes live.</t>
  </si>
  <si>
    <t xml:space="preserve">The 6M categories are Machine, Method, Man, Material, Measurement and Mother Nature. Service processes often use the 4P or 8P variants instead, but the principle is the same — a checklist that prevents the team from spending the whole session inside the category it already believes in.</t>
  </si>
  <si>
    <t xml:space="preserve">Measurement deserves particular attention and is the most commonly skipped. Before investigating the process, it is worth asking whether the problem is in the process at all or in how it is measured. This is why an MSA belongs in Measure, before Analyze begins.</t>
  </si>
  <si>
    <t xml:space="preserve">A fishbone produces hypotheses, not conclusions. Every branch must earn its place with data, and the most useful column on this sheet is 'can it be verified with data'. A cause that cannot be tested is an opinion, and opinions cannot be eliminated — which means the list never gets shorter.</t>
  </si>
  <si>
    <t xml:space="preserve">Ruling a cause out is progress. A team that has eliminated six causes with evidence has learned more than a team that has confirmed one, because elimination is what narrows the search.</t>
  </si>
  <si>
    <t xml:space="preserve">Run the brainstorm with the operators. The Man category in particular tends to produce blame when written by managers and system insight when written with the people doing the work — 'shift C sets high because they fear underfill complaints' is a method and feedback problem, not a discipline problem.</t>
  </si>
  <si>
    <t xml:space="preserve">✓  At the start of Analyze, once the problem is quantified and stratified.</t>
  </si>
  <si>
    <t xml:space="preserve">✗  The cause is already known and verified — go to solution design.</t>
  </si>
  <si>
    <t xml:space="preserve">✓  When the team has converged on one cause too quickly and needs to widen the search.</t>
  </si>
  <si>
    <t xml:space="preserve">✗  As a substitute for data. A fishbone with no verification column is a wall of opinions.</t>
  </si>
  <si>
    <t xml:space="preserve">✓  As the input to the Cause and Effect matrix (H-12), which ranks what the fishbone lists.</t>
  </si>
  <si>
    <t xml:space="preserve">✗  For a simple, single-cause problem, where 5 Whys (H-11) is faster and sharper.</t>
  </si>
  <si>
    <t xml:space="preserve">✓  In a Kaizen event or an A3, as the standard structure for the analysis section.</t>
  </si>
  <si>
    <t xml:space="preserve">The effect is quantified before the brainstorm</t>
  </si>
  <si>
    <t xml:space="preserve">The head of the fish contains a number, not an adjective</t>
  </si>
  <si>
    <t xml:space="preserve">Quantify it first; a vague effect produces vague causes</t>
  </si>
  <si>
    <t xml:space="preserve">The data has already been stratified</t>
  </si>
  <si>
    <t xml:space="preserve">Check whether the effect differs by shift, machine or valve</t>
  </si>
  <si>
    <t xml:space="preserve">Stratify first — it often eliminates half the fishbone before it is drawn</t>
  </si>
  <si>
    <t xml:space="preserve">Every cause can be verified with data</t>
  </si>
  <si>
    <t xml:space="preserve">Fill the 'can it be verified' column honestly</t>
  </si>
  <si>
    <t xml:space="preserve">Reword the cause until it is testable, or discard it</t>
  </si>
  <si>
    <t xml:space="preserve">The people who do the work are in the room</t>
  </si>
  <si>
    <t xml:space="preserve">Check who contributed to the branches</t>
  </si>
  <si>
    <t xml:space="preserve">Redo the session with the operators; otherwise Man becomes a blame category</t>
  </si>
  <si>
    <t xml:space="preserve">There is no equation. The structure is the method:</t>
  </si>
  <si>
    <t xml:space="preserve">   THE 6M CATEGORIES:  Machine · Method · Man · Material · Measurement · Mother Nature</t>
  </si>
  <si>
    <t xml:space="preserve">Priority score used on this sheet, to order the follow-up work:</t>
  </si>
  <si>
    <t xml:space="preserve">   verified   →  likelihood x 2</t>
  </si>
  <si>
    <t xml:space="preserve">   not yet    →  likelihood</t>
  </si>
  <si>
    <t xml:space="preserve">   ruled out  →  0</t>
  </si>
  <si>
    <t xml:space="preserve">Discipline rules:</t>
  </si>
  <si>
    <t xml:space="preserve">   1. Quantify the effect before brainstorming the causes</t>
  </si>
  <si>
    <t xml:space="preserve">   2. Every branch must be verifiable with data — otherwise it is an opinion</t>
  </si>
  <si>
    <t xml:space="preserve">   3. Ruling a cause out with evidence counts as progress</t>
  </si>
  <si>
    <t xml:space="preserve">   4. Verified causes go to the Cause and Effect matrix (H-12), then to FMEA (H-13)</t>
  </si>
  <si>
    <t xml:space="preserve">IF(status="Verified", L*2, IF(status="Ruled out", 0, L))</t>
  </si>
  <si>
    <t xml:space="preserve">Priority score that rewards verification</t>
  </si>
  <si>
    <t xml:space="preserve">COUNTIF(status, "Verified")</t>
  </si>
  <si>
    <t xml:space="preserve">Counts causes in each verification state</t>
  </si>
  <si>
    <t xml:space="preserve">INDEX(causes, MATCH(MAX(score), score, 0))</t>
  </si>
  <si>
    <t xml:space="preserve">Names the highest-priority verified cause</t>
  </si>
  <si>
    <t xml:space="preserve">Total causes listed</t>
  </si>
  <si>
    <t xml:space="preserve">Scenario: the fill volume problem from H-01 and H-09. Twelve candidate causes brainstormed with both shift crews and the maintenance technician, then each one rated and pursued with data over three weeks.</t>
  </si>
  <si>
    <t xml:space="preserve">Problem statement — the head of the fish</t>
  </si>
  <si>
    <t xml:space="preserve">Effect being explained</t>
  </si>
  <si>
    <t xml:space="preserve">Fill volume on the 500 ml PET line runs 3.1 ml above target, and shift C runs 3 ml above the other shifts</t>
  </si>
  <si>
    <t xml:space="preserve">Innofil filler, 500 ml SKU, all shifts, since the February 2026 valve overhaul</t>
  </si>
  <si>
    <t xml:space="preserve">How big</t>
  </si>
  <si>
    <t xml:space="preserve">Mean 503.1 ml against a 500.0 ml target; 4.2% outside the 498-502 ml limits</t>
  </si>
  <si>
    <t xml:space="preserve">The 6M cause list — brainstormed with the crew, then rated and verified</t>
  </si>
  <si>
    <t xml:space="preserve">6M category</t>
  </si>
  <si>
    <t xml:space="preserve">Possible cause</t>
  </si>
  <si>
    <t xml:space="preserve">How it could produce the effect</t>
  </si>
  <si>
    <t xml:space="preserve">Likelihood 1-5</t>
  </si>
  <si>
    <t xml:space="preserve">Can it be verified with data?</t>
  </si>
  <si>
    <t xml:space="preserve">Verification status</t>
  </si>
  <si>
    <t xml:space="preserve">Priority score</t>
  </si>
  <si>
    <t xml:space="preserve">MACHINE</t>
  </si>
  <si>
    <t xml:space="preserve">Filling valve seat wear on some valves</t>
  </si>
  <si>
    <t xml:space="preserve">Worn seats close late and overfill</t>
  </si>
  <si>
    <t xml:space="preserve">Verified</t>
  </si>
  <si>
    <t xml:space="preserve">Valves 7, 19, 31 measured 2.8 ml high</t>
  </si>
  <si>
    <t xml:space="preserve">Height column position drift</t>
  </si>
  <si>
    <t xml:space="preserve">Bottle sits low, fills past the level probe</t>
  </si>
  <si>
    <t xml:space="preserve">Ruled out</t>
  </si>
  <si>
    <t xml:space="preserve">Position checked, within 0.1 mm</t>
  </si>
  <si>
    <t xml:space="preserve">Level probe fouling</t>
  </si>
  <si>
    <t xml:space="preserve">Fouled probe reads late, valve closes late</t>
  </si>
  <si>
    <t xml:space="preserve">Not yet</t>
  </si>
  <si>
    <t xml:space="preserve">METHOD</t>
  </si>
  <si>
    <t xml:space="preserve">No numeric standard for the fill setting</t>
  </si>
  <si>
    <t xml:space="preserve">Each shift sets by eye to avoid underfill</t>
  </si>
  <si>
    <t xml:space="preserve">Standard work Rev 3 has no numeric value</t>
  </si>
  <si>
    <t xml:space="preserve">Set-up not verified after changeover</t>
  </si>
  <si>
    <t xml:space="preserve">Set-up error persists for the whole run</t>
  </si>
  <si>
    <t xml:space="preserve">No first-article volume check in the standard</t>
  </si>
  <si>
    <t xml:space="preserve">MAN</t>
  </si>
  <si>
    <t xml:space="preserve">Shift C sets deliberately high</t>
  </si>
  <si>
    <t xml:space="preserve">Fear of underfill complaints</t>
  </si>
  <si>
    <t xml:space="preserve">Confirmed on the gemba walk; a rational response</t>
  </si>
  <si>
    <t xml:space="preserve">Training gap on the new HMI</t>
  </si>
  <si>
    <t xml:space="preserve">Recipe not recalled correctly</t>
  </si>
  <si>
    <t xml:space="preserve">All four shifts trained in March</t>
  </si>
  <si>
    <t xml:space="preserve">MATERIAL</t>
  </si>
  <si>
    <t xml:space="preserve">Preform weight variation between suppliers</t>
  </si>
  <si>
    <t xml:space="preserve">Bottle volume varies, level fill varies</t>
  </si>
  <si>
    <t xml:space="preserve">Product temperature variation</t>
  </si>
  <si>
    <t xml:space="preserve">Density and foaming change with temperature</t>
  </si>
  <si>
    <t xml:space="preserve">MEASUREMENT</t>
  </si>
  <si>
    <t xml:space="preserve">Checkweigher calibration drift</t>
  </si>
  <si>
    <t xml:space="preserve">The reading is wrong, not the process</t>
  </si>
  <si>
    <t xml:space="preserve">Gage R&amp;R passed at 6.2% of tolerance</t>
  </si>
  <si>
    <t xml:space="preserve">Sampling only from valve 1</t>
  </si>
  <si>
    <t xml:space="preserve">The sample does not represent the machine</t>
  </si>
  <si>
    <t xml:space="preserve">Sampling plan corrected to cover all valves</t>
  </si>
  <si>
    <t xml:space="preserve">MOTHER NATURE</t>
  </si>
  <si>
    <t xml:space="preserve">Ambient temperature swing day to night</t>
  </si>
  <si>
    <t xml:space="preserve">Product temperature follows the hall</t>
  </si>
  <si>
    <t xml:space="preserve">Causes listed</t>
  </si>
  <si>
    <t xml:space="preserve">A thin fishbone usually means a thin brainstorm</t>
  </si>
  <si>
    <t xml:space="preserve">Verified as contributing</t>
  </si>
  <si>
    <t xml:space="preserve">These go to the Cause and Effect matrix (H-12)</t>
  </si>
  <si>
    <t xml:space="preserve">Ruled out with evidence</t>
  </si>
  <si>
    <t xml:space="preserve">Eliminating causes is progress, not failure</t>
  </si>
  <si>
    <t xml:space="preserve">Still unverified</t>
  </si>
  <si>
    <t xml:space="preserve">The open list — each needs data</t>
  </si>
  <si>
    <t xml:space="preserve">Highest priority cause</t>
  </si>
  <si>
    <t xml:space="preserve">Verified and high likelihood</t>
  </si>
  <si>
    <t xml:space="preserve">Verified causes OUTSIDE the Machine category</t>
  </si>
  <si>
    <t xml:space="preserve">If this is above zero, replacing parts will not close the gap</t>
  </si>
  <si>
    <t xml:space="preserve">The 6M categories — a checklist so the brainstorm covers the whole system</t>
  </si>
  <si>
    <t xml:space="preserve">Typical questions on a packaging line</t>
  </si>
  <si>
    <t xml:space="preserve">Equipment, tooling, condition, settings</t>
  </si>
  <si>
    <t xml:space="preserve">What wears? What drifts? What was recently changed or overhauled?</t>
  </si>
  <si>
    <t xml:space="preserve">Procedure, standard work, sequence, set-up</t>
  </si>
  <si>
    <t xml:space="preserve">Is there a numeric standard? Is set-up verified? Do all shifts do it the same way?</t>
  </si>
  <si>
    <t xml:space="preserve">MAN (people)</t>
  </si>
  <si>
    <t xml:space="preserve">Skill, training, competence, motivation, staffing</t>
  </si>
  <si>
    <t xml:space="preserve">Who was trained, when, and what are they optimising for?</t>
  </si>
  <si>
    <t xml:space="preserve">Incoming material, consumables, batch variation</t>
  </si>
  <si>
    <t xml:space="preserve">What varies with the batch or the supplier?</t>
  </si>
  <si>
    <t xml:space="preserve">Gauge, method, sampling, operational definitions</t>
  </si>
  <si>
    <t xml:space="preserve">Is the problem in the process or in how we measure it?</t>
  </si>
  <si>
    <t xml:space="preserve">Environment: temperature, humidity, vibration, cleanliness</t>
  </si>
  <si>
    <t xml:space="preserve">What changes between day and night, or between seasons?</t>
  </si>
  <si>
    <t xml:space="preserve">A cause with a high likelihood but no way to verify it is not a cause — it is an opinion. The 'can it be verified with data' column is what separates a fishbone that leads somewhere from a wall of sticky notes.</t>
  </si>
  <si>
    <t xml:space="preserve">15-30 in a good session</t>
  </si>
  <si>
    <t xml:space="preserve">Fewer than 10 usually means the brainstorm was too narrow</t>
  </si>
  <si>
    <t xml:space="preserve">Verifiable causes</t>
  </si>
  <si>
    <t xml:space="preserve">An unverifiable cause can never be eliminated, so the list never shortens</t>
  </si>
  <si>
    <t xml:space="preserve">Categories represented</t>
  </si>
  <si>
    <t xml:space="preserve">All six considered</t>
  </si>
  <si>
    <t xml:space="preserve">Measurement is the most commonly skipped and the most commonly guilty</t>
  </si>
  <si>
    <t xml:space="preserve">Verified causes in more than one category</t>
  </si>
  <si>
    <t xml:space="preserve">Means no single counter-measure will close the gap</t>
  </si>
  <si>
    <t xml:space="preserve">•  Writing the fishbone before quantifying and stratifying the effect, which wastes the whole session.</t>
  </si>
  <si>
    <t xml:space="preserve">•  Skipping the Measurement category, and then spending months on a process that was never the problem.</t>
  </si>
  <si>
    <t xml:space="preserve">•  Letting the Man category become a blame list rather than a system-design question.</t>
  </si>
  <si>
    <t xml:space="preserve">•  Treating the diagram as the deliverable instead of the verification that follows it.</t>
  </si>
  <si>
    <t xml:space="preserve">•  Building it without the operators, who know which causes are real and which have already been tried.</t>
  </si>
  <si>
    <t xml:space="preserve">Q1.  Why is Measurement the most important 6M category to check first?</t>
  </si>
  <si>
    <t xml:space="preserve">A1.  Because if the measurement system is not capable, every other branch is being investigated against unreliable data. It is also the cheapest to test — a Gage R&amp;R takes a day and can eliminate the entire rest of the diagram.</t>
  </si>
  <si>
    <t xml:space="preserve">Q2.  A team lists 'operators are careless' as a cause. What is wrong with it, and how would you rewrite it?</t>
  </si>
  <si>
    <t xml:space="preserve">A2.  It is not verifiable, not actionable, and it assigns blame rather than describing a mechanism. Rewritten: 'the standard has no numeric fill setting, so each shift sets by eye to avoid underfill' — which is testable, explains the observed shift difference, and points at a counter-measure.</t>
  </si>
  <si>
    <t xml:space="preserve">Q3.  Six causes were investigated and five were ruled out. Was the effort wasted?</t>
  </si>
  <si>
    <t xml:space="preserve">A3.  No. Elimination is how the search narrows. Five ruled-out causes mean the team will not revisit them, and the one that survives has far more credibility than a cause that was simply asserted first.</t>
  </si>
  <si>
    <t xml:space="preserve">H-11 — 5 Whys</t>
  </si>
  <si>
    <t xml:space="preserve">Phase: ANALYZE   |   Data required: An observed event plus evidence for each link in the chain   |   Min. sample: n/a   |   Complexity: 1/5   |   Output: A verified causal chain and counter-measures at the level of the root cause</t>
  </si>
  <si>
    <t xml:space="preserve">Why did this actually happen, at a level deep enough that fixing it stops it happening again?</t>
  </si>
  <si>
    <t xml:space="preserve">After a specific event — a breakdown, a defect escape, an incident — where the chain of causation can be traced.</t>
  </si>
  <si>
    <t xml:space="preserve">A verified chain from the observed symptom to a systemic root cause, with counter-measures attached to the right level.</t>
  </si>
  <si>
    <t xml:space="preserve">The 5 Whys works by refusing to stop at the first plausible answer. Each answer is challenged with another why until the chain reaches something systemic — a design decision, a missing standard, a risk never assessed — rather than a component that broke.</t>
  </si>
  <si>
    <t xml:space="preserve">Five is a guide, not a rule. Some chains close at three, some need seven. The real stopping condition is reaching a cause that is inside your control and whose removal would prevent recurrence. Continuing past that point produces philosophy; stopping before it produces a replaced component and a repeat event next month.</t>
  </si>
  <si>
    <t xml:space="preserve">Every link must be verified with evidence. The technique's weakness is that it is easy to do badly:</t>
  </si>
  <si>
    <t xml:space="preserve">a chain of five plausible assertions feels rigorous and can be entirely wrong. The evidence column is what separates analysis from storytelling.</t>
  </si>
  <si>
    <t xml:space="preserve">Problems rarely have a single chain. A defect that escaped for ninety minutes has at least two root causes — why it occurred, and why it was not detected. Running one branch for occurrence and one for detection is standard practice, and mirrors the Occurrence and Detection axes of an FMEA.</t>
  </si>
  <si>
    <t xml:space="preserve">The chain must not end at a person. 'The operator did not check' is a symptom; the useful question is why the check was not part of the standard, not visible, not possible, or not reinforced.</t>
  </si>
  <si>
    <t xml:space="preserve">Test the chain backwards before accepting it. Read it upwards as 'because A, therefore B'. If any step does not follow, there is a gap — normally where somebody jumped because the answer felt obvious.</t>
  </si>
  <si>
    <t xml:space="preserve">✓  After a specific, traceable event: a breakdown, a defect escape, a safety incident, a complaint.</t>
  </si>
  <si>
    <t xml:space="preserve">✗  The problem is chronic, multi-causal and statistical — use DMAIC with data, not a why-chain.</t>
  </si>
  <si>
    <t xml:space="preserve">✓  Inside an A3 (H-14) or an 8D (H-15) as the root-cause section.</t>
  </si>
  <si>
    <t xml:space="preserve">✗  There is no evidence available for the links; the chain would be a set of assumptions.</t>
  </si>
  <si>
    <t xml:space="preserve">✓  When a fishbone has identified a verified cause and you need to go deeper into that branch.</t>
  </si>
  <si>
    <t xml:space="preserve">✗  Several interacting causes are suspected — a fishbone (H-10) is the better structure.</t>
  </si>
  <si>
    <t xml:space="preserve">✓  Whenever a corrective action is about to be 'retrain the operator'.</t>
  </si>
  <si>
    <t xml:space="preserve">The problem is a specific, observed event</t>
  </si>
  <si>
    <t xml:space="preserve">It has a date, a place and a magnitude</t>
  </si>
  <si>
    <t xml:space="preserve">Sharpen the problem statement; a vague problem produces a vague chain</t>
  </si>
  <si>
    <t xml:space="preserve">Each link is supported by evidence</t>
  </si>
  <si>
    <t xml:space="preserve">The evidence column is filled for every level</t>
  </si>
  <si>
    <t xml:space="preserve">Collect the evidence, or mark the link as unverified and treat the conclusion as provisional</t>
  </si>
  <si>
    <t xml:space="preserve">Both occurrence and detection are asked</t>
  </si>
  <si>
    <t xml:space="preserve">Two branches: why it happened, and why it was not caught</t>
  </si>
  <si>
    <t xml:space="preserve">Add the detection branch; escapes almost always have two root causes</t>
  </si>
  <si>
    <t xml:space="preserve">The chain does not end at a person</t>
  </si>
  <si>
    <t xml:space="preserve">Read the last why: is it a system or an individual?</t>
  </si>
  <si>
    <t xml:space="preserve">Ask one more why; there is always a system reason behind a human action</t>
  </si>
  <si>
    <t xml:space="preserve">There is no calculation. The rules are the method:</t>
  </si>
  <si>
    <t xml:space="preserve">   1. State the problem as an observed fact, with a date, a place and a magnitude</t>
  </si>
  <si>
    <t xml:space="preserve">   2. Ask why, and answer with a cause that can be verified</t>
  </si>
  <si>
    <t xml:space="preserve">   3. Verify it before asking the next why</t>
  </si>
  <si>
    <t xml:space="preserve">   4. Continue until the cause is systemic AND within your control</t>
  </si>
  <si>
    <t xml:space="preserve">   5. Run a second branch for DETECTION: why was it not caught sooner?</t>
  </si>
  <si>
    <t xml:space="preserve">   6. Test the chain backwards: 'because A, therefore B' must hold at every step</t>
  </si>
  <si>
    <t xml:space="preserve">   7. Attach a counter-measure to the ROOT, and containment to the symptom</t>
  </si>
  <si>
    <t xml:space="preserve">Stopping condition:  a cause whose removal would prevent recurrence, and which you can act on.</t>
  </si>
  <si>
    <t xml:space="preserve">Failure mode of the technique:  five plausible assertions with no evidence behind any of them.</t>
  </si>
  <si>
    <t xml:space="preserve">SUM of a flag column</t>
  </si>
  <si>
    <t xml:space="preserve">SUM(F60:F64)</t>
  </si>
  <si>
    <t xml:space="preserve">Counts the verified links in each chain</t>
  </si>
  <si>
    <t xml:space="preserve">IF(AND(branch1=5, branch2=5), ...)</t>
  </si>
  <si>
    <t xml:space="preserve">Tests whether both chains are fully verified</t>
  </si>
  <si>
    <t xml:space="preserve">Counts the counter-measures defined</t>
  </si>
  <si>
    <t xml:space="preserve">Subtraction</t>
  </si>
  <si>
    <t xml:space="preserve">total - preventive</t>
  </si>
  <si>
    <t xml:space="preserve">Isolates the containment-only actions, which fix nothing permanently</t>
  </si>
  <si>
    <t xml:space="preserve">Scenario: 4,200 bottles rejected for low fill on the night shift of 14 July. Two branches were run — one for why it happened, one for why it took ninety minutes to notice — and each link was verified against a log, an inspection or a document.</t>
  </si>
  <si>
    <t xml:space="preserve">The problem, stated as an observable fact</t>
  </si>
  <si>
    <t xml:space="preserve">Problem</t>
  </si>
  <si>
    <t xml:space="preserve">On 14 July, 4,200 bottles were rejected for low fill on the night shift</t>
  </si>
  <si>
    <t xml:space="preserve">Where it was observed</t>
  </si>
  <si>
    <t xml:space="preserve">Innocheck FBI, PET line, 02:10 to 03:40</t>
  </si>
  <si>
    <t xml:space="preserve">Why this matters</t>
  </si>
  <si>
    <t xml:space="preserve">Product loss, capacity loss on the constraint, and a near-miss on a customer complaint</t>
  </si>
  <si>
    <t xml:space="preserve">Branch 1 — the mechanical chain</t>
  </si>
  <si>
    <t xml:space="preserve">Why?</t>
  </si>
  <si>
    <t xml:space="preserve">Verified with what evidence?</t>
  </si>
  <si>
    <t xml:space="preserve">Verified? 1/0</t>
  </si>
  <si>
    <t xml:space="preserve">Why 1</t>
  </si>
  <si>
    <t xml:space="preserve">Why were the bottles rejected for low fill?</t>
  </si>
  <si>
    <t xml:space="preserve">Filling valve 19 delivered below the level probe</t>
  </si>
  <si>
    <t xml:space="preserve">FBI reject log tagged by valve position</t>
  </si>
  <si>
    <t xml:space="preserve">Why 2</t>
  </si>
  <si>
    <t xml:space="preserve">Why did valve 19 deliver low?</t>
  </si>
  <si>
    <t xml:space="preserve">Its seal was partially blocked by a preform fragment</t>
  </si>
  <si>
    <t xml:space="preserve">Valve stripped and inspected on 15 July</t>
  </si>
  <si>
    <t xml:space="preserve">Why 3</t>
  </si>
  <si>
    <t xml:space="preserve">Why was a preform fragment in the valve?</t>
  </si>
  <si>
    <t xml:space="preserve">A preform shattered in the blower and fragments carried downstream</t>
  </si>
  <si>
    <t xml:space="preserve">Blower alarm log at 01:50; fragments found in the bowl</t>
  </si>
  <si>
    <t xml:space="preserve">Why 4</t>
  </si>
  <si>
    <t xml:space="preserve">Why did fragments reach the filler?</t>
  </si>
  <si>
    <t xml:space="preserve">There is no screen between the blower discharge and the filler infeed</t>
  </si>
  <si>
    <t xml:space="preserve">Physical inspection of the line</t>
  </si>
  <si>
    <t xml:space="preserve">Why 5</t>
  </si>
  <si>
    <t xml:space="preserve">Why is there no screen?</t>
  </si>
  <si>
    <t xml:space="preserve">The risk was never assessed; the line was commissioned without it</t>
  </si>
  <si>
    <t xml:space="preserve">Original commissioning FMEA has no entry for this failure mode</t>
  </si>
  <si>
    <t xml:space="preserve">Branch 2 — the detection chain (why did it take 90 minutes to notice?)</t>
  </si>
  <si>
    <t xml:space="preserve">Why did the rejection continue for 90 minutes?</t>
  </si>
  <si>
    <t xml:space="preserve">Nobody was alerted to the rising reject rate</t>
  </si>
  <si>
    <t xml:space="preserve">Andon log shows no call</t>
  </si>
  <si>
    <t xml:space="preserve">Why was nobody alerted?</t>
  </si>
  <si>
    <t xml:space="preserve">The FBI reject rate has no automatic alarm threshold</t>
  </si>
  <si>
    <t xml:space="preserve">HMI configuration review</t>
  </si>
  <si>
    <t xml:space="preserve">Why is there no threshold?</t>
  </si>
  <si>
    <t xml:space="preserve">The reject rate is reviewed at the end of shift, not in real time</t>
  </si>
  <si>
    <t xml:space="preserve">Standard work Rev 3</t>
  </si>
  <si>
    <t xml:space="preserve">Why is it only reviewed at end of shift?</t>
  </si>
  <si>
    <t xml:space="preserve">The hour-by-hour board does not include reject rate</t>
  </si>
  <si>
    <t xml:space="preserve">Gemba walk observation, 27 July</t>
  </si>
  <si>
    <t xml:space="preserve">Why is it not on the board?</t>
  </si>
  <si>
    <t xml:space="preserve">The board was designed for output only, not for quality</t>
  </si>
  <si>
    <t xml:space="preserve">Board design has not changed since 2023</t>
  </si>
  <si>
    <t xml:space="preserve">Counter-measures — one per root cause, plus containment</t>
  </si>
  <si>
    <t xml:space="preserve">Addresses</t>
  </si>
  <si>
    <t xml:space="preserve">Due</t>
  </si>
  <si>
    <t xml:space="preserve">Prevents recurrence? 1/0</t>
  </si>
  <si>
    <t xml:space="preserve">Containment</t>
  </si>
  <si>
    <t xml:space="preserve">Segregate and re-inspect the affected pallets</t>
  </si>
  <si>
    <t xml:space="preserve">The immediate escape</t>
  </si>
  <si>
    <t xml:space="preserve">Corrective</t>
  </si>
  <si>
    <t xml:space="preserve">Fit a screen between blower discharge and filler infeed</t>
  </si>
  <si>
    <t xml:space="preserve">Branch 1, why 4-5</t>
  </si>
  <si>
    <t xml:space="preserve">Engineering</t>
  </si>
  <si>
    <t xml:space="preserve">Add the failure mode to the line FMEA and reassess</t>
  </si>
  <si>
    <t xml:space="preserve">Branch 1, why 5</t>
  </si>
  <si>
    <t xml:space="preserve">Configure an FBI reject-rate alarm at 0.5% over 10 minutes</t>
  </si>
  <si>
    <t xml:space="preserve">Branch 2, why 2</t>
  </si>
  <si>
    <t xml:space="preserve">Automation</t>
  </si>
  <si>
    <t xml:space="preserve">Add reject rate to the hour-by-hour board</t>
  </si>
  <si>
    <t xml:space="preserve">Branch 2, why 4</t>
  </si>
  <si>
    <t xml:space="preserve">Systemic</t>
  </si>
  <si>
    <t xml:space="preserve">Review every line for the same unscreened transfer</t>
  </si>
  <si>
    <t xml:space="preserve">Horizontal deployment</t>
  </si>
  <si>
    <t xml:space="preserve">Branch 1 levels verified</t>
  </si>
  <si>
    <t xml:space="preserve">Out of 5 — an unverified link breaks the chain</t>
  </si>
  <si>
    <t xml:space="preserve">Branch 2 levels verified</t>
  </si>
  <si>
    <t xml:space="preserve">Out of 5</t>
  </si>
  <si>
    <t xml:space="preserve">Counter-measures defined</t>
  </si>
  <si>
    <t xml:space="preserve">That prevent recurrence</t>
  </si>
  <si>
    <t xml:space="preserve">Containment alone is not a counter-measure</t>
  </si>
  <si>
    <t xml:space="preserve">Containment-only actions</t>
  </si>
  <si>
    <t xml:space="preserve">Necessary immediately, insufficient permanently</t>
  </si>
  <si>
    <t xml:space="preserve">Chain complete and verified?</t>
  </si>
  <si>
    <t xml:space="preserve">The test of whether the analysis is finished</t>
  </si>
  <si>
    <t xml:space="preserve">Test the chain backwards before accepting it: read it as 'because ... therefore ...' from the bottom up. If any step does not follow logically, the chain has a gap — usually a jump made because the answer felt obvious.</t>
  </si>
  <si>
    <t xml:space="preserve">Links verified with evidence</t>
  </si>
  <si>
    <t xml:space="preserve">An unverified chain is a story, not an analysis</t>
  </si>
  <si>
    <t xml:space="preserve">Depth</t>
  </si>
  <si>
    <t xml:space="preserve">Until the cause is systemic and controllable</t>
  </si>
  <si>
    <t xml:space="preserve">Stopping at a broken component guarantees recurrence</t>
  </si>
  <si>
    <t xml:space="preserve">Branches</t>
  </si>
  <si>
    <t xml:space="preserve">At least occurrence and detection</t>
  </si>
  <si>
    <t xml:space="preserve">Escapes always have two root causes</t>
  </si>
  <si>
    <t xml:space="preserve">Counter-measures that prevent recurrence</t>
  </si>
  <si>
    <t xml:space="preserve">At least one per root cause</t>
  </si>
  <si>
    <t xml:space="preserve">Chain ends at a person</t>
  </si>
  <si>
    <t xml:space="preserve">Ask one more why — there is always a system reason</t>
  </si>
  <si>
    <t xml:space="preserve">•  Accepting plausible answers without evidence, producing a confident and wrong chain.</t>
  </si>
  <si>
    <t xml:space="preserve">•  Stopping at the component that failed rather than at the reason it was allowed to fail.</t>
  </si>
  <si>
    <t xml:space="preserve">•  Running only the occurrence branch and never asking why detection failed.</t>
  </si>
  <si>
    <t xml:space="preserve">•  Ending the chain at 'the operator did not follow the procedure'.</t>
  </si>
  <si>
    <t xml:space="preserve">•  Writing containment actions and calling them corrective actions.</t>
  </si>
  <si>
    <t xml:space="preserve">Q1.  A 5 Whys ends at 'the operator forgot to check'. What is wrong, and what is the next why?</t>
  </si>
  <si>
    <t xml:space="preserve">A1.  It ends at a person, which is a symptom rather than a cause. The next why is about the system: was the check in the standard, was it visible at the point of use, was there time for it, was there any signal when it was missed? Those answers point at counter-measures that survive a change of crew.</t>
  </si>
  <si>
    <t xml:space="preserve">Q2.  Why run two branches for a defect that escaped to the customer?</t>
  </si>
  <si>
    <t xml:space="preserve">A2.  Because there are two failures: the process produced the defect, and the control system did not detect it. Each has its own root cause and needs its own counter-measure. Fixing only occurrence leaves you blind to the next different defect; fixing only detection leaves you making them.</t>
  </si>
  <si>
    <t xml:space="preserve">Q3.  How do you know you have gone deep enough?</t>
  </si>
  <si>
    <t xml:space="preserve">A3.  When the cause is systemic — a missing standard, an unassessed risk, a design decision — and it is within your control to change. If removing it would prevent recurrence and you can actually remove it, stop. If you are still describing a broken part, keep going.</t>
  </si>
  <si>
    <t xml:space="preserve">H-12 — Cause and Effect (X-Y) Matrix</t>
  </si>
  <si>
    <t xml:space="preserve">Phase: ANALYZE   |   Data required: The candidate X list, and customer importance ratings for each Y   |   Min. sample: n/a   |   Complexity: 2/5   |   Output: A ranked, weighted screening of process inputs against weighted outputs</t>
  </si>
  <si>
    <t xml:space="preserve">Of all the process inputs we could investigate, which few have the strongest relationship to the outputs the customer cares about?</t>
  </si>
  <si>
    <t xml:space="preserve">After the SIPOC and the fishbone have produced a long candidate list, and before committing to any experiment.</t>
  </si>
  <si>
    <t xml:space="preserve">A weighted, ranked screening that turns a list of twenty possible X's into a short list of four.</t>
  </si>
  <si>
    <t xml:space="preserve">The Cause and Effect matrix — also called the X-Y matrix — is a screening tool. It takes the candidate inputs from the SIPOC and the fishbone and ranks them by how strongly each relates to the outputs, with the outputs themselves weighted by their importance to the customer.</t>
  </si>
  <si>
    <t xml:space="preserve">The weighting is what makes it useful. An input with a strong relationship to a low-importance output scores lower than an input with a moderate relationship to a critical one, which is exactly the trade a project should make.</t>
  </si>
  <si>
    <t xml:space="preserve">The 0-1-3-9 scale is deliberate. A linear 1-10 scale invites the team to score everything a 5 or a 6, and the ranking that emerges is noise. The non-linear scale forces a decision: is this a strong, demonstrated relationship (9), a moderate one (3), a weak one (1), or none (0)?</t>
  </si>
  <si>
    <t xml:space="preserve">The matrix does not prove causation. It ranks the team's collective knowledge so that the expensive work — designed experiments, regression, measurement studies — is spent on the few inputs most likely to matter. It is a filter before the science, not a substitute for it.</t>
  </si>
  <si>
    <t xml:space="preserve">Its output feeds two places directly: the top-ranked inputs go into the FMEA (H-13) for the risk view, and into DOE (E-42) or regression (E-36) for the quantitative view. Inputs that score high and have no control today are the most urgent finding on the sheet.</t>
  </si>
  <si>
    <t xml:space="preserve">✓  After a SIPOC and a fishbone have produced more candidate causes than you can investigate.</t>
  </si>
  <si>
    <t xml:space="preserve">✗  There are only two or three candidate inputs — just investigate them.</t>
  </si>
  <si>
    <t xml:space="preserve">✓  To make the prioritisation visible and defensible rather than implicit.</t>
  </si>
  <si>
    <t xml:space="preserve">✗  Output importance has not been agreed with the customer or the sponsor.</t>
  </si>
  <si>
    <t xml:space="preserve">✓  To select the factors for a designed experiment.</t>
  </si>
  <si>
    <t xml:space="preserve">✗  As evidence of causation; it ranks belief, not data.</t>
  </si>
  <si>
    <t xml:space="preserve">✓  To expose high-influence inputs that currently have no control at all.</t>
  </si>
  <si>
    <t xml:space="preserve">Output importance comes from the customer</t>
  </si>
  <si>
    <t xml:space="preserve">Trace each importance rating to the CTQ tree or a customer requirement</t>
  </si>
  <si>
    <t xml:space="preserve">Agree the ratings with the sponsor before scoring anything</t>
  </si>
  <si>
    <t xml:space="preserve">The input list is complete</t>
  </si>
  <si>
    <t xml:space="preserve">Check it against the SIPOC inputs and the fishbone branches</t>
  </si>
  <si>
    <t xml:space="preserve">Add the missing inputs; the matrix can only rank what is in it</t>
  </si>
  <si>
    <t xml:space="preserve">Scoring is done by the team, using only 0, 1, 3, 9</t>
  </si>
  <si>
    <t xml:space="preserve">Check the score distribution: too many 3's means the team hedged</t>
  </si>
  <si>
    <t xml:space="preserve">Re-score, reserving 9 for relationships that can be demonstrated</t>
  </si>
  <si>
    <t xml:space="preserve">The ranking is confirmed with data before major investment</t>
  </si>
  <si>
    <t xml:space="preserve">Top inputs go to DOE or regression, not straight to a solution</t>
  </si>
  <si>
    <t xml:space="preserve">Confirm quantitatively before spending</t>
  </si>
  <si>
    <t xml:space="preserve">Weighted score of an input  =  sum over the outputs of ( score against that output  x  that output's importance )</t>
  </si>
  <si>
    <t xml:space="preserve">score scale:  0 no relationship · 1 weak · 3 moderate · 9 strong and demonstrated output importance:  1 to 10, taken from the customer, not from the process</t>
  </si>
  <si>
    <t xml:space="preserve">Share of total  =  input score / sum of all input scores Rank            =  RANK of the weighted score, largest first</t>
  </si>
  <si>
    <t xml:space="preserve">Screening rule used here: the top four inputs go forward to FMEA (H-13) and to designed experiments.</t>
  </si>
  <si>
    <t xml:space="preserve">Diagnostic: if the top four carry less than about 50% of the total score, the scoring was too generous.</t>
  </si>
  <si>
    <t xml:space="preserve">A well-scored matrix is concentrated, because real processes are.</t>
  </si>
  <si>
    <t xml:space="preserve">Explicit weighted sum</t>
  </si>
  <si>
    <t xml:space="preserve">C60*$D$54+D60*$D$55+E60*$D$56+F60*$D$57</t>
  </si>
  <si>
    <t xml:space="preserve">Weighted score. Written out rather than as SUMPRODUCT, because the scores run across a row and the weights down a column</t>
  </si>
  <si>
    <t xml:space="preserve">RANK(score, all_scores, 0)</t>
  </si>
  <si>
    <t xml:space="preserve">Largest weighted score ranks first</t>
  </si>
  <si>
    <t xml:space="preserve">Second, third and fourth largest, for the concentration check</t>
  </si>
  <si>
    <t xml:space="preserve">COUNTIF(control, "None*")</t>
  </si>
  <si>
    <t xml:space="preserve">Finds inputs with no control in place</t>
  </si>
  <si>
    <t xml:space="preserve">Nested IF on RANK</t>
  </si>
  <si>
    <t xml:space="preserve">IF(RANK(...)&lt;=4, "TAKE TO FMEA", "Monitor only")</t>
  </si>
  <si>
    <t xml:space="preserve">Automatic screening decision</t>
  </si>
  <si>
    <t xml:space="preserve">Scenario: twelve candidate inputs from the SIPOC (H-02) and the fishbone (H-10), scored against four outputs whose importance ratings come from the CTQ tree and the Kano study.</t>
  </si>
  <si>
    <t xml:space="preserve">Step 1 — the outputs (Y's) and their importance to the customer</t>
  </si>
  <si>
    <t xml:space="preserve">Output (Y)</t>
  </si>
  <si>
    <t xml:space="preserve">Customer importance 1-10</t>
  </si>
  <si>
    <t xml:space="preserve">Source of the rating</t>
  </si>
  <si>
    <t xml:space="preserve">Fill volume accuracy</t>
  </si>
  <si>
    <t xml:space="preserve">Legal declared volume and product giveaway</t>
  </si>
  <si>
    <t xml:space="preserve">Legal requirement plus CTQ tree (H-03)</t>
  </si>
  <si>
    <t xml:space="preserve">Pack integrity and consumer opening force</t>
  </si>
  <si>
    <t xml:space="preserve">Kano must-be (H-04)</t>
  </si>
  <si>
    <t xml:space="preserve">Shelf appearance and brand standard</t>
  </si>
  <si>
    <t xml:space="preserve">Retailer audit finding</t>
  </si>
  <si>
    <t xml:space="preserve">Line output rate</t>
  </si>
  <si>
    <t xml:space="preserve">Capacity on the constraint</t>
  </si>
  <si>
    <t xml:space="preserve">Plant objective</t>
  </si>
  <si>
    <t xml:space="preserve">Step 2 — score each input (X) against each output: 0, 1, 3 or 9</t>
  </si>
  <si>
    <t xml:space="preserve">Use only 0, 1, 3, 9. The non-linear scale forces the team to separate a strong relationship from a weak one instead of spreading everything across a 1-10 range. 0 = no relationship, 1 = weak, 3 = moderate, 9 = strong and demonstrated.</t>
  </si>
  <si>
    <t xml:space="preserve">Process input (X)</t>
  </si>
  <si>
    <t xml:space="preserve">Fill volume (10)</t>
  </si>
  <si>
    <t xml:space="preserve">Cap torque (8)</t>
  </si>
  <si>
    <t xml:space="preserve">Label placement (6)</t>
  </si>
  <si>
    <t xml:space="preserve">Output rate (7)</t>
  </si>
  <si>
    <t xml:space="preserve">Weighted score</t>
  </si>
  <si>
    <t xml:space="preserve">How it is controlled today</t>
  </si>
  <si>
    <t xml:space="preserve">Screening decision</t>
  </si>
  <si>
    <t xml:space="preserve">Filling valve seat condition</t>
  </si>
  <si>
    <t xml:space="preserve">None — run to failure</t>
  </si>
  <si>
    <t xml:space="preserve">To FMEA (H-13)</t>
  </si>
  <si>
    <t xml:space="preserve">Fill setting method (numeric vs by eye)</t>
  </si>
  <si>
    <t xml:space="preserve">Standard work Rev 3, no numeric value</t>
  </si>
  <si>
    <t xml:space="preserve">Fix the standard (L-14)</t>
  </si>
  <si>
    <t xml:space="preserve">Product temperature at the bowl</t>
  </si>
  <si>
    <t xml:space="preserve">Monitored, not controlled</t>
  </si>
  <si>
    <t xml:space="preserve">SPC chart (E-49)</t>
  </si>
  <si>
    <t xml:space="preserve">Level probe cleanliness</t>
  </si>
  <si>
    <t xml:space="preserve">Weekly clean, no check</t>
  </si>
  <si>
    <t xml:space="preserve">Autonomous maintenance (L-16)</t>
  </si>
  <si>
    <t xml:space="preserve">Preform weight / supplier batch</t>
  </si>
  <si>
    <t xml:space="preserve">Certificate of analysis only</t>
  </si>
  <si>
    <t xml:space="preserve">Supplier data, then E-24</t>
  </si>
  <si>
    <t xml:space="preserve">Capper torque head calibration</t>
  </si>
  <si>
    <t xml:space="preserve">Quarterly calibration</t>
  </si>
  <si>
    <t xml:space="preserve">Verify frequency</t>
  </si>
  <si>
    <t xml:space="preserve">Cap supplier and liner type</t>
  </si>
  <si>
    <t xml:space="preserve">Approved supplier list</t>
  </si>
  <si>
    <t xml:space="preserve">Monitor</t>
  </si>
  <si>
    <t xml:space="preserve">Glue temperature (labeller)</t>
  </si>
  <si>
    <t xml:space="preserve">Alarm band added July 2026</t>
  </si>
  <si>
    <t xml:space="preserve">Confirm it holds (L-23)</t>
  </si>
  <si>
    <t xml:space="preserve">Bottle height variation</t>
  </si>
  <si>
    <t xml:space="preserve">Blow moulder SPC</t>
  </si>
  <si>
    <t xml:space="preserve">Already controlled</t>
  </si>
  <si>
    <t xml:space="preserve">Line speed setting</t>
  </si>
  <si>
    <t xml:space="preserve">Recipe</t>
  </si>
  <si>
    <t xml:space="preserve">Screen with DOE (E-42)</t>
  </si>
  <si>
    <t xml:space="preserve">Changeover set-up verification</t>
  </si>
  <si>
    <t xml:space="preserve">None — no first article on volume</t>
  </si>
  <si>
    <t xml:space="preserve">Add to standard work</t>
  </si>
  <si>
    <t xml:space="preserve">Operator training level</t>
  </si>
  <si>
    <t xml:space="preserve">Skills matrix</t>
  </si>
  <si>
    <t xml:space="preserve">Inputs screened</t>
  </si>
  <si>
    <t xml:space="preserve">The candidate X list from the SIPOC and the fishbone</t>
  </si>
  <si>
    <t xml:space="preserve">Highest weighted score</t>
  </si>
  <si>
    <t xml:space="preserve">Which input</t>
  </si>
  <si>
    <t xml:space="preserve">The X with the strongest total relationship to the Y's</t>
  </si>
  <si>
    <t xml:space="preserve">Top 4 share of total score</t>
  </si>
  <si>
    <t xml:space="preserve">Concentration of the relationships</t>
  </si>
  <si>
    <t xml:space="preserve">Inputs with no control today</t>
  </si>
  <si>
    <t xml:space="preserve">High-scoring inputs with no control are the immediate risk</t>
  </si>
  <si>
    <t xml:space="preserve">Inputs taken forward to FMEA</t>
  </si>
  <si>
    <t xml:space="preserve">The screened list</t>
  </si>
  <si>
    <t xml:space="preserve">&gt; 50%</t>
  </si>
  <si>
    <t xml:space="preserve">Below this, the scoring was too generous to discriminate</t>
  </si>
  <si>
    <t xml:space="preserve">Use of the 9 score</t>
  </si>
  <si>
    <t xml:space="preserve">Reserved for demonstrated relationships</t>
  </si>
  <si>
    <t xml:space="preserve">A matrix full of 9's ranks nothing</t>
  </si>
  <si>
    <t xml:space="preserve">High score, no control</t>
  </si>
  <si>
    <t xml:space="preserve">The most urgent finding: high influence with nothing controlling it</t>
  </si>
  <si>
    <t xml:space="preserve">Confirmation</t>
  </si>
  <si>
    <t xml:space="preserve">Top inputs confirmed with DOE or regression</t>
  </si>
  <si>
    <t xml:space="preserve">The matrix ranks belief; data ranks reality</t>
  </si>
  <si>
    <t xml:space="preserve">•  Scoring on a 1-10 scale, which produces a flat ranking that decides nothing.</t>
  </si>
  <si>
    <t xml:space="preserve">•  Setting output importance from what the process finds difficult rather than from what the customer values.</t>
  </si>
  <si>
    <t xml:space="preserve">•  Treating a high score as proof of causation and jumping straight to a solution.</t>
  </si>
  <si>
    <t xml:space="preserve">•  Leaving out the inputs nobody controls, which are exactly the ones the matrix should expose.</t>
  </si>
  <si>
    <t xml:space="preserve">•  Scoring alone at a desk instead of with the team that knows the process.</t>
  </si>
  <si>
    <t xml:space="preserve">Q1.  Why does the matrix use 0, 1, 3, 9 rather than a 1-10 scale?</t>
  </si>
  <si>
    <t xml:space="preserve">A1.  Because a linear scale invites hedging — most items get a 5 or 6 and the ranking becomes noise. The non-linear scale forces a categorical judgement, and the gap between 3 and 9 makes strong relationships dominate the weighted score, which is what a screening tool should do.</t>
  </si>
  <si>
    <t xml:space="preserve">Q2.  An input scores highly and the 'how it is controlled today' column says None. What does that mean?</t>
  </si>
  <si>
    <t xml:space="preserve">A2.  That a process input believed to have a strong influence on a critical output is running uncontrolled. That is usually the most urgent finding on the sheet, and it belongs in the FMEA with a high Occurrence or Detection rating.</t>
  </si>
  <si>
    <t xml:space="preserve">Q3.  The top four inputs carry only 28% of the total score. What went wrong?</t>
  </si>
  <si>
    <t xml:space="preserve">A3.  The scoring was too generous — probably too many 3's and 9's spread across everything. Re-score with the discipline that 9 means a relationship the team can demonstrate, and 0 genuinely means none. A real process concentrates its influence in a few inputs.</t>
  </si>
  <si>
    <t xml:space="preserve">H-13 — FMEA (AIAG-VDA 2019, Action Priority)</t>
  </si>
  <si>
    <t xml:space="preserve">Phase: ANALYZE   |   Data required: Failure modes, causes, current controls and S/O/D ratings   |   Min. sample: n/a   |   Complexity: 4/5   |   Output: Action Priority per failure mode, with an action plan and a re-assessment</t>
  </si>
  <si>
    <t xml:space="preserve">What can go wrong here, how bad would it be, how often would it happen, and would we catch it?</t>
  </si>
  <si>
    <t xml:space="preserve">In Analyze once the critical inputs are known, before any process change, and after any escape or incident.</t>
  </si>
  <si>
    <t xml:space="preserve">Every failure mode rated for Severity, Occurrence and Detection, converted into an Action Priority of High, Medium or Low.</t>
  </si>
  <si>
    <t xml:space="preserve">FMEA is a structured, prospective risk assessment: for each function, what could fail, what would the effect be, what would cause it, what controls exist to prevent it, and what controls exist to detect it.</t>
  </si>
  <si>
    <t xml:space="preserve">The 2019 AIAG-VDA revision made one change that matters more than all the others. The Risk Priority Number — the product S x O x D — was demoted, and Action Priority took its place. RPN was always flawed: it treats 9 x 2 x 2 = 36 as less urgent than 3 x 4 x 4 = 48, even though the first has a severity of 9 and the second cannot hurt anyone. Multiplying three ordinal scales produces a number with no meaning, and a great many identical RPNs from entirely different risk profiles.</t>
  </si>
  <si>
    <t xml:space="preserve">Action Priority is a logical lookup rather than a product. Severity dominates: a high-severity failure carries High priority at almost any occurrence, because the consequence, not the frequency, is what makes it unacceptable. High means action is required or a written justification for not acting; Medium means action should be taken or the reason documented; Low means action is optional.</t>
  </si>
  <si>
    <t xml:space="preserve">The three ratings must be attacked differently. Severity can only be reduced by changing the design or the process so the consequence no longer occurs — adding inspection never reduces Severity. Occurrence is reduced by removing or controlling the cause. Detection is reduced by better controls, and this is where poka-yoke (L-17) does its work.</t>
  </si>
  <si>
    <t xml:space="preserve">The controls column is split deliberately into prevention and detection, because a prevention control reduces Occurrence while a detection control reduces only Detection. Conflating them is the most common technical error in a plant FMEA.</t>
  </si>
  <si>
    <t xml:space="preserve">An FMEA is a living document. It is revisited after every process change, every escape and every recurring incident, and its outputs feed directly into the control plan (H-16).</t>
  </si>
  <si>
    <t xml:space="preserve">✓  On a new or changed process, before it runs.</t>
  </si>
  <si>
    <t xml:space="preserve">✗  As a form completed once for an audit and never reopened.</t>
  </si>
  <si>
    <t xml:space="preserve">✓  After an escape, a complaint or an incident, to reassess the risk profile.</t>
  </si>
  <si>
    <t xml:space="preserve">✗  As a substitute for solving a known, current problem — that is DMAIC or 8D.</t>
  </si>
  <si>
    <t xml:space="preserve">✓  To decide where control effort and poka-yoke investment should go.</t>
  </si>
  <si>
    <t xml:space="preserve">✗  With ratings assigned by one person; the ratings encode collective process knowledge.</t>
  </si>
  <si>
    <t xml:space="preserve">✓  As the direct input to the control plan and its reaction rules.</t>
  </si>
  <si>
    <t xml:space="preserve">Rating scales are the ones your organisation has agreed</t>
  </si>
  <si>
    <t xml:space="preserve">Check the S, O and D tables in your own FMEA procedure</t>
  </si>
  <si>
    <t xml:space="preserve">Use your own scales; ratings are not comparable across different scale definitions</t>
  </si>
  <si>
    <t xml:space="preserve">Prevention and detection controls are recorded separately</t>
  </si>
  <si>
    <t xml:space="preserve">Check that the two columns are not describing the same control</t>
  </si>
  <si>
    <t xml:space="preserve">Split them; only prevention affects Occurrence</t>
  </si>
  <si>
    <t xml:space="preserve">Occurrence is based on data where data exists</t>
  </si>
  <si>
    <t xml:space="preserve">Compare the rating against the actual failure history</t>
  </si>
  <si>
    <t xml:space="preserve">Use the failure log rather than opinion where the log exists</t>
  </si>
  <si>
    <t xml:space="preserve">The team includes operations, maintenance and quality</t>
  </si>
  <si>
    <t xml:space="preserve">Check who assigned the ratings</t>
  </si>
  <si>
    <t xml:space="preserve">Re-rate with the full team; a single-function FMEA misses whole failure modes</t>
  </si>
  <si>
    <t xml:space="preserve">ACTION PRIORITY  =  a lookup of ( Severity band , Occurrence band , Detection band ) into H / M / L</t>
  </si>
  <si>
    <t xml:space="preserve">   Severity bands:    9-10 · 7-8 · 4-6 · 2-3 · 1</t>
  </si>
  <si>
    <t xml:space="preserve">   Occurrence bands:  8-10 · 6-7 · 4-5 · 2-3 · 1</t>
  </si>
  <si>
    <t xml:space="preserve">   Detection bands:   7-10 · 5-6 · 2-4 · 1</t>
  </si>
  <si>
    <t xml:space="preserve">H  action is REQUIRED, or a written justification for not acting M  action SHOULD be taken, or the justification documented L  action is optional</t>
  </si>
  <si>
    <t xml:space="preserve">RPN = S x O x D is retained as a secondary reference only. It is not a valid ranking, because it multiplies three ordinal scales: 9 x 2 x 2 = 36 ranks below 3 x 4 x 4 = 48, which is the wrong answer.</t>
  </si>
  <si>
    <t xml:space="preserve">How each rating is reduced:</t>
  </si>
  <si>
    <t xml:space="preserve">SEVERITY    only by design or process change — never by inspection OCCURRENCE  by removing or controlling the cause  (prevention controls) DETECTION   by better detection controls, ideally poka-yoke  (L-17)</t>
  </si>
  <si>
    <t xml:space="preserve">INDEX with computed row and column</t>
  </si>
  <si>
    <t xml:space="preserve">INDEX($D$60:$G$84, (Sidx-1)*5+Oidx, Didx)</t>
  </si>
  <si>
    <t xml:space="preserve">Turns three ratings into an Action Priority via the live table</t>
  </si>
  <si>
    <t xml:space="preserve">Nested IF for banding</t>
  </si>
  <si>
    <t xml:space="preserve">IF(S&gt;=9,1,IF(S&gt;=7,2,IF(S&gt;=4,3,IF(S&gt;=2,4,5))))</t>
  </si>
  <si>
    <t xml:space="preserve">Converts a numeric rating into its band index</t>
  </si>
  <si>
    <t xml:space="preserve">COUNTIF(AP, "H")</t>
  </si>
  <si>
    <t xml:space="preserve">Counts the failure modes at each Action Priority</t>
  </si>
  <si>
    <t xml:space="preserve">INDEX(modes, MATCH(MAX(RPN), RPN, 0))</t>
  </si>
  <si>
    <t xml:space="preserve">Names the highest RPN, for reference only</t>
  </si>
  <si>
    <t xml:space="preserve">COUNTIF(S, "&gt;=9")</t>
  </si>
  <si>
    <t xml:space="preserve">Detects the presence of Severity 9-10 modes</t>
  </si>
  <si>
    <t xml:space="preserve">Scenario: process FMEA of the fill, cap and label section of the PET line, built with operations, maintenance and quality after the July foreign-body event. The Action Priority table above is a live lookup — change any S, O or D and the priority recalculates.</t>
  </si>
  <si>
    <t xml:space="preserve">Step 1 — the AIAG-VDA 2019 Action Priority table (this is the live lookup)</t>
  </si>
  <si>
    <t xml:space="preserve">Action Priority replaces the Risk Priority Number as the primary output of an FMEA. It is a logical lookup of Severity, Occurrence and Detection into High, Medium or Low — not a product of the three. This reproduction of the AIAG-VDA 2019 table is provided as a working lookup; verify it against your own controlled copy of the handbook before using it for a customer submission, and edit the cells below if your edition differs.</t>
  </si>
  <si>
    <t xml:space="preserve">Severity band</t>
  </si>
  <si>
    <t xml:space="preserve">Occurrence band</t>
  </si>
  <si>
    <t xml:space="preserve">D 7-10</t>
  </si>
  <si>
    <t xml:space="preserve">D 5-6</t>
  </si>
  <si>
    <t xml:space="preserve">D 2-4</t>
  </si>
  <si>
    <t xml:space="preserve">D 1</t>
  </si>
  <si>
    <t xml:space="preserve">9-10</t>
  </si>
  <si>
    <t xml:space="preserve">8-10</t>
  </si>
  <si>
    <t xml:space="preserve">6-7</t>
  </si>
  <si>
    <t xml:space="preserve">4-5</t>
  </si>
  <si>
    <t xml:space="preserve">2-3</t>
  </si>
  <si>
    <t xml:space="preserve">7-8</t>
  </si>
  <si>
    <t xml:space="preserve">4-6</t>
  </si>
  <si>
    <t xml:space="preserve">Band index helpers — how a numeric S, O or D is turned into a band number</t>
  </si>
  <si>
    <t xml:space="preserve">Rating</t>
  </si>
  <si>
    <t xml:space="preserve">Severity band index</t>
  </si>
  <si>
    <t xml:space="preserve">Occurrence band index</t>
  </si>
  <si>
    <t xml:space="preserve">Detection column index</t>
  </si>
  <si>
    <t xml:space="preserve">1 if S&gt;=9, 2 if S&gt;=7, 3 if S&gt;=4, 4 if S&gt;=2, else 5</t>
  </si>
  <si>
    <t xml:space="preserve">1 if O&gt;=8, 2 if O&gt;=6, 3 if O&gt;=4, 4 if O&gt;=2, else 5</t>
  </si>
  <si>
    <t xml:space="preserve">1 if D&gt;=7, 2 if D&gt;=5, 3 if D&gt;=2, else 4</t>
  </si>
  <si>
    <t xml:space="preserve">Row in the table above</t>
  </si>
  <si>
    <t xml:space="preserve">(S index - 1) x 5 + O index</t>
  </si>
  <si>
    <t xml:space="preserve">Column 3 + D index - 1</t>
  </si>
  <si>
    <t xml:space="preserve">Step 2 — the FMEA worksheet</t>
  </si>
  <si>
    <t xml:space="preserve">Item / function</t>
  </si>
  <si>
    <t xml:space="preserve">Failure mode</t>
  </si>
  <si>
    <t xml:space="preserve">Effect of the failure</t>
  </si>
  <si>
    <t xml:space="preserve">Cause of the failure</t>
  </si>
  <si>
    <t xml:space="preserve">Current PREVENTION control</t>
  </si>
  <si>
    <t xml:space="preserve">Current DETECTION control</t>
  </si>
  <si>
    <t xml:space="preserve">ACTION PRIORITY</t>
  </si>
  <si>
    <t xml:space="preserve">RPN (secondary only)</t>
  </si>
  <si>
    <t xml:space="preserve">What Action Priority requires</t>
  </si>
  <si>
    <t xml:space="preserve">Filling valve</t>
  </si>
  <si>
    <t xml:space="preserve">Delivers above the target volume</t>
  </si>
  <si>
    <t xml:space="preserve">Product giveaway, capacity loss on the constraint</t>
  </si>
  <si>
    <t xml:space="preserve">Valve seat wear</t>
  </si>
  <si>
    <t xml:space="preserve">Planned seat replacement every 12 months</t>
  </si>
  <si>
    <t xml:space="preserve">Checkweigher, 1 bottle in 500</t>
  </si>
  <si>
    <t xml:space="preserve">Delivers below the declared volume</t>
  </si>
  <si>
    <t xml:space="preserve">Legal non-compliance, customer complaint</t>
  </si>
  <si>
    <t xml:space="preserve">Preform fragment blocking the seal</t>
  </si>
  <si>
    <t xml:space="preserve">FBI level check, 100%</t>
  </si>
  <si>
    <t xml:space="preserve">Level probe</t>
  </si>
  <si>
    <t xml:space="preserve">Reads late due to fouling</t>
  </si>
  <si>
    <t xml:space="preserve">Overfill on that valve only</t>
  </si>
  <si>
    <t xml:space="preserve">Product residue build-up</t>
  </si>
  <si>
    <t xml:space="preserve">Weekly clean, no verification</t>
  </si>
  <si>
    <t xml:space="preserve">Not detected until the checkweigher trend moves</t>
  </si>
  <si>
    <t xml:space="preserve">Applies torque below the lower limit</t>
  </si>
  <si>
    <t xml:space="preserve">Pack leaks, product loss in transit</t>
  </si>
  <si>
    <t xml:space="preserve">Torque head calibration drift</t>
  </si>
  <si>
    <t xml:space="preserve">Torque audit, 1 case per hour</t>
  </si>
  <si>
    <t xml:space="preserve">Applies the wrong cap colour for the SKU</t>
  </si>
  <si>
    <t xml:space="preserve">Wrong product on shelf, retailer rejection</t>
  </si>
  <si>
    <t xml:space="preserve">Wrong carton loaded at changeover</t>
  </si>
  <si>
    <t xml:space="preserve">Operator visual check against the recipe</t>
  </si>
  <si>
    <t xml:space="preserve">Visual check at first article only</t>
  </si>
  <si>
    <t xml:space="preserve">Places the label outside the tolerance</t>
  </si>
  <si>
    <t xml:space="preserve">Shelf appearance, retailer audit finding</t>
  </si>
  <si>
    <t xml:space="preserve">Glue temperature drift</t>
  </si>
  <si>
    <t xml:space="preserve">Alarm band 165 +/- 3 C added July 2026</t>
  </si>
  <si>
    <t xml:space="preserve">Operator visual check each pallet</t>
  </si>
  <si>
    <t xml:space="preserve">Shatters a preform, fragments carried downstream</t>
  </si>
  <si>
    <t xml:space="preserve">Foreign body risk, line stop</t>
  </si>
  <si>
    <t xml:space="preserve">Preform temperature out of window</t>
  </si>
  <si>
    <t xml:space="preserve">Oven temperature control</t>
  </si>
  <si>
    <t xml:space="preserve">No screen; found only when a valve blocks</t>
  </si>
  <si>
    <t xml:space="preserve">Builds the wrong pallet pattern</t>
  </si>
  <si>
    <t xml:space="preserve">Customer rejection at the depot</t>
  </si>
  <si>
    <t xml:space="preserve">Pattern not linked to the order</t>
  </si>
  <si>
    <t xml:space="preserve">Operator selects the pattern manually</t>
  </si>
  <si>
    <t xml:space="preserve">Warehouse check before dispatch</t>
  </si>
  <si>
    <t xml:space="preserve">Step 3 — actions on the High and Medium items</t>
  </si>
  <si>
    <t xml:space="preserve">Which rating it attacks</t>
  </si>
  <si>
    <t xml:space="preserve">New S</t>
  </si>
  <si>
    <t xml:space="preserve">New O</t>
  </si>
  <si>
    <t xml:space="preserve">New D</t>
  </si>
  <si>
    <t xml:space="preserve">New AP</t>
  </si>
  <si>
    <t xml:space="preserve">Valve below declared volume</t>
  </si>
  <si>
    <t xml:space="preserve">Fit a screen between blower and filler infeed</t>
  </si>
  <si>
    <t xml:space="preserve">Occurrence</t>
  </si>
  <si>
    <t xml:space="preserve">Level probe reads late</t>
  </si>
  <si>
    <t xml:space="preserve">Add probe cleaning to autonomous maintenance with a verification step</t>
  </si>
  <si>
    <t xml:space="preserve">Occurrence and Detection</t>
  </si>
  <si>
    <t xml:space="preserve">Wrong cap colour</t>
  </si>
  <si>
    <t xml:space="preserve">Bar-code scan of the cap carton against the recipe (L-17)</t>
  </si>
  <si>
    <t xml:space="preserve">Detection, and Occurrence via prevention</t>
  </si>
  <si>
    <t xml:space="preserve">Preform shatters, fragments downstream</t>
  </si>
  <si>
    <t xml:space="preserve">Screen plus preform temperature SPC</t>
  </si>
  <si>
    <t xml:space="preserve">Failure modes assessed</t>
  </si>
  <si>
    <t xml:space="preserve">Action Priority HIGH</t>
  </si>
  <si>
    <t xml:space="preserve">Action required, or a written justification</t>
  </si>
  <si>
    <t xml:space="preserve">Action Priority MEDIUM</t>
  </si>
  <si>
    <t xml:space="preserve">Action should be taken, or documented why not</t>
  </si>
  <si>
    <t xml:space="preserve">Action Priority LOW</t>
  </si>
  <si>
    <t xml:space="preserve">Action optional</t>
  </si>
  <si>
    <t xml:space="preserve">Highest RPN</t>
  </si>
  <si>
    <t xml:space="preserve">Shown for reference only — do not prioritise on it</t>
  </si>
  <si>
    <t xml:space="preserve">Failure mode with the highest RPN</t>
  </si>
  <si>
    <t xml:space="preserve">Severity 9 or 10 present?</t>
  </si>
  <si>
    <t xml:space="preserve">Severity can only be reduced by design change, never by inspection</t>
  </si>
  <si>
    <t xml:space="preserve">Actions raised</t>
  </si>
  <si>
    <t xml:space="preserve">Actions that move AP to Low</t>
  </si>
  <si>
    <t xml:space="preserve">The measure of whether the action plan is sufficient</t>
  </si>
  <si>
    <t xml:space="preserve">Action required, or written justification</t>
  </si>
  <si>
    <t xml:space="preserve">The only acceptable alternatives</t>
  </si>
  <si>
    <t xml:space="preserve">Action should be taken, or the reason documented</t>
  </si>
  <si>
    <t xml:space="preserve">Severity 9-10</t>
  </si>
  <si>
    <t xml:space="preserve">Cannot be reduced by inspection</t>
  </si>
  <si>
    <t xml:space="preserve">Only a design or process change removes the consequence</t>
  </si>
  <si>
    <t xml:space="preserve">RPN</t>
  </si>
  <si>
    <t xml:space="preserve">Reference only</t>
  </si>
  <si>
    <t xml:space="preserve">Never use it to rank; that is what Action Priority replaced</t>
  </si>
  <si>
    <t xml:space="preserve">Re-assessed AP after actions</t>
  </si>
  <si>
    <t xml:space="preserve">Should reach Low</t>
  </si>
  <si>
    <t xml:space="preserve">•  Prioritising by RPN, which lets a severity-9 failure sit below a harmless one.</t>
  </si>
  <si>
    <t xml:space="preserve">•  Recording a detection control in the prevention column, which wrongly lowers Occurrence.</t>
  </si>
  <si>
    <t xml:space="preserve">•  Trying to reduce Severity by adding an inspection step — inspection cannot change the consequence.</t>
  </si>
  <si>
    <t xml:space="preserve">•  Rating Occurrence from opinion when a failure log exists.</t>
  </si>
  <si>
    <t xml:space="preserve">•  Writing the FMEA once for the audit and never reopening it after a change or an escape.</t>
  </si>
  <si>
    <t xml:space="preserve">•  Filling it in alone. The ratings are meant to encode the knowledge of the whole team.</t>
  </si>
  <si>
    <t xml:space="preserve">Q1.  Failure mode A has S=9, O=2, D=2 (RPN 36). Failure mode B has S=3, O=4, D=4 (RPN 48). Which is more urgent, and why does that expose RPN?</t>
  </si>
  <si>
    <t xml:space="preserve">A1.  A is far more urgent: a severity of 9 means serious consequences whenever it occurs, and the AP table gives it High while B is Low. RPN ranks B higher purely because multiplying ordinal scales is not a valid operation — which is precisely why the 2019 revision replaced it with Action Priority.</t>
  </si>
  <si>
    <t xml:space="preserve">Q2.  Your team proposes adding a 100% inspection step to reduce Severity from 8 to 4. What is wrong?</t>
  </si>
  <si>
    <t xml:space="preserve">A2.  Inspection cannot change Severity. Severity is the consequence of the failure reaching the customer or the process, and it is unchanged by how well you detect it. Inspection reduces Detection only. Reducing Severity requires a design or process change that removes the consequence itself.</t>
  </si>
  <si>
    <t xml:space="preserve">Q3.  What is the practical difference between a prevention control and a detection control in an FMEA?</t>
  </si>
  <si>
    <t xml:space="preserve">A3.  A prevention control stops the cause from producing the failure, and therefore lowers Occurrence — a recipe lock, a physical interlock, temperature control. A detection control finds the failure after it has occurred, and lowers only Detection — a checkweigher, an inspection, an audit. Recording one in the other's column produces a risk assessment that is quietly wrong.</t>
  </si>
  <si>
    <t xml:space="preserve">H-14 — A3 Problem Solving</t>
  </si>
  <si>
    <t xml:space="preserve">Phase: TRANSVERSAL   |   Data required: The facts of the current condition, plus verified root causes   |   Min. sample: n/a   |   Complexity: 2/5   |   Output: One page carrying the whole story: background to follow-up</t>
  </si>
  <si>
    <t xml:space="preserve">Can the whole problem, its analysis, its counter-measures and its result fit on one page?</t>
  </si>
  <si>
    <t xml:space="preserve">For a problem too large for a 5 Whys and too small for a full DMAIC, and whenever a proposal needs to be argued rather than announced.</t>
  </si>
  <si>
    <t xml:space="preserve">A single page in eight boxes that carries the reasoning, not just the conclusion.</t>
  </si>
  <si>
    <t xml:space="preserve">An A3 is a problem-solving discipline that happens to fit on one sheet of A3 paper. The size limit is the mechanism: it forces the author to distinguish what matters from what merely happened.</t>
  </si>
  <si>
    <t xml:space="preserve">The eight boxes follow PDCA. Background, current condition, target condition and root cause analysis are Plan. Counter-measures and implementation are Do. Confirmation is Check. Follow-up is Act.</t>
  </si>
  <si>
    <t xml:space="preserve">The most common failure is filling the current condition box with causes and solutions. That box holds facts and numbers only — where the process is today, measured. Mixing in the suspected cause prejudges the analysis and usually gets it wrong.</t>
  </si>
  <si>
    <t xml:space="preserve">An A3 is also a communication and coaching tool. It is written to be read by someone who was not there, and the reader should be able to follow the reasoning from the problem to the counter-measure without asking a question. That is why the analysis boxes matter more than the solution boxes.</t>
  </si>
  <si>
    <t xml:space="preserve">It is a living document. It starts with boxes 1 to 3, is reviewed, then boxes 4 and 5 are added, and so on. An A3 written in one sitting at the end of a project is a report, not an A3.</t>
  </si>
  <si>
    <t xml:space="preserve">The single owner matters. An A3 belongs to one person who can explain every box — not to a committee.</t>
  </si>
  <si>
    <t xml:space="preserve">✓  A problem that needs structure and evidence but not a full DMAIC project.</t>
  </si>
  <si>
    <t xml:space="preserve">✗  The problem is trivial — just fix it.</t>
  </si>
  <si>
    <t xml:space="preserve">✓  As the standing report format for a Kaizen event or an improvement.</t>
  </si>
  <si>
    <t xml:space="preserve">✗  The problem is statistically complex and multi-causal; use DMAIC and let the A3 summarise it.</t>
  </si>
  <si>
    <t xml:space="preserve">✓  To make a proposal where the reasoning, not just the request, needs to be visible.</t>
  </si>
  <si>
    <t xml:space="preserve">✗  As a report written after the fact to document a decision already taken.</t>
  </si>
  <si>
    <t xml:space="preserve">✓  As a coaching tool between a Black Belt and a team leader.</t>
  </si>
  <si>
    <t xml:space="preserve">The current condition is measured</t>
  </si>
  <si>
    <t xml:space="preserve">Box 2 contains numbers, not adjectives</t>
  </si>
  <si>
    <t xml:space="preserve">Measure before writing; an A3 built on impressions solves an imagined problem</t>
  </si>
  <si>
    <t xml:space="preserve">Root causes are verified</t>
  </si>
  <si>
    <t xml:space="preserve">Box 4 cites evidence for each cause and for each cause ruled out</t>
  </si>
  <si>
    <t xml:space="preserve">Verify them; unverified causes produce counter-measures that miss</t>
  </si>
  <si>
    <t xml:space="preserve">Every counter-measure traces to a verified cause</t>
  </si>
  <si>
    <t xml:space="preserve">Match box 5 against box 4 line by line</t>
  </si>
  <si>
    <t xml:space="preserve">Remove counter-measures that address nothing, however attractive they are</t>
  </si>
  <si>
    <t xml:space="preserve">The confirmation method is defined before implementation</t>
  </si>
  <si>
    <t xml:space="preserve">Box 7 is written before box 6 is executed</t>
  </si>
  <si>
    <t xml:space="preserve">Define it now; deciding how to measure after seeing the result invites bias</t>
  </si>
  <si>
    <t xml:space="preserve">THE EIGHT BOXES, mapped to PDCA:</t>
  </si>
  <si>
    <t xml:space="preserve">1 BACKGROUND            why this problem matters                                PLAN 2 CURRENT CONDITION     facts and numbers only, no causes, no solutions         PLAN 3 TARGET CONDITION      measurable and dated                                    PLAN 4 ROOT CAUSE ANALYSIS   verified, with evidence, including what was ruled out   PLAN 5 COUNTER-MEASURES      one per verified root cause                             DO 6 IMPLEMENTATION PLAN   who, what, by when                                      DO 7 CONFIRMATION          how you will know it worked                             CHECK 8 FOLLOW-UP             what holds the gain, and who checks                     ACT</t>
  </si>
  <si>
    <t xml:space="preserve">Gap closed       =  ( baseline - latest ) / ( baseline - target ) Plan completion  =  actions closed / actions in the plan</t>
  </si>
  <si>
    <t xml:space="preserve">Days remaining on each action</t>
  </si>
  <si>
    <t xml:space="preserve">IF(complete=1,"Closed",IF(days&lt;0,"OVERDUE","On track"))</t>
  </si>
  <si>
    <t xml:space="preserve">Automatic status flag</t>
  </si>
  <si>
    <t xml:space="preserve">COUNTIF / COUNTA / SUM</t>
  </si>
  <si>
    <t xml:space="preserve">COUNTIF(range, "OVERDUE")</t>
  </si>
  <si>
    <t xml:space="preserve">Plan completion and overdue count</t>
  </si>
  <si>
    <t xml:space="preserve">AVERAGE(gap closed)</t>
  </si>
  <si>
    <t xml:space="preserve">Average progress towards the target condition</t>
  </si>
  <si>
    <t xml:space="preserve">Scenario: the fill volume A3 for the 500 ml PET line, written by the process engineer and coached by the Black Belt, at the point where implementation is partly complete and the first confirmation measurements are in.</t>
  </si>
  <si>
    <t xml:space="preserve">The A3 — eight boxes on one page, left column then right column</t>
  </si>
  <si>
    <t xml:space="preserve">Box</t>
  </si>
  <si>
    <t xml:space="preserve">Discipline it enforces</t>
  </si>
  <si>
    <t xml:space="preserve">1  BACKGROUND</t>
  </si>
  <si>
    <t xml:space="preserve">The 500 ml PET line is the plant constraint. Fill volume giveaway has been raised at three consecutive monthly reviews and is now the largest single controllable material loss in packaging.</t>
  </si>
  <si>
    <t xml:space="preserve">Why this problem, and why the reader should care</t>
  </si>
  <si>
    <t xml:space="preserve">2  CURRENT CONDITION</t>
  </si>
  <si>
    <t xml:space="preserve">Mean fill volume 503.1 ml against a 500.0 ml target, SD 1.9 ml, 4.2% outside the 498-502 ml internal limits. Shift C runs 3 ml higher than the other three shifts. 415,000 litres a year given away, worth about 178,000 USD.</t>
  </si>
  <si>
    <t xml:space="preserve">Facts and numbers only — no causes, no solutions</t>
  </si>
  <si>
    <t xml:space="preserve">3  TARGET CONDITION</t>
  </si>
  <si>
    <t xml:space="preserve">Mean 500.8 ml or below and SD 1.2 ml or below by 18 December 2026, with the underfill rate held below 0.1%.</t>
  </si>
  <si>
    <t xml:space="preserve">Measurable, dated, and derived from the gap</t>
  </si>
  <si>
    <t xml:space="preserve">4  ROOT CAUSE ANALYSIS</t>
  </si>
  <si>
    <t xml:space="preserve">Three causes verified: (a) no numeric fill setting in the standard, so each shift sets by eye; (b) valve seat wear on valves 7, 19 and 31; (c) no set-up verification after changeover. Two causes ruled out with evidence: measurement drift and HMI training.</t>
  </si>
  <si>
    <t xml:space="preserve">Evidence, not assertion — see H-10 and H-11</t>
  </si>
  <si>
    <t xml:space="preserve">5  COUNTER-MEASURES</t>
  </si>
  <si>
    <t xml:space="preserve">(a) numeric fill setting in standard work Rev 4, with recipe recall; (b) valve seat replacement on the three worst valves plus a condition check in autonomous maintenance; (c) first-article volume check added to the changeover standard.</t>
  </si>
  <si>
    <t xml:space="preserve">One counter-measure per verified root cause</t>
  </si>
  <si>
    <t xml:space="preserve">6  IMPLEMENTATION PLAN</t>
  </si>
  <si>
    <t xml:space="preserve">See the plan table below — owner and date for every counter-measure.</t>
  </si>
  <si>
    <t xml:space="preserve">Who does what by when; no unowned actions</t>
  </si>
  <si>
    <t xml:space="preserve">7  CONFIRMATION</t>
  </si>
  <si>
    <t xml:space="preserve">Xbar-R chart of 5-bottle subgroups, four per shift, compared against the baseline period. Confirmation run designed on L-26, 4 weeks, all shifts.</t>
  </si>
  <si>
    <t xml:space="preserve">How you will know it worked, decided before it is done</t>
  </si>
  <si>
    <t xml:space="preserve">8  FOLLOW-UP</t>
  </si>
  <si>
    <t xml:space="preserve">Monthly capability review for three months; standard work audit on all four shifts at 30 days; benefit validated with Controlling at 90 days.</t>
  </si>
  <si>
    <t xml:space="preserve">What holds the gain, and who checks</t>
  </si>
  <si>
    <t xml:space="preserve">Box 6 in detail — the implementation plan</t>
  </si>
  <si>
    <t xml:space="preserve">Write standard work Rev 4 with the numeric fill setting</t>
  </si>
  <si>
    <t xml:space="preserve">Done</t>
  </si>
  <si>
    <t xml:space="preserve">Train all four shifts on Rev 4</t>
  </si>
  <si>
    <t xml:space="preserve">Shift supervisors</t>
  </si>
  <si>
    <t xml:space="preserve">Replace seats on valves 7, 19 and 31</t>
  </si>
  <si>
    <t xml:space="preserve">Add valve condition check to autonomous maintenance</t>
  </si>
  <si>
    <t xml:space="preserve">Add first-article volume check to the changeover standard</t>
  </si>
  <si>
    <t xml:space="preserve">Set up the Xbar-R chart at the line</t>
  </si>
  <si>
    <t xml:space="preserve">Box 7 in detail — confirmation against the target condition</t>
  </si>
  <si>
    <t xml:space="preserve">Latest measured</t>
  </si>
  <si>
    <t xml:space="preserve">Gap closed</t>
  </si>
  <si>
    <t xml:space="preserve">Target met?</t>
  </si>
  <si>
    <t xml:space="preserve">Mean fill volume (ml)</t>
  </si>
  <si>
    <t xml:space="preserve">Actions in the plan</t>
  </si>
  <si>
    <t xml:space="preserve">Actions closed</t>
  </si>
  <si>
    <t xml:space="preserve">Each one delays the confirmation</t>
  </si>
  <si>
    <t xml:space="preserve">Targets met</t>
  </si>
  <si>
    <t xml:space="preserve">Average gap closed</t>
  </si>
  <si>
    <t xml:space="preserve">Progress from baseline towards the target condition</t>
  </si>
  <si>
    <t xml:space="preserve">Current condition</t>
  </si>
  <si>
    <t xml:space="preserve">Numbers only</t>
  </si>
  <si>
    <t xml:space="preserve">Causes or solutions in box 2 mean the analysis was prejudged</t>
  </si>
  <si>
    <t xml:space="preserve">Counter-measures</t>
  </si>
  <si>
    <t xml:space="preserve">One per verified root cause</t>
  </si>
  <si>
    <t xml:space="preserve">A counter-measure with no cause behind it is a preference</t>
  </si>
  <si>
    <t xml:space="preserve">100% before claiming the result</t>
  </si>
  <si>
    <t xml:space="preserve">A confirmation taken on a partial implementation understates the effect</t>
  </si>
  <si>
    <t xml:space="preserve">Confirmation defined before implementation</t>
  </si>
  <si>
    <t xml:space="preserve">Deciding how to measure after seeing the data invites bias</t>
  </si>
  <si>
    <t xml:space="preserve">One named person</t>
  </si>
  <si>
    <t xml:space="preserve">An A3 owned by a committee is owned by nobody</t>
  </si>
  <si>
    <t xml:space="preserve">•  Writing causes or solutions into the current condition box.</t>
  </si>
  <si>
    <t xml:space="preserve">•  Adding counter-measures that address no verified cause because somebody likes them.</t>
  </si>
  <si>
    <t xml:space="preserve">•  Writing the whole A3 in one sitting at the end, which removes the coaching and the thinking.</t>
  </si>
  <si>
    <t xml:space="preserve">•  Filling the page with detail so that the reasoning is no longer visible.</t>
  </si>
  <si>
    <t xml:space="preserve">•  Closing the A3 at implementation rather than after the follow-up confirms the gain held.</t>
  </si>
  <si>
    <t xml:space="preserve">Q1.  Why must the current condition box contain no causes?</t>
  </si>
  <si>
    <t xml:space="preserve">A1.  Because naming a cause before the analysis prejudges it, and the reader can no longer distinguish what was observed from what was assumed. Box 2 is the measured gap; box 4 is where causes appear, with evidence attached.</t>
  </si>
  <si>
    <t xml:space="preserve">Q2.  What does the A3's size limit actually achieve?</t>
  </si>
  <si>
    <t xml:space="preserve">A2.  It forces prioritisation. Anything that does not help the reader follow the reasoning from problem to counter-measure has to be cut, which is precisely the editing that most project reports never receive.</t>
  </si>
  <si>
    <t xml:space="preserve">Q3.  When is an A3 finished?</t>
  </si>
  <si>
    <t xml:space="preserve">A3.  Not at implementation — at follow-up. Box 8 exists because the gain has to be shown to have held, and somebody has to be named as the person who checks. An A3 closed when the actions were done has skipped the Act step of PDCA.</t>
  </si>
  <si>
    <t xml:space="preserve">H-15 — 8D Problem Solving</t>
  </si>
  <si>
    <t xml:space="preserve">Phase: TRANSVERSAL   |   Data required: The event, containment evidence and verified root causes   |   Min. sample: n/a   |   Complexity: 2/5   |   Output: A closed 8D report with containment, verified cause and systemic prevention</t>
  </si>
  <si>
    <t xml:space="preserve">A customer or a process has been hurt — how do we contain it now, fix it permanently, and stop it recurring anywhere else?</t>
  </si>
  <si>
    <t xml:space="preserve">After a customer complaint, a market incident, a supplier escape or any event where containment is needed before the cause is known.</t>
  </si>
  <si>
    <t xml:space="preserve">A disciplined, auditable report covering containment, verified root cause, validated correction and systemic prevention.</t>
  </si>
  <si>
    <t xml:space="preserve">8D is the standard customer-facing problem-solving format in automotive and increasingly in FMCG. Its structure exists because a customer needs two different things at two different speeds: protection today, and a permanent fix later.</t>
  </si>
  <si>
    <t xml:space="preserve">That is why D3, interim containment, comes before D4, root cause. Containment is not a solution and is never the end of the process, but a customer who is still receiving defective product does not care about your analysis timetable. Containment must also be verified — a containment action nobody has checked is an assumption.</t>
  </si>
  <si>
    <t xml:space="preserve">D2 is where most of the analytical value sits, and it is the most skipped. The is / is-not analysis bounds the problem: what it is and what it is not, where it is and where it is not, when it started and when it did not. Every 'is not' eliminates a family of causes before any data is collected. If only one valve is affected, no machine-wide setting can be the cause.</t>
  </si>
  <si>
    <t xml:space="preserve">D5 and D6 are separate for a reason. Choosing an action is not implementing it, and implementing it is not validating it. The interim containment from D3 stays in place until D6 shows evidence that the permanent action works.</t>
  </si>
  <si>
    <t xml:space="preserve">D7 is the discipline that distinguishes 8D from ordinary corrective action. It asks what system allowed this — a missing FMEA entry, a control plan gap, a standard that did not exist — and whether the same gap exists on other lines, other products or other shifts. Horizontal deployment is where the return on the whole exercise is realised.</t>
  </si>
  <si>
    <t xml:space="preserve">D0 was added to the original 8D to cover the emergency response: the immediate action taken before the team is even formed.</t>
  </si>
  <si>
    <t xml:space="preserve">✓  Customer complaints and market incidents, where a formal response is expected.</t>
  </si>
  <si>
    <t xml:space="preserve">✗  A chronic, statistical problem with no single event — use DMAIC.</t>
  </si>
  <si>
    <t xml:space="preserve">✓  Supplier escapes, where the same format is sent to the supplier.</t>
  </si>
  <si>
    <t xml:space="preserve">✗  A trivial problem where the full discipline is disproportionate; use PDCA or a 5 Whys.</t>
  </si>
  <si>
    <t xml:space="preserve">✓  Any internal event where containment is needed before the cause can be found.</t>
  </si>
  <si>
    <t xml:space="preserve">✗  As a document written to satisfy a customer without the work behind it.</t>
  </si>
  <si>
    <t xml:space="preserve">✓  Recurring problems that previous corrective actions failed to stop.</t>
  </si>
  <si>
    <t xml:space="preserve">Containment is verified, not merely instructed</t>
  </si>
  <si>
    <t xml:space="preserve">Evidence that the containment is working: sort results, hold records</t>
  </si>
  <si>
    <t xml:space="preserve">Verify it now; unverified containment is the commonest 8D failure</t>
  </si>
  <si>
    <t xml:space="preserve">Root cause covers occurrence AND detection</t>
  </si>
  <si>
    <t xml:space="preserve">Two chains in D4, not one</t>
  </si>
  <si>
    <t xml:space="preserve">Add the detection branch; an escape always has two root causes</t>
  </si>
  <si>
    <t xml:space="preserve">Permanent actions are validated with evidence</t>
  </si>
  <si>
    <t xml:space="preserve">D6 shows data, not an implementation date</t>
  </si>
  <si>
    <t xml:space="preserve">Do not close D6 or remove containment until the evidence exists</t>
  </si>
  <si>
    <t xml:space="preserve">D7 checks other lines and products</t>
  </si>
  <si>
    <t xml:space="preserve">Horizontal deployment explicitly considered and recorded</t>
  </si>
  <si>
    <t xml:space="preserve">Do it; the same gap almost always exists elsewhere</t>
  </si>
  <si>
    <t xml:space="preserve">THE NINE DISCIPLINES:</t>
  </si>
  <si>
    <t xml:space="preserve">   D0  Prepare and emergency response      immediate protection, before the team exists</t>
  </si>
  <si>
    <t xml:space="preserve">   D1  Form the team                       cross-functional, with authority</t>
  </si>
  <si>
    <t xml:space="preserve">   D2  Describe the problem                quantified, with is / is-not</t>
  </si>
  <si>
    <t xml:space="preserve">   D3  Interim containment                 protect the customer; VERIFY it works</t>
  </si>
  <si>
    <t xml:space="preserve">   D4  Root cause                          verified, for occurrence AND detection</t>
  </si>
  <si>
    <t xml:space="preserve">   D5  Choose permanent corrective actions selected and verified for side effects</t>
  </si>
  <si>
    <t xml:space="preserve">   D6  Implement and validate              evidence that the problem no longer occurs</t>
  </si>
  <si>
    <t xml:space="preserve">   D7  Prevent recurrence                  systems, standards, FMEA, control plan, other lines</t>
  </si>
  <si>
    <t xml:space="preserve">   D8  Recognise the team and close        capture the lessons; thank the people</t>
  </si>
  <si>
    <t xml:space="preserve">Sequence rules:  D3 before D4 (protect first).  D6 before removing the D3 containment.</t>
  </si>
  <si>
    <t xml:space="preserve">                 D7 is not optional — it is where the return on the exercise is realised.</t>
  </si>
  <si>
    <t xml:space="preserve">IFERROR(actual-target,"")</t>
  </si>
  <si>
    <t xml:space="preserve">Days late per discipline</t>
  </si>
  <si>
    <t xml:space="preserve">IF(complete=1,"Closed",IF(target-TODAY()&lt;0,"OVERDUE","Open"))</t>
  </si>
  <si>
    <t xml:space="preserve">Status flag per discipline</t>
  </si>
  <si>
    <t xml:space="preserve">SUM(G60:G68)</t>
  </si>
  <si>
    <t xml:space="preserve">Disciplines complete, out of nine</t>
  </si>
  <si>
    <t xml:space="preserve">Direct cell test</t>
  </si>
  <si>
    <t xml:space="preserve">IF(G63=1,"YES","NO")</t>
  </si>
  <si>
    <t xml:space="preserve">Tests specific gating disciplines such as D3 and D6</t>
  </si>
  <si>
    <t xml:space="preserve">Scenario: the 14 July low-fill event from H-11, run as a formal 8D because product reached the depot and the customer had to be informed. D0 to D5 are closed; D6 to D8 remain open.</t>
  </si>
  <si>
    <t xml:space="preserve">8D report — the nine disciplines, in order</t>
  </si>
  <si>
    <t xml:space="preserve">Discipline</t>
  </si>
  <si>
    <t xml:space="preserve">What it requires</t>
  </si>
  <si>
    <t xml:space="preserve">What was done</t>
  </si>
  <si>
    <t xml:space="preserve">D0  Prepare and emergency response</t>
  </si>
  <si>
    <t xml:space="preserve">Decide 8D is the right route; take immediate action to protect the customer</t>
  </si>
  <si>
    <t xml:space="preserve">Line stopped, 3 pallets held at the depot, customer informed within 4 h</t>
  </si>
  <si>
    <t xml:space="preserve">D1  Form the team</t>
  </si>
  <si>
    <t xml:space="preserve">Cross-functional, with a champion and the authority to act</t>
  </si>
  <si>
    <t xml:space="preserve">Quality lead, packaging supervisor, maintenance technician, process engineer; sponsor: Plant Manager</t>
  </si>
  <si>
    <t xml:space="preserve">D2  Describe the problem</t>
  </si>
  <si>
    <t xml:space="preserve">Quantified, with is / is-not to bound it</t>
  </si>
  <si>
    <t xml:space="preserve">4,200 bottles low fill, night shift 14 July, 02:10-03:40, 500 ml SKU only, valve 19 only</t>
  </si>
  <si>
    <t xml:space="preserve">D3  Interim containment</t>
  </si>
  <si>
    <t xml:space="preserve">Protect the customer while the cause is found; verify the containment works</t>
  </si>
  <si>
    <t xml:space="preserve">100% checkweigher verification on the affected lots; 3 pallets sorted, 61 bottles rejected</t>
  </si>
  <si>
    <t xml:space="preserve">D4  Root cause</t>
  </si>
  <si>
    <t xml:space="preserve">Verified, for both occurrence and detection (see H-11)</t>
  </si>
  <si>
    <t xml:space="preserve">Occurrence: preform fragment blocked the valve seal, no screen between blower and filler. Detection: no reject-rate alarm</t>
  </si>
  <si>
    <t xml:space="preserve">D5  Choose permanent corrective actions</t>
  </si>
  <si>
    <t xml:space="preserve">Selected and verified to remove the root cause without side effects</t>
  </si>
  <si>
    <t xml:space="preserve">Screen at the filler infeed; FBI reject-rate alarm at 0.5% over 10 min; failure mode added to the FMEA</t>
  </si>
  <si>
    <t xml:space="preserve">D6  Implement and validate</t>
  </si>
  <si>
    <t xml:space="preserve">Implemented, with evidence that the problem no longer occurs</t>
  </si>
  <si>
    <t xml:space="preserve">Screen fitted 15 Sept; alarm live 20 Aug; 6 weeks with zero recurrences required before closure</t>
  </si>
  <si>
    <t xml:space="preserve">D7  Prevent recurrence</t>
  </si>
  <si>
    <t xml:space="preserve">Change the systems: standards, FMEA, control plan, training, other lines</t>
  </si>
  <si>
    <t xml:space="preserve">FMEA and control plan updated; horizontal deployment to the kegs line under review</t>
  </si>
  <si>
    <t xml:space="preserve">D8  Recognise the team and close</t>
  </si>
  <si>
    <t xml:space="preserve">Formally close, capture the lessons, thank the team</t>
  </si>
  <si>
    <t xml:space="preserve">Closure review scheduled with the sponsor</t>
  </si>
  <si>
    <t xml:space="preserve">D2 in detail — the is / is-not analysis that bounds the problem</t>
  </si>
  <si>
    <t xml:space="preserve">Dimension</t>
  </si>
  <si>
    <t xml:space="preserve">IS</t>
  </si>
  <si>
    <t xml:space="preserve">IS NOT</t>
  </si>
  <si>
    <t xml:space="preserve">What the difference suggests</t>
  </si>
  <si>
    <t xml:space="preserve">What</t>
  </si>
  <si>
    <t xml:space="preserve">Low fill below the declared volume</t>
  </si>
  <si>
    <t xml:space="preserve">High fill; no other defect type</t>
  </si>
  <si>
    <t xml:space="preserve">A single-direction failure — points at a flow restriction, not at a setting</t>
  </si>
  <si>
    <t xml:space="preserve">Where</t>
  </si>
  <si>
    <t xml:space="preserve">Valve 19 only, PET line</t>
  </si>
  <si>
    <t xml:space="preserve">The other 39 valves; the kegs line</t>
  </si>
  <si>
    <t xml:space="preserve">A single-valve mechanical cause, not a machine-wide setting</t>
  </si>
  <si>
    <t xml:space="preserve">When</t>
  </si>
  <si>
    <t xml:space="preserve">14 July, 02:10 to 03:40</t>
  </si>
  <si>
    <t xml:space="preserve">Before 02:10; after the valve was cleaned</t>
  </si>
  <si>
    <t xml:space="preserve">An event with a start — something changed at 02:10</t>
  </si>
  <si>
    <t xml:space="preserve">4,200 bottles, about 1.5% of the shift</t>
  </si>
  <si>
    <t xml:space="preserve">Not the whole shift output</t>
  </si>
  <si>
    <t xml:space="preserve">Consistent with one valve out of forty</t>
  </si>
  <si>
    <t xml:space="preserve">Which product</t>
  </si>
  <si>
    <t xml:space="preserve">500 ml SKU</t>
  </si>
  <si>
    <t xml:space="preserve">1.5 L SKU, which ran earlier the same night</t>
  </si>
  <si>
    <t xml:space="preserve">The 1.5 L run was before the blower event at 01:50</t>
  </si>
  <si>
    <t xml:space="preserve">The is / is-not is the most under-used part of an 8D. Every 'is not' eliminates a family of causes: if only one valve is affected, no machine-wide setting can be the cause, and the investigation narrows before any data is collected.</t>
  </si>
  <si>
    <t xml:space="preserve">Disciplines complete</t>
  </si>
  <si>
    <t xml:space="preserve">Out of nine (D0 to D8)</t>
  </si>
  <si>
    <t xml:space="preserve">Progress</t>
  </si>
  <si>
    <t xml:space="preserve">Overdue disciplines</t>
  </si>
  <si>
    <t xml:space="preserve">Containment in place (D3)?</t>
  </si>
  <si>
    <t xml:space="preserve">The most time-critical discipline</t>
  </si>
  <si>
    <t xml:space="preserve">Root cause verified (D4)?</t>
  </si>
  <si>
    <t xml:space="preserve">D5 cannot legitimately start until D4 is closed</t>
  </si>
  <si>
    <t xml:space="preserve">Permanent actions validated (D6)?</t>
  </si>
  <si>
    <t xml:space="preserve">Containment is removed only after D6</t>
  </si>
  <si>
    <t xml:space="preserve">Systemic prevention done (D7)?</t>
  </si>
  <si>
    <t xml:space="preserve">The discipline that stops it happening on another line</t>
  </si>
  <si>
    <t xml:space="preserve">D3 containment verified</t>
  </si>
  <si>
    <t xml:space="preserve">Before anything else</t>
  </si>
  <si>
    <t xml:space="preserve">An exposed customer outranks the analysis timetable</t>
  </si>
  <si>
    <t xml:space="preserve">D4 covers occurrence and detection</t>
  </si>
  <si>
    <t xml:space="preserve">Both</t>
  </si>
  <si>
    <t xml:space="preserve">An escape has two root causes</t>
  </si>
  <si>
    <t xml:space="preserve">D6 validated with evidence</t>
  </si>
  <si>
    <t xml:space="preserve">Data, not an implementation date</t>
  </si>
  <si>
    <t xml:space="preserve">Containment stays until D6 is proven</t>
  </si>
  <si>
    <t xml:space="preserve">D7 horizontal deployment</t>
  </si>
  <si>
    <t xml:space="preserve">Explicitly considered</t>
  </si>
  <si>
    <t xml:space="preserve">The same gap almost always exists on another line</t>
  </si>
  <si>
    <t xml:space="preserve">Tracked</t>
  </si>
  <si>
    <t xml:space="preserve">8D is customer-facing; lateness is visible to them</t>
  </si>
  <si>
    <t xml:space="preserve">•  Treating D3 containment as the solution and closing the 8D there.</t>
  </si>
  <si>
    <t xml:space="preserve">•  Removing containment before D6 has validated the permanent action.</t>
  </si>
  <si>
    <t xml:space="preserve">•  Skipping the is / is-not in D2, and then investigating causes the boundaries had already eliminated.</t>
  </si>
  <si>
    <t xml:space="preserve">•  Writing D4 as a single chain and never asking why detection failed.</t>
  </si>
  <si>
    <t xml:space="preserve">•  Skipping D7, so the identical problem appears on another line six months later.</t>
  </si>
  <si>
    <t xml:space="preserve">•  Filling in the form to satisfy the customer without doing the underlying work.</t>
  </si>
  <si>
    <t xml:space="preserve">Q1.  Why does containment (D3) come before root cause (D4)?</t>
  </si>
  <si>
    <t xml:space="preserve">A1.  Because the customer is exposed now and the cause may take weeks to find. Containment buys the time to do D4 properly. It is explicitly interim — it protects, it does not fix, and it stays in place until D6 validates the permanent action.</t>
  </si>
  <si>
    <t xml:space="preserve">Q2.  What does the is / is-not analysis in D2 actually buy you?</t>
  </si>
  <si>
    <t xml:space="preserve">A2.  It eliminates families of causes before data collection. If the defect is on one valve and not the other thirty-nine, no machine-wide setting can explain it. If it started at 02:10 and not before, something changed at 02:10. Each boundary removes a large part of the search space for free.</t>
  </si>
  <si>
    <t xml:space="preserve">Q3.  An 8D is closed at D6 with the permanent action validated. What has been missed?</t>
  </si>
  <si>
    <t xml:space="preserve">A3.  D7 and D8. Without D7 the systems that allowed the failure — the FMEA gap, the missing control plan entry, the same unscreened transfer on the other line — are unchanged, so the problem recurs elsewhere. D7 is where the return on the whole exercise is realised.</t>
  </si>
  <si>
    <t xml:space="preserve">H-16 — Control Plan and Reaction Plan (OCAP)</t>
  </si>
  <si>
    <t xml:space="preserve">Phase: CONTROL   |   Data required: Characteristics, specifications, measurement methods and capability   |   Min. sample: n/a   |   Complexity: 3/5   |   Output: A control plan with a three-level reaction plan for every characteristic</t>
  </si>
  <si>
    <t xml:space="preserve">What is measured, by whom, how often — and exactly what happens when it goes out of control?</t>
  </si>
  <si>
    <t xml:space="preserve">In the Control phase of every project, and as the standing document that keeps a process controlled afterwards.</t>
  </si>
  <si>
    <t xml:space="preserve">A control plan for each characteristic, and a three-level reaction plan that tells the operator what to do when it signals.</t>
  </si>
  <si>
    <t xml:space="preserve">A control plan lists every characteristic that must stay controlled and, for each one, the specification, the measurement method, the sample size, the frequency, who measures it, where it is recorded, and how it is controlled.</t>
  </si>
  <si>
    <t xml:space="preserve">That list alone is a measurement plan, not a control plan. What makes it a control plan is the reaction plan attached to each row — the answer to the only question the operator actually has when the chart signals at three in the morning: what do I do now, and who do I call if it does not resolve?</t>
  </si>
  <si>
    <t xml:space="preserve">The reaction plan is also called an OCAP, an out-of-control action plan. It must always cover two separate questions. What happens to the PROCESS — stop, adjust, requalify — and what happens to the PRODUCT made since the last conforming check. Plans that address only the process leave suspect product moving down the line.</t>
  </si>
  <si>
    <t xml:space="preserve">Three levels work well in practice. Level 1 is the operator adjusting within their authority. Level 2 is the team leader and technician investigating a recurrence. Level 3 is escalation and containment, including product that has already shipped. Each level names who acts, within what time, and to whom it escalates.</t>
  </si>
  <si>
    <t xml:space="preserve">The control plan is the natural output of the FMEA. Every high Action Priority failure mode should appear here as a controlled characteristic, and the strength of that control should reflect the Detection rating that was claimed in the FMEA.</t>
  </si>
  <si>
    <t xml:space="preserve">Capability drives the sampling. A characteristic with Cpk below 1.00 cannot be controlled by sampling at all — it needs 100% inspection written into the plan until the process is improved.</t>
  </si>
  <si>
    <t xml:space="preserve">It is a living document, reviewed after every process change, every escape and every FMEA revision.</t>
  </si>
  <si>
    <t xml:space="preserve">✓  In the Control phase of every project, as the deliverable that holds the gain.</t>
  </si>
  <si>
    <t xml:space="preserve">✗  The process is not yet stable or capable — stabilise first, or write 100% inspection into the plan.</t>
  </si>
  <si>
    <t xml:space="preserve">✓  As the standing operational document for a line or a product family.</t>
  </si>
  <si>
    <t xml:space="preserve">✗  As a document written for an audit and never used at the line.</t>
  </si>
  <si>
    <t xml:space="preserve">✓  To convert FMEA findings into daily practice.</t>
  </si>
  <si>
    <t xml:space="preserve">✗  Without the operators, who have to live with the sampling frequency and the reaction rules.</t>
  </si>
  <si>
    <t xml:space="preserve">✓  For customer and certification audits, where it is normally a required document.</t>
  </si>
  <si>
    <t xml:space="preserve">Every characteristic has a reaction plan</t>
  </si>
  <si>
    <t xml:space="preserve">Count the rows with a reaction plan reference against the total</t>
  </si>
  <si>
    <t xml:space="preserve">Write the missing ones; without them it is a measurement plan</t>
  </si>
  <si>
    <t xml:space="preserve">The measurement system is capable for each characteristic</t>
  </si>
  <si>
    <t xml:space="preserve">Gage R&amp;R for every variable characteristic on the plan</t>
  </si>
  <si>
    <t xml:space="preserve">Fix the measurement system before relying on the control</t>
  </si>
  <si>
    <t xml:space="preserve">Sampling frequency matches the risk and the capability</t>
  </si>
  <si>
    <t xml:space="preserve">Compare frequency against Cpk and against the FMEA Severity</t>
  </si>
  <si>
    <t xml:space="preserve">Increase sampling on marginal characteristics; 100% inspection below Cpk 1.00</t>
  </si>
  <si>
    <t xml:space="preserve">The reaction plan covers the product as well as the process</t>
  </si>
  <si>
    <t xml:space="preserve">Each level names what happens to product made since the last good check</t>
  </si>
  <si>
    <t xml:space="preserve">Add the product action; process-only reactions let suspect product escape</t>
  </si>
  <si>
    <t xml:space="preserve">The control plan is a specification, not a calculation. The decision rules are:</t>
  </si>
  <si>
    <t xml:space="preserve">Cpk &gt;= 1.33   capable — sample at the planned frequency 1.00 - 1.33   marginal — increase the sampling frequency and open a capability project Cpk &lt; 1.00    not capable — 100% inspection written into the plan until the process is improved</t>
  </si>
  <si>
    <t xml:space="preserve">THE THREE-LEVEL REACTION PLAN (OCAP), for every characteristic:</t>
  </si>
  <si>
    <t xml:space="preserve">   LEVEL 1  ADJUST       operator · immediately · correct and verify · quarantine to the last good check</t>
  </si>
  <si>
    <t xml:space="preserve">   LEVEL 2  INVESTIGATE  team leader + technician · 15 min · fault-find, replace, requalify · 100% inspect</t>
  </si>
  <si>
    <t xml:space="preserve">   LEVEL 3  ESCALATE     supervisor + Quality · 60 min · stop, no restart without release, raise an 8D</t>
  </si>
  <si>
    <t xml:space="preserve">Every level must state:  the TRIGGER · WHO acts · WITHIN what time · action on the PROCESS · action on the PRODUCT · WHO it escalates to.</t>
  </si>
  <si>
    <t xml:space="preserve">Nested IF on Cpk</t>
  </si>
  <si>
    <t xml:space="preserve">IF(Cpk&gt;=1.33,"Capable",IF(Cpk&gt;=1,"Marginal","NOT capable"))</t>
  </si>
  <si>
    <t xml:space="preserve">Capability status per characteristic</t>
  </si>
  <si>
    <t xml:space="preserve">COUNTIF with criteria strings</t>
  </si>
  <si>
    <t xml:space="preserve">COUNTIF(Cpk, "&gt;=1.33")</t>
  </si>
  <si>
    <t xml:space="preserve">Counts capable, marginal and non-capable characteristics</t>
  </si>
  <si>
    <t xml:space="preserve">COUNTIF(method, "*Poka-yoke*")</t>
  </si>
  <si>
    <t xml:space="preserve">Counts error-proofed controls</t>
  </si>
  <si>
    <t xml:space="preserve">COUNTA difference</t>
  </si>
  <si>
    <t xml:space="preserve">COUNTA(chars) - COUNTA(reaction plans)</t>
  </si>
  <si>
    <t xml:space="preserve">Finds characteristics with no reaction plan</t>
  </si>
  <si>
    <t xml:space="preserve">SMALL with an offset</t>
  </si>
  <si>
    <t xml:space="preserve">SMALL(Cpk, COUNTIF(Cpk,0)+1)</t>
  </si>
  <si>
    <t xml:space="preserve">Lowest non-zero Cpk: skips the attribute rows, which carry a zero</t>
  </si>
  <si>
    <t xml:space="preserve">Scenario: the control plan for the PET line after the fill volume project, covering eight characteristics across filling, capping, labelling and blow moulding, each with a reaction plan reference into the three-level OCAP below.</t>
  </si>
  <si>
    <t xml:space="preserve">Control plan — one row per characteristic that must stay controlled</t>
  </si>
  <si>
    <t xml:space="preserve">Characteristic</t>
  </si>
  <si>
    <t xml:space="preserve">Measurement method</t>
  </si>
  <si>
    <t xml:space="preserve">Who measures</t>
  </si>
  <si>
    <t xml:space="preserve">Where it is recorded</t>
  </si>
  <si>
    <t xml:space="preserve">Control method</t>
  </si>
  <si>
    <t xml:space="preserve">Current Cpk</t>
  </si>
  <si>
    <t xml:space="preserve">Reaction plan</t>
  </si>
  <si>
    <t xml:space="preserve">Capability status</t>
  </si>
  <si>
    <t xml:space="preserve">Filling</t>
  </si>
  <si>
    <t xml:space="preserve">Checkweigher, in-line</t>
  </si>
  <si>
    <t xml:space="preserve">Every 30 min</t>
  </si>
  <si>
    <t xml:space="preserve">Xbar-R chart at the line (E-50)</t>
  </si>
  <si>
    <t xml:space="preserve">SPC with reaction rules</t>
  </si>
  <si>
    <t xml:space="preserve">RP-01</t>
  </si>
  <si>
    <t xml:space="preserve">4.0 +/- 1.0 C</t>
  </si>
  <si>
    <t xml:space="preserve">Bowl thermocouple</t>
  </si>
  <si>
    <t xml:space="preserve">I-MR chart (E-49) plus HMI alarm</t>
  </si>
  <si>
    <t xml:space="preserve">SPC plus alarm</t>
  </si>
  <si>
    <t xml:space="preserve">RP-02</t>
  </si>
  <si>
    <t xml:space="preserve">Capping</t>
  </si>
  <si>
    <t xml:space="preserve">Torque tester, offline</t>
  </si>
  <si>
    <t xml:space="preserve">Xbar-R chart (E-50)</t>
  </si>
  <si>
    <t xml:space="preserve">RP-03</t>
  </si>
  <si>
    <t xml:space="preserve">Cap colour vs SKU</t>
  </si>
  <si>
    <t xml:space="preserve">Bar-code scan at the carton</t>
  </si>
  <si>
    <t xml:space="preserve">Every carton</t>
  </si>
  <si>
    <t xml:space="preserve">Poka-yoke, prevention level (L-17)</t>
  </si>
  <si>
    <t xml:space="preserve">Error-proofed</t>
  </si>
  <si>
    <t xml:space="preserve">RP-04</t>
  </si>
  <si>
    <t xml:space="preserve">Labelling</t>
  </si>
  <si>
    <t xml:space="preserve">1.0 mm max from the datum</t>
  </si>
  <si>
    <t xml:space="preserve">Every 2 h</t>
  </si>
  <si>
    <t xml:space="preserve">I-MR chart (E-49)</t>
  </si>
  <si>
    <t xml:space="preserve">RP-05</t>
  </si>
  <si>
    <t xml:space="preserve">Glue temperature</t>
  </si>
  <si>
    <t xml:space="preserve">165 +/- 3 C</t>
  </si>
  <si>
    <t xml:space="preserve">Tank thermocouple</t>
  </si>
  <si>
    <t xml:space="preserve">HMI alarm band</t>
  </si>
  <si>
    <t xml:space="preserve">Alarm</t>
  </si>
  <si>
    <t xml:space="preserve">RP-06</t>
  </si>
  <si>
    <t xml:space="preserve">Blow moulding</t>
  </si>
  <si>
    <t xml:space="preserve">Bottle wall thickness</t>
  </si>
  <si>
    <t xml:space="preserve">0.28 +/- 0.03 mm</t>
  </si>
  <si>
    <t xml:space="preserve">Micrometer, offline</t>
  </si>
  <si>
    <t xml:space="preserve">Every 4 h</t>
  </si>
  <si>
    <t xml:space="preserve">Technician</t>
  </si>
  <si>
    <t xml:space="preserve">RP-07</t>
  </si>
  <si>
    <t xml:space="preserve">Preform fragment screen</t>
  </si>
  <si>
    <t xml:space="preserve">Screen present and intact</t>
  </si>
  <si>
    <t xml:space="preserve">Visual inspection</t>
  </si>
  <si>
    <t xml:space="preserve">Every changeover</t>
  </si>
  <si>
    <t xml:space="preserve">Checklist in standard work (L-14)</t>
  </si>
  <si>
    <t xml:space="preserve">Verification</t>
  </si>
  <si>
    <t xml:space="preserve">RP-08</t>
  </si>
  <si>
    <t xml:space="preserve">Reaction plan (OCAP) — three levels, applying to every characteristic above</t>
  </si>
  <si>
    <t xml:space="preserve">A control plan without a reaction plan is a measurement plan. The reaction plan answers the only question that matters when the chart signals at three in the morning: what do I do right now, what happens to the product already made, and who do I call if it does not resolve?</t>
  </si>
  <si>
    <t xml:space="preserve">Trigger</t>
  </si>
  <si>
    <t xml:space="preserve">Who acts</t>
  </si>
  <si>
    <t xml:space="preserve">Action on the PROCESS</t>
  </si>
  <si>
    <t xml:space="preserve">Action on the PRODUCT</t>
  </si>
  <si>
    <t xml:space="preserve">Escalate to</t>
  </si>
  <si>
    <t xml:space="preserve">LEVEL 1  Adjust</t>
  </si>
  <si>
    <t xml:space="preserve">One point outside the control limits, or 2 of 3 beyond 2 sigma</t>
  </si>
  <si>
    <t xml:space="preserve">Stop, check the setting against the standard, correct it, run a verification subgroup</t>
  </si>
  <si>
    <t xml:space="preserve">Quarantine everything back to the last conforming check</t>
  </si>
  <si>
    <t xml:space="preserve">Team leader if not resolved within 15 min</t>
  </si>
  <si>
    <t xml:space="preserve">LEVEL 2  Investigate</t>
  </si>
  <si>
    <t xml:space="preserve">Level 1 recurs within the shift, or a run of 7 on one side of the centre line</t>
  </si>
  <si>
    <t xml:space="preserve">Team leader with the technician</t>
  </si>
  <si>
    <t xml:space="preserve">15 minutes</t>
  </si>
  <si>
    <t xml:space="preserve">Stop, apply the fault-finding checklist, replace the suspect component, requalify with 3 subgroups</t>
  </si>
  <si>
    <t xml:space="preserve">Quarantine and 100% inspect the affected period</t>
  </si>
  <si>
    <t xml:space="preserve">Shift supervisor if not resolved within 60 min</t>
  </si>
  <si>
    <t xml:space="preserve">LEVEL 3  Escalate and contain</t>
  </si>
  <si>
    <t xml:space="preserve">Level 2 unresolved after 60 min, or any Severity 9-10 failure mode from the FMEA</t>
  </si>
  <si>
    <t xml:space="preserve">Shift supervisor and Quality</t>
  </si>
  <si>
    <t xml:space="preserve">60 minutes</t>
  </si>
  <si>
    <t xml:space="preserve">Stop the line; no restart without Quality release; raise an 8D (H-15)</t>
  </si>
  <si>
    <t xml:space="preserve">Full containment including product already dispatched; notify the customer if it has shipped</t>
  </si>
  <si>
    <t xml:space="preserve">Packaging Manager and Plant Manager immediately</t>
  </si>
  <si>
    <t xml:space="preserve">Control plan health check</t>
  </si>
  <si>
    <t xml:space="preserve">Characteristics controlled</t>
  </si>
  <si>
    <t xml:space="preserve">With a reaction plan reference</t>
  </si>
  <si>
    <t xml:space="preserve">Must equal the row above — otherwise it is a measurement plan</t>
  </si>
  <si>
    <t xml:space="preserve">Characteristics without a reaction plan</t>
  </si>
  <si>
    <t xml:space="preserve">Each one is an uncontrolled characteristic</t>
  </si>
  <si>
    <t xml:space="preserve">Variable characteristics</t>
  </si>
  <si>
    <t xml:space="preserve">Those that carry a Cpk</t>
  </si>
  <si>
    <t xml:space="preserve">Capable (Cpk &gt;= 1.33)</t>
  </si>
  <si>
    <t xml:space="preserve">Marginal (1.00 to 1.33)</t>
  </si>
  <si>
    <t xml:space="preserve">Increase sampling until capability improves</t>
  </si>
  <si>
    <t xml:space="preserve">Not capable (below 1.00)</t>
  </si>
  <si>
    <t xml:space="preserve">100% inspection until fixed</t>
  </si>
  <si>
    <t xml:space="preserve">Lowest Cpk among the variable characteristics</t>
  </si>
  <si>
    <t xml:space="preserve">Skips the attribute rows, which carry a zero</t>
  </si>
  <si>
    <t xml:space="preserve">Weakest characteristic</t>
  </si>
  <si>
    <t xml:space="preserve">Where the control plan is thinnest</t>
  </si>
  <si>
    <t xml:space="preserve">Error-proofed characteristics</t>
  </si>
  <si>
    <t xml:space="preserve">Controls that do not depend on anyone remembering</t>
  </si>
  <si>
    <t xml:space="preserve">Characteristics with a reaction plan</t>
  </si>
  <si>
    <t xml:space="preserve">Anything less is a measurement plan</t>
  </si>
  <si>
    <t xml:space="preserve">Cpk &gt;= 1.33</t>
  </si>
  <si>
    <t xml:space="preserve">Sample at the planned frequency</t>
  </si>
  <si>
    <t xml:space="preserve">Cpk 1.00 to 1.33</t>
  </si>
  <si>
    <t xml:space="preserve">Increase sampling, open a capability project</t>
  </si>
  <si>
    <t xml:space="preserve">Cpk &lt; 1.00</t>
  </si>
  <si>
    <t xml:space="preserve">100% inspection written into the plan</t>
  </si>
  <si>
    <t xml:space="preserve">Sampling cannot control an incapable process</t>
  </si>
  <si>
    <t xml:space="preserve">Reaction plan covers the product</t>
  </si>
  <si>
    <t xml:space="preserve">Every level</t>
  </si>
  <si>
    <t xml:space="preserve">Process-only reactions let suspect product move on</t>
  </si>
  <si>
    <t xml:space="preserve">Reviewed after any process change</t>
  </si>
  <si>
    <t xml:space="preserve">A control plan that predates the process it controls is fiction</t>
  </si>
  <si>
    <t xml:space="preserve">•  Writing a control plan with no reaction plan, which tells the operator to measure but not what to do.</t>
  </si>
  <si>
    <t xml:space="preserve">•  Reacting only on the process and letting the product made since the last check continue down the line.</t>
  </si>
  <si>
    <t xml:space="preserve">•  Sampling at the same frequency regardless of capability or of the FMEA severity.</t>
  </si>
  <si>
    <t xml:space="preserve">•  Writing the plan for the auditor rather than for the operator, so nobody at the line has read it.</t>
  </si>
  <si>
    <t xml:space="preserve">•  Leaving the plan unchanged after a process change, an escape or an FMEA revision.</t>
  </si>
  <si>
    <t xml:space="preserve">•  Relying on operator vigilance where a poka-yoke would remove the decision entirely.</t>
  </si>
  <si>
    <t xml:space="preserve">Q1.  What is the difference between a control plan and a measurement plan?</t>
  </si>
  <si>
    <t xml:space="preserve">A1.  The reaction plan. A measurement plan says what is measured, by whom and how often. A control plan adds what happens when the measurement signals — the action on the process, the action on the product already made, the time limit and the escalation. Without that, nothing is actually controlled.</t>
  </si>
  <si>
    <t xml:space="preserve">Q2.  A characteristic has Cpk = 0.85. What must the control plan say?</t>
  </si>
  <si>
    <t xml:space="preserve">A2.  That 100% inspection applies until the process is improved. Sampling cannot control an incapable process: with Cpk below 1.00 a meaningful share of output falls outside specification between samples, whatever the sampling frequency. The plan should also reference the capability project that will fix it.</t>
  </si>
  <si>
    <t xml:space="preserve">Q3.  Why must every reaction level state an action on the product as well as on the process?</t>
  </si>
  <si>
    <t xml:space="preserve">A3.  Because correcting the process does nothing about the units already made since the last conforming check. Every level needs a containment boundary — quarantine back to the last good check, 100% inspect the affected period, or full containment including dispatched stock at level 3.</t>
  </si>
  <si>
    <t xml:space="preserve">G-01 — Project Selection and Portfolio Prioritisation</t>
  </si>
  <si>
    <t xml:space="preserve">Phase: DEFINE   |   Data required: Candidate list with estimated benefit and effort   |   Min. sample: n/a   |   Complexity: 2/5   |   Output: A weighted, ranked portfolio with a capacity check</t>
  </si>
  <si>
    <t xml:space="preserve">Of everything we could improve, which projects should actually be chartered this quarter?</t>
  </si>
  <si>
    <t xml:space="preserve">At the start of every improvement wave, and whenever more candidate projects exist than Belts to run them.</t>
  </si>
  <si>
    <t xml:space="preserve">A weighted ranking with benefit per unit of effort and an explicit check against available capacity.</t>
  </si>
  <si>
    <t xml:space="preserve">Project selection is where most improvement programmes are won or lost. A well-run project on the wrong problem returns nothing, and a portfolio of twelve simultaneous projects with three Belts returns less than a portfolio of three.</t>
  </si>
  <si>
    <t xml:space="preserve">The criteria and their weights must be agreed before the candidates are scored. Agreeing them afterwards means the scoring reverse-engineers whatever the loudest sponsor already wanted.</t>
  </si>
  <si>
    <t xml:space="preserve">Two rankings matter and they frequently disagree. The weighted score says which project best serves the plant's stated priorities. Benefit per person-month says which project returns most per unit of scarce Belt time. When they point at different projects, that disagreement is the conversation to have with the Champion — not something to resolve silently in a spreadsheet.</t>
  </si>
  <si>
    <t xml:space="preserve">The capacity check is the discipline nobody applies. A portfolio that exceeds available Belt capacity does not deliver late; it delivers nothing, because every project stalls at the same time. Selecting three and sequencing the fourth is almost always better than starting four.</t>
  </si>
  <si>
    <t xml:space="preserve">Data availability deserves a heavy weight on a packaging line. A project whose Y is already measured by a capable system starts in Analyze; a project whose Y is not measured at all spends its first two months building a measurement system before it can even establish a baseline.</t>
  </si>
  <si>
    <t xml:space="preserve">✓  At the start of an improvement wave, when candidates outnumber the Belts available.</t>
  </si>
  <si>
    <t xml:space="preserve">✗  There is only one candidate and it is obviously correct.</t>
  </si>
  <si>
    <t xml:space="preserve">✓  To make the selection defensible to the projects that were not chosen.</t>
  </si>
  <si>
    <t xml:space="preserve">✗  The candidates have no benefit estimate at all — estimate first, even roughly.</t>
  </si>
  <si>
    <t xml:space="preserve">✓  To check that the selected portfolio fits the resource the plant actually has.</t>
  </si>
  <si>
    <t xml:space="preserve">✗  As a substitute for a charter. Selection says which problem; the charter says what done looks like.</t>
  </si>
  <si>
    <t xml:space="preserve">✓  To separate the highest-value project from the fastest-return project.</t>
  </si>
  <si>
    <t xml:space="preserve">Criteria and weights agreed before scoring</t>
  </si>
  <si>
    <t xml:space="preserve">Written and signed off by the Champion before any candidate is scored</t>
  </si>
  <si>
    <t xml:space="preserve">Reset; criteria chosen after the candidates are known produce the preferred answer</t>
  </si>
  <si>
    <t xml:space="preserve">Benefit estimates are sanity-checked with Finance</t>
  </si>
  <si>
    <t xml:space="preserve">Order-of-magnitude agreement with Controlling</t>
  </si>
  <si>
    <t xml:space="preserve">Rank on the criteria only, and leave the money column provisional</t>
  </si>
  <si>
    <t xml:space="preserve">Effort estimates reflect Belt time, not calendar time</t>
  </si>
  <si>
    <t xml:space="preserve">Person-months of Belt and team effort, not project duration</t>
  </si>
  <si>
    <t xml:space="preserve">Re-estimate; calendar duration hides the resource conflict the capacity check exists to expose</t>
  </si>
  <si>
    <t xml:space="preserve">G-08  Project Schedule and CPM</t>
  </si>
  <si>
    <t xml:space="preserve">The candidate is a real DMAIC problem</t>
  </si>
  <si>
    <t xml:space="preserve">Cause unknown, Y measurable, solution not already obvious</t>
  </si>
  <si>
    <t xml:space="preserve">Route it to a Just Do It or a Kaizen event instead</t>
  </si>
  <si>
    <t xml:space="preserve">Weighted score  =  sum over the criteria of ( candidate score  x  criterion weight ) Benefit per person-month  =  estimated annual benefit / estimated effort in person-months Rank  =  RANK of the weighted score, largest first</t>
  </si>
  <si>
    <t xml:space="preserve">Capacity check:  total effort of the selected projects  &lt;=  available Belt capacity this wave</t>
  </si>
  <si>
    <t xml:space="preserve">Two rankings, deliberately kept separate:</t>
  </si>
  <si>
    <t xml:space="preserve">WEIGHTED SCORE          which project best serves the plant's stated priorities BENEFIT PER EFFORT      which project returns most per unit of scarce Belt time When they disagree, escalate the choice rather than resolving it arithmetically.</t>
  </si>
  <si>
    <t xml:space="preserve">C60*$C$50+D60*$C$51+...</t>
  </si>
  <si>
    <t xml:space="preserve">Weighted score; written out because the scores run across a row and the weights down a column</t>
  </si>
  <si>
    <t xml:space="preserve">SUMIF with a wildcard</t>
  </si>
  <si>
    <t xml:space="preserve">SUMIF(decision, "SELECT*", benefit)</t>
  </si>
  <si>
    <t xml:space="preserve">Totals benefit and effort across the selected wave only</t>
  </si>
  <si>
    <t xml:space="preserve">INDEX(projects, MATCH(MAX(ratio), ratio, 0))</t>
  </si>
  <si>
    <t xml:space="preserve">Names the best return per person-month</t>
  </si>
  <si>
    <t xml:space="preserve">IF(RANK(...)&lt;=3, "SELECT", ...)</t>
  </si>
  <si>
    <t xml:space="preserve">Turns the ranking into an explicit decision</t>
  </si>
  <si>
    <t xml:space="preserve">Scenario: seven candidate projects proposed for the Q4 2026 improvement wave, scored against seven weighted criteria agreed with the Plant Manager, with benefit estimates sanity-checked by Controlling and 12 person-months of Belt capacity available.</t>
  </si>
  <si>
    <t xml:space="preserve">Step 1 — the weighting the plant applies to every candidate</t>
  </si>
  <si>
    <t xml:space="preserve">Selection criterion</t>
  </si>
  <si>
    <t xml:space="preserve">What a high score means</t>
  </si>
  <si>
    <t xml:space="preserve">Who owns the rating</t>
  </si>
  <si>
    <t xml:space="preserve">Financial benefit per year</t>
  </si>
  <si>
    <t xml:space="preserve">Large, validated, recurring saving</t>
  </si>
  <si>
    <t xml:space="preserve">Strategic fit</t>
  </si>
  <si>
    <t xml:space="preserve">Directly serves a stated plant objective</t>
  </si>
  <si>
    <t xml:space="preserve">Data availability</t>
  </si>
  <si>
    <t xml:space="preserve">The Y is already measured by a capable system</t>
  </si>
  <si>
    <t xml:space="preserve">Probability of success</t>
  </si>
  <si>
    <t xml:space="preserve">Cause is tractable and inside our control</t>
  </si>
  <si>
    <t xml:space="preserve">Speed to result</t>
  </si>
  <si>
    <t xml:space="preserve">Deliverable within one to two quarters</t>
  </si>
  <si>
    <t xml:space="preserve">Champion</t>
  </si>
  <si>
    <t xml:space="preserve">Customer or safety impact</t>
  </si>
  <si>
    <t xml:space="preserve">Removes a customer or safety exposure</t>
  </si>
  <si>
    <t xml:space="preserve">Quality / SHE</t>
  </si>
  <si>
    <t xml:space="preserve">Replicability</t>
  </si>
  <si>
    <t xml:space="preserve">The result transfers to other lines or plants</t>
  </si>
  <si>
    <t xml:space="preserve">Step 2 — score every candidate project against the criteria (1 low, 5 high)</t>
  </si>
  <si>
    <t xml:space="preserve">Candidate project</t>
  </si>
  <si>
    <t xml:space="preserve">Financial</t>
  </si>
  <si>
    <t xml:space="preserve">Data available</t>
  </si>
  <si>
    <t xml:space="preserve">Prob. of success</t>
  </si>
  <si>
    <t xml:space="preserve">Speed</t>
  </si>
  <si>
    <t xml:space="preserve">Customer / safety</t>
  </si>
  <si>
    <t xml:space="preserve">Replicable</t>
  </si>
  <si>
    <t xml:space="preserve">Estimated benefit (USD/yr)</t>
  </si>
  <si>
    <t xml:space="preserve">Effort (person-months)</t>
  </si>
  <si>
    <t xml:space="preserve">Benefit per person-month</t>
  </si>
  <si>
    <t xml:space="preserve">Reduce fill volume giveaway, 500 ml PET</t>
  </si>
  <si>
    <t xml:space="preserve">Cut format changeover time on the PET line</t>
  </si>
  <si>
    <t xml:space="preserve">Reduce label placement defects</t>
  </si>
  <si>
    <t xml:space="preserve">Halve micro-stops at the palletiser</t>
  </si>
  <si>
    <t xml:space="preserve">Reduce keg leak rate, Monobloc 80</t>
  </si>
  <si>
    <t xml:space="preserve">Cut shrink film consumption per pallet</t>
  </si>
  <si>
    <t xml:space="preserve">Improve CO2 dosing consistency</t>
  </si>
  <si>
    <t xml:space="preserve">Candidates screened</t>
  </si>
  <si>
    <t xml:space="preserve">Which project</t>
  </si>
  <si>
    <t xml:space="preserve">The one to charter first</t>
  </si>
  <si>
    <t xml:space="preserve">Best benefit per person-month</t>
  </si>
  <si>
    <t xml:space="preserve">Often a different project from the highest score</t>
  </si>
  <si>
    <t xml:space="preserve">Total benefit of the selected three</t>
  </si>
  <si>
    <t xml:space="preserve">USD per year in the current wave</t>
  </si>
  <si>
    <t xml:space="preserve">Total effort of the selected three</t>
  </si>
  <si>
    <t xml:space="preserve">Person-months — check against available Belt capacity</t>
  </si>
  <si>
    <t xml:space="preserve">Available Belt capacity this wave</t>
  </si>
  <si>
    <t xml:space="preserve">Person-months the plant can actually resource</t>
  </si>
  <si>
    <t xml:space="preserve">Capacity check</t>
  </si>
  <si>
    <t xml:space="preserve">Selecting more than you can resource is the commonest portfolio error</t>
  </si>
  <si>
    <t xml:space="preserve">Selected effort vs capacity</t>
  </si>
  <si>
    <t xml:space="preserve">Must not exceed capacity</t>
  </si>
  <si>
    <t xml:space="preserve">Over-selection delivers nothing, not just late</t>
  </si>
  <si>
    <t xml:space="preserve">Compare against the weighted ranking</t>
  </si>
  <si>
    <t xml:space="preserve">When they disagree, escalate the choice</t>
  </si>
  <si>
    <t xml:space="preserve">Data availability score</t>
  </si>
  <si>
    <t xml:space="preserve">Low score means a long Measure phase</t>
  </si>
  <si>
    <t xml:space="preserve">Weight it heavily; it drives project duration more than anything else</t>
  </si>
  <si>
    <t xml:space="preserve">Benefit estimates</t>
  </si>
  <si>
    <t xml:space="preserve">Agreed in order of magnitude with Finance</t>
  </si>
  <si>
    <t xml:space="preserve">An unvalidated benefit is not a selection criterion</t>
  </si>
  <si>
    <t xml:space="preserve">•  Agreeing the criteria after seeing the candidates, which reverse-engineers the desired answer.</t>
  </si>
  <si>
    <t xml:space="preserve">•  Selecting more projects than the plant can resource, so all of them stall together.</t>
  </si>
  <si>
    <t xml:space="preserve">•  Ranking on benefit alone and choosing a project whose Y is not measured by anything.</t>
  </si>
  <si>
    <t xml:space="preserve">•  Chartering a problem whose solution is already known, which is a Just Do It, not a DMAIC project.</t>
  </si>
  <si>
    <t xml:space="preserve">•  Ignoring the disagreement between the weighted ranking and the return per unit of effort.</t>
  </si>
  <si>
    <t xml:space="preserve">Q1.  Why should data availability carry a heavy weight in project selection?</t>
  </si>
  <si>
    <t xml:space="preserve">A1.  Because it drives project duration more than almost anything else. A project whose Y is already measured by a capable system can establish a baseline in days; one whose Y is not measured spends its first two months building and validating a measurement system before Analyze can even begin.</t>
  </si>
  <si>
    <t xml:space="preserve">Q2.  The portfolio needs 18 person-months and 12 are available. What is the correct decision?</t>
  </si>
  <si>
    <t xml:space="preserve">A2.  Select fewer projects and sequence the rest. Over-committed portfolios do not deliver late — they stall simultaneously, because every project competes for the same Belt and the same team. Three finished projects beat five stalled ones.</t>
  </si>
  <si>
    <t xml:space="preserve">Q3.  The highest-scoring project is not the best benefit per person-month. What do you do?</t>
  </si>
  <si>
    <t xml:space="preserve">A3.  Take it to the Champion explicitly. The weighted score reflects stated strategic priorities; the ratio reflects efficient use of scarce Belt time. The trade-off between them is a management decision, not a spreadsheet one.</t>
  </si>
  <si>
    <t xml:space="preserve">G-02 — Business Case and Cost of Poor Quality</t>
  </si>
  <si>
    <t xml:space="preserve">Phase: DEFINE   |   Data required: Cost data by category, agreed with Controlling   |   Min. sample: 12 months of cost data   |   Complexity: 3/5   |   Output: COPQ by category, as a share of sales, and the financial case for one project</t>
  </si>
  <si>
    <t xml:space="preserve">What is poor quality actually costing this plant, and what is fixing it worth?</t>
  </si>
  <si>
    <t xml:space="preserve">In Define, to justify the project, and annually as a standing measure of where quality money is going.</t>
  </si>
  <si>
    <t xml:space="preserve">The four quality-cost categories in money, the failure share, and a payback and NPV for the project.</t>
  </si>
  <si>
    <t xml:space="preserve">Cost of quality splits into four categories. Prevention and appraisal are the money you choose to spend; internal and external failure are the money the process takes from you whether you like it or not. Cost of poor quality — COPQ — is the failure half: the money that would not exist if the process were right first time.</t>
  </si>
  <si>
    <t xml:space="preserve">The relationship between the halves is the whole argument. Plants that under-invest in prevention pay several times over in failure, and the ratio between the two is one of the most persuasive numbers a Black Belt can put in front of a sponsor.</t>
  </si>
  <si>
    <t xml:space="preserve">Most COPQ is hidden. Scrap and returns appear in the accounts; giveaway, downtime caused by quality stops, re-inspection, downgrade, the hidden factory of rework and the management time absorbed by complaints usually do not. On a filling line, giveaway alone is frequently the single largest item and is almost never in a quality report.</t>
  </si>
  <si>
    <t xml:space="preserve">External failure cost is systematically understated because the largest component — the customer who quietly stops buying — cannot be invoiced. Treat the recorded number as a floor, not an estimate.</t>
  </si>
  <si>
    <t xml:space="preserve">Every figure must be built with Finance rather than near Finance. The purpose is a number that survives the closure review, and a business case the plant controller has never seen will not.</t>
  </si>
  <si>
    <t xml:space="preserve">Typical benchmarks: total cost of quality of 15-25% of sales before improvement, 2-4% at world class.</t>
  </si>
  <si>
    <t xml:space="preserve">✓  Building the financial case in a project charter.</t>
  </si>
  <si>
    <t xml:space="preserve">✗  The cost data is not available and cannot be estimated — report the physical loss instead.</t>
  </si>
  <si>
    <t xml:space="preserve">✓  As an annual plant measure of where quality money is being spent.</t>
  </si>
  <si>
    <t xml:space="preserve">✗  Finance has not agreed the categories or the rates; the number will not survive scrutiny.</t>
  </si>
  <si>
    <t xml:space="preserve">✓  To argue for prevention investment against a failure cost nobody had added up.</t>
  </si>
  <si>
    <t xml:space="preserve">✗  As a stick to allocate blame between departments.</t>
  </si>
  <si>
    <t xml:space="preserve">✓  To size the prize before selecting projects (G-01).</t>
  </si>
  <si>
    <t xml:space="preserve">Costs are agreed with Controlling</t>
  </si>
  <si>
    <t xml:space="preserve">Named finance contact and agreed unit rates</t>
  </si>
  <si>
    <t xml:space="preserve">Report physical quantities until the money is agreed</t>
  </si>
  <si>
    <t xml:space="preserve">Hidden failure costs are included</t>
  </si>
  <si>
    <t xml:space="preserve">Check that giveaway, downtime from quality stops and rework are counted</t>
  </si>
  <si>
    <t xml:space="preserve">Add them; the visible half of COPQ is usually the smaller half</t>
  </si>
  <si>
    <t xml:space="preserve">No item is double counted</t>
  </si>
  <si>
    <t xml:space="preserve">Trace each item to a single category and a single source</t>
  </si>
  <si>
    <t xml:space="preserve">Remove the duplicate; double counting destroys credibility instantly</t>
  </si>
  <si>
    <t xml:space="preserve">The benefit claimed is a share of a real failure cost</t>
  </si>
  <si>
    <t xml:space="preserve">The project benefit traces to a line in the table above</t>
  </si>
  <si>
    <t xml:space="preserve">Re-base the claim; benefits invented outside the COPQ table do not validate</t>
  </si>
  <si>
    <t xml:space="preserve">THE FOUR CATEGORIES:</t>
  </si>
  <si>
    <t xml:space="preserve">PREVENTION        the cost of stopping defects happening APPRAISAL         the cost of finding them</t>
  </si>
  <si>
    <t xml:space="preserve">INTERNAL FAILURE  the cost of defects found before the customer EXTERNAL FAILURE  the cost of defects found by the customer</t>
  </si>
  <si>
    <t xml:space="preserve">TOTAL COST OF QUALITY  =  prevention + appraisal + internal failure + external failure COST OF POOR QUALITY   =  internal failure + external failure</t>
  </si>
  <si>
    <t xml:space="preserve">Ratios that carry the argument:</t>
  </si>
  <si>
    <t xml:space="preserve">COPQ as % of sales                    world class ~2-4%, common before improvement 15-25% prevention + appraisal / total        below ~40% means you are inspecting rather than preventing failure spend / prevention spend      how many USD of failure each USD of prevention sits against</t>
  </si>
  <si>
    <t xml:space="preserve">Project case:</t>
  </si>
  <si>
    <t xml:space="preserve">annual benefit  =  failure cost attacked  x  share removed payback (months) = project cost / net annual benefit x 12 NPV(3 yr)       = -cost + B/(1+r) + B/(1+r)^2 + B/(1+r)^3</t>
  </si>
  <si>
    <t xml:space="preserve">SUMIF(category, "INTERNAL FAILURE", cost)</t>
  </si>
  <si>
    <t xml:space="preserve">Rolls the cost items up by category</t>
  </si>
  <si>
    <t xml:space="preserve">OR inside IF</t>
  </si>
  <si>
    <t xml:space="preserve">IF(OR(cat="INTERNAL FAILURE", cat="EXTERNAL FAILURE"), cost, 0)</t>
  </si>
  <si>
    <t xml:space="preserve">Isolates the failure half of the cost of quality</t>
  </si>
  <si>
    <t xml:space="preserve">Power operator</t>
  </si>
  <si>
    <t xml:space="preserve">B/(1+r)^2</t>
  </si>
  <si>
    <t xml:space="preserve">Discounting for the NPV calculation</t>
  </si>
  <si>
    <t xml:space="preserve">Protects every ratio while the table is being filled</t>
  </si>
  <si>
    <t xml:space="preserve">Scenario: twelve months of quality cost for the PET line, built line by line with the plant controller, against 14.2 million USD of annual sales value. The project case at the bottom is the fill volume project chartered on H-01.</t>
  </si>
  <si>
    <t xml:space="preserve">Step 1 — the four categories of quality cost</t>
  </si>
  <si>
    <t xml:space="preserve">Visible or hidden?</t>
  </si>
  <si>
    <t xml:space="preserve">Typical behaviour when quality improves</t>
  </si>
  <si>
    <t xml:space="preserve">Training, standard work, MSA, planned maintenance, poka-yoke, process design</t>
  </si>
  <si>
    <t xml:space="preserve">Visible, budgeted</t>
  </si>
  <si>
    <t xml:space="preserve">Rises — and it is the only category you want to rise</t>
  </si>
  <si>
    <t xml:space="preserve">APPRAISAL</t>
  </si>
  <si>
    <t xml:space="preserve">Inspection, testing, audits, calibration, checkweigher operation</t>
  </si>
  <si>
    <t xml:space="preserve">Falls once the process becomes capable</t>
  </si>
  <si>
    <t xml:space="preserve">INTERNAL FAILURE</t>
  </si>
  <si>
    <t xml:space="preserve">Scrap, rework, re-inspection, downgrade, giveaway, downtime from defects</t>
  </si>
  <si>
    <t xml:space="preserve">Partly hidden</t>
  </si>
  <si>
    <t xml:space="preserve">Falls sharply — usually the largest single category</t>
  </si>
  <si>
    <t xml:space="preserve">EXTERNAL FAILURE</t>
  </si>
  <si>
    <t xml:space="preserve">Complaints, returns, credits, recalls, lost customers, brand damage</t>
  </si>
  <si>
    <t xml:space="preserve">Mostly hidden and often uncounted</t>
  </si>
  <si>
    <t xml:space="preserve">Falls, and is worth several times its recorded value</t>
  </si>
  <si>
    <t xml:space="preserve">Step 2 — cost of poor quality, this line, last twelve months</t>
  </si>
  <si>
    <t xml:space="preserve">Cost item</t>
  </si>
  <si>
    <t xml:space="preserve">% of total quality cost</t>
  </si>
  <si>
    <t xml:space="preserve">Failure cost (the part that should not exist)</t>
  </si>
  <si>
    <t xml:space="preserve">Operator training and certification</t>
  </si>
  <si>
    <t xml:space="preserve">Planned maintenance on the filler and capper</t>
  </si>
  <si>
    <t xml:space="preserve">MSA and calibration programme</t>
  </si>
  <si>
    <t xml:space="preserve">Checkweigher operation and QA sampling</t>
  </si>
  <si>
    <t xml:space="preserve">Retained-sample testing and lab time</t>
  </si>
  <si>
    <t xml:space="preserve">Internal and customer audits</t>
  </si>
  <si>
    <t xml:space="preserve">Fill volume giveaway</t>
  </si>
  <si>
    <t xml:space="preserve">Bottles rejected at the FBI</t>
  </si>
  <si>
    <t xml:space="preserve">Re-labelling of rejected pallets</t>
  </si>
  <si>
    <t xml:space="preserve">Downtime caused by quality stops</t>
  </si>
  <si>
    <t xml:space="preserve">Product downgraded or destroyed</t>
  </si>
  <si>
    <t xml:space="preserve">Customer complaints handling</t>
  </si>
  <si>
    <t xml:space="preserve">Credit notes and returns</t>
  </si>
  <si>
    <t xml:space="preserve">Depot rejections and re-delivery</t>
  </si>
  <si>
    <t xml:space="preserve">Step 3 — the roll-up</t>
  </si>
  <si>
    <t xml:space="preserve">Roll-up</t>
  </si>
  <si>
    <t xml:space="preserve">USD/yr</t>
  </si>
  <si>
    <t xml:space="preserve">Appraisal</t>
  </si>
  <si>
    <t xml:space="preserve">Internal failure</t>
  </si>
  <si>
    <t xml:space="preserve">External failure</t>
  </si>
  <si>
    <t xml:space="preserve">TOTAL COST OF QUALITY</t>
  </si>
  <si>
    <t xml:space="preserve">Everything above</t>
  </si>
  <si>
    <t xml:space="preserve">COST OF POOR QUALITY (failure only)</t>
  </si>
  <si>
    <t xml:space="preserve">Internal plus external failure — the money that should not exist</t>
  </si>
  <si>
    <t xml:space="preserve">Annual sales value of this line</t>
  </si>
  <si>
    <t xml:space="preserve">Total cost of quality as % of sales</t>
  </si>
  <si>
    <t xml:space="preserve">World class is roughly 2-4%; 15-25% is common before improvement</t>
  </si>
  <si>
    <t xml:space="preserve">COPQ as % of sales</t>
  </si>
  <si>
    <t xml:space="preserve">Prevention plus appraisal as a share of total</t>
  </si>
  <si>
    <t xml:space="preserve">Below ~40% means you are inspecting and repairing rather than preventing</t>
  </si>
  <si>
    <t xml:space="preserve">Ratio of failure to prevention spend</t>
  </si>
  <si>
    <t xml:space="preserve">Every 1 USD not spent on prevention is costing this many in failure</t>
  </si>
  <si>
    <t xml:space="preserve">Step 4 — the business case for one project</t>
  </si>
  <si>
    <t xml:space="preserve">Failure cost this project attacks</t>
  </si>
  <si>
    <t xml:space="preserve">From the table above — fill volume giveaway</t>
  </si>
  <si>
    <t xml:space="preserve">Share of it the project will remove</t>
  </si>
  <si>
    <t xml:space="preserve">From the charter target, not from hope</t>
  </si>
  <si>
    <t xml:space="preserve">Annual benefit</t>
  </si>
  <si>
    <t xml:space="preserve">Project cost</t>
  </si>
  <si>
    <t xml:space="preserve">Engineering, trials, instrumentation, Belt time</t>
  </si>
  <si>
    <t xml:space="preserve">Additional prevention spend per year</t>
  </si>
  <si>
    <t xml:space="preserve">The ongoing cost of holding the gain</t>
  </si>
  <si>
    <t xml:space="preserve">Net annual benefit</t>
  </si>
  <si>
    <t xml:space="preserve">Benefit minus the ongoing prevention cost</t>
  </si>
  <si>
    <t xml:space="preserve">Three-year net benefit</t>
  </si>
  <si>
    <t xml:space="preserve">Simple, undiscounted</t>
  </si>
  <si>
    <t xml:space="preserve">Discount rate</t>
  </si>
  <si>
    <t xml:space="preserve">Plant hurdle rate, agreed with Controlling</t>
  </si>
  <si>
    <t xml:space="preserve">NPV over three years</t>
  </si>
  <si>
    <t xml:space="preserve">Discounted at the hurdle rate</t>
  </si>
  <si>
    <t xml:space="preserve">Hard — reduced material usage</t>
  </si>
  <si>
    <t xml:space="preserve">Hard, soft or cost avoidance; validated on G-09</t>
  </si>
  <si>
    <t xml:space="preserve">2-4% world class, 15-25% common before improvement</t>
  </si>
  <si>
    <t xml:space="preserve">The headline number for a steering committee</t>
  </si>
  <si>
    <t xml:space="preserve">Prevention + appraisal share</t>
  </si>
  <si>
    <t xml:space="preserve">&gt;= 40% of total cost of quality</t>
  </si>
  <si>
    <t xml:space="preserve">Below this you are paying to find defects rather than to avoid them</t>
  </si>
  <si>
    <t xml:space="preserve">Failure to prevention ratio</t>
  </si>
  <si>
    <t xml:space="preserve">The lower the better</t>
  </si>
  <si>
    <t xml:space="preserve">The most persuasive single number for a prevention investment</t>
  </si>
  <si>
    <t xml:space="preserve">&lt; 12 months for a plant project</t>
  </si>
  <si>
    <t xml:space="preserve">Benefit traceability</t>
  </si>
  <si>
    <t xml:space="preserve">Every claimed benefit traces to a COPQ line</t>
  </si>
  <si>
    <t xml:space="preserve">Benefits invented outside the table do not validate at closure</t>
  </si>
  <si>
    <t xml:space="preserve">•  Counting only scrap and returns, and missing giveaway, downtime and rework — usually the larger half.</t>
  </si>
  <si>
    <t xml:space="preserve">•  Treating external failure cost as complete when the lost customer is never invoiced.</t>
  </si>
  <si>
    <t xml:space="preserve">•  Building the case without Finance and losing it at the closure review.</t>
  </si>
  <si>
    <t xml:space="preserve">•  Double counting the same loss in two categories, which destroys the credibility of the whole table.</t>
  </si>
  <si>
    <t xml:space="preserve">•  Claiming 100% removal of a failure cost; the charter target is the honest share.</t>
  </si>
  <si>
    <t xml:space="preserve">•  Reducing appraisal spend before the process is capable, which converts internal failure into external.</t>
  </si>
  <si>
    <t xml:space="preserve">Q1.  Prevention and appraisal are 22% of total cost of quality. What does that say about the plant?</t>
  </si>
  <si>
    <t xml:space="preserve">A1.  That it is spending most of its quality money finding and repairing defects rather than preventing them. Well-run operations sit above 40%. The ratio is the argument for prevention investment: the failure spend it displaces is usually several times larger.</t>
  </si>
  <si>
    <t xml:space="preserve">Q2.  Why is external failure cost almost always understated?</t>
  </si>
  <si>
    <t xml:space="preserve">A2.  Because its largest component — the customer who stops buying without complaining — never generates a transaction. Recorded external failure covers complaints, credits and returns only, so treat it as a floor rather than as an estimate.</t>
  </si>
  <si>
    <t xml:space="preserve">Q3.  A project claims it will remove 100% of a 178,000 USD failure cost. What is wrong?</t>
  </si>
  <si>
    <t xml:space="preserve">A3.  It is not credible, and it will not survive the closure review. The honest claim is the share the charter target actually delivers — if the target takes giveaway from 3.1 ml to 0.8 ml, the benefit is that proportion, not the whole line item.</t>
  </si>
  <si>
    <t xml:space="preserve">G-01  Project Selection</t>
  </si>
  <si>
    <t xml:space="preserve">G-03 — Stakeholder Analysis</t>
  </si>
  <si>
    <t xml:space="preserve">Phase: DEFINE   |   Data required: Judgement, refined by conversation with each stakeholder   |   Min. sample: n/a   |   Complexity: 1/5   |   Output: A power-interest map with the position gap and an engagement action per stakeholder</t>
  </si>
  <si>
    <t xml:space="preserve">Who can help or block this project, where do they stand today, and where do they need to stand?</t>
  </si>
  <si>
    <t xml:space="preserve">In Define, before the work starts — and again whenever the solution turns out to affect someone new.</t>
  </si>
  <si>
    <t xml:space="preserve">A power-interest map, the gap between current and required position, and a named engagement action for each person.</t>
  </si>
  <si>
    <t xml:space="preserve">Projects fail for political reasons far more often than for technical ones, and they fail late, at implementation, when the cost of failure is highest. Stakeholder analysis is the cheapest insurance a Black Belt can buy.</t>
  </si>
  <si>
    <t xml:space="preserve">Two dimensions matter. Power is the ability to stop or enable the project. Interest is how much the outcome affects them. The grid that results implies four different strategies, and applying the wrong one is worse than applying none — over-communicating with a high-power, low-interest stakeholder is a reliable way to make them interested in the wrong way.</t>
  </si>
  <si>
    <t xml:space="preserve">The second table on this sheet is the one that does the work: current position against required position. Not every stakeholder needs to be a champion. Most need only to be neutral, and demanding enthusiasm from someone who simply needs to not object wastes the effort the genuinely resistant stakeholders require.</t>
  </si>
  <si>
    <t xml:space="preserve">The dangerous cell is high power and currently resistant. That combination does not surface early — it surfaces at implementation, and by then the project has spent its budget and its credibility.</t>
  </si>
  <si>
    <t xml:space="preserve">Resistance is usually rational. The planner who resists trial time is defending schedule adherence, which is what they are measured on. Understanding what each stakeholder is optimising for turns resistance from an obstacle into information.</t>
  </si>
  <si>
    <t xml:space="preserve">Operators typically have low formal power and very high interest, which places them in Keep Informed.</t>
  </si>
  <si>
    <t xml:space="preserve">Treating that as a communication exercise rather than as involvement is the standard way to lose the people who actually know how the process runs.</t>
  </si>
  <si>
    <t xml:space="preserve">✓  At the start of every project, before the first data is collected.</t>
  </si>
  <si>
    <t xml:space="preserve">✗  As a document circulated to the stakeholders it assesses.</t>
  </si>
  <si>
    <t xml:space="preserve">✓  Again when the solution emerges, because it usually affects people the charter did not.</t>
  </si>
  <si>
    <t xml:space="preserve">✗  As a substitute for talking to people; the register records conversations, it does not replace them.</t>
  </si>
  <si>
    <t xml:space="preserve">✓  To plan how the change will be introduced (G-06) and how it will be communicated (G-05).</t>
  </si>
  <si>
    <t xml:space="preserve">✗  For a Just Do It affecting one person.</t>
  </si>
  <si>
    <t xml:space="preserve">✓  When a project is stalling for reasons that are not technical.</t>
  </si>
  <si>
    <t xml:space="preserve">Positions are based on conversation, not assumption</t>
  </si>
  <si>
    <t xml:space="preserve">Each position traces to something the person actually said</t>
  </si>
  <si>
    <t xml:space="preserve">Go and ask; assumed positions are wrong often enough to be dangerous</t>
  </si>
  <si>
    <t xml:space="preserve">The register is confidential to the project team</t>
  </si>
  <si>
    <t xml:space="preserve">Check who has access</t>
  </si>
  <si>
    <t xml:space="preserve">Restrict it; a leaked stakeholder map costs more than it ever saved</t>
  </si>
  <si>
    <t xml:space="preserve">G-05  Communication Plan</t>
  </si>
  <si>
    <t xml:space="preserve">Required positions are realistic</t>
  </si>
  <si>
    <t xml:space="preserve">Most stakeholders need neutral, not champion</t>
  </si>
  <si>
    <t xml:space="preserve">Lower the requirement; demanding enthusiasm everywhere wastes the effort resistance needs</t>
  </si>
  <si>
    <t xml:space="preserve">G-06  Change Management (ADKAR)</t>
  </si>
  <si>
    <t xml:space="preserve">The register is revisited when the solution changes</t>
  </si>
  <si>
    <t xml:space="preserve">Re-check at the end of Analyze</t>
  </si>
  <si>
    <t xml:space="preserve">Update it; the solution almost always affects someone the charter did not</t>
  </si>
  <si>
    <t xml:space="preserve">Power x interest  =  a simple priority index for contact frequency</t>
  </si>
  <si>
    <t xml:space="preserve">THE POWER-INTEREST GRID:</t>
  </si>
  <si>
    <t xml:space="preserve">High power, high interest  →  MANAGE CLOSELY   involve in decisions, direct regular contact High power, low interest   →  KEEP SATISFIED   consult on what affects them, do not overload Low power, high interest   →  KEEP INFORMED    involve in the work; your best source of reality Low power, low interest    →  MONITOR          minimum effort, periodic update</t>
  </si>
  <si>
    <t xml:space="preserve">POSITION SCALE:  1 Resistant · 2 Neutral · 3 Supportive · 4 Champion Position gap  =  required position  -  current position gap &gt;= 2  →  HIGH engagement effort, with a named action and a date gap  = 1  →  MEDIUM, a nudge</t>
  </si>
  <si>
    <t xml:space="preserve">   gap &lt;= 0  →  already where they need to be; do not spend effort here</t>
  </si>
  <si>
    <t xml:space="preserve">The dangerous combination:  POWER &gt;= 4  AND  currently RESISTANT.</t>
  </si>
  <si>
    <t xml:space="preserve">Nested IF with AND</t>
  </si>
  <si>
    <t xml:space="preserve">IF(AND(power&gt;=4,interest&gt;=4),"MANAGE CLOSELY",...)</t>
  </si>
  <si>
    <t xml:space="preserve">Assigns the power-interest quadrant</t>
  </si>
  <si>
    <t xml:space="preserve">Nested IF as a lookup</t>
  </si>
  <si>
    <t xml:space="preserve">IF(pos="Champion",4,IF(pos="Supportive",3,...))</t>
  </si>
  <si>
    <t xml:space="preserve">Converts the position words into a numeric scale so the gap can be computed</t>
  </si>
  <si>
    <t xml:space="preserve">COUNTIFS(position,"Resistant",power,"&gt;=4")</t>
  </si>
  <si>
    <t xml:space="preserve">Finds the dangerous combination of high power and resistance</t>
  </si>
  <si>
    <t xml:space="preserve">COUNTA(names) - COUNTA(actions)</t>
  </si>
  <si>
    <t xml:space="preserve">Finds stakeholders with no engagement action</t>
  </si>
  <si>
    <t xml:space="preserve">Scenario: the stakeholder register for the fill volume project, built by the Black Belt after one-to-one conversations with each party. Positions reflect what people actually said, not what was assumed.</t>
  </si>
  <si>
    <t xml:space="preserve">Stakeholder register — power, interest, current and required position</t>
  </si>
  <si>
    <t xml:space="preserve">Stakeholder</t>
  </si>
  <si>
    <t xml:space="preserve">Role in the project</t>
  </si>
  <si>
    <t xml:space="preserve">Power 1-5</t>
  </si>
  <si>
    <t xml:space="preserve">Interest 1-5</t>
  </si>
  <si>
    <t xml:space="preserve">Current position</t>
  </si>
  <si>
    <t xml:space="preserve">Position required</t>
  </si>
  <si>
    <t xml:space="preserve">Engagement action</t>
  </si>
  <si>
    <t xml:space="preserve">Power x interest</t>
  </si>
  <si>
    <t xml:space="preserve">Grid quadrant</t>
  </si>
  <si>
    <t xml:space="preserve">Position gap</t>
  </si>
  <si>
    <t xml:space="preserve">Engagement effort</t>
  </si>
  <si>
    <t xml:space="preserve">Supportive</t>
  </si>
  <si>
    <t xml:space="preserve">Monthly steering review; escalation path</t>
  </si>
  <si>
    <t xml:space="preserve">Weekly 1:1; co-owns the charter</t>
  </si>
  <si>
    <t xml:space="preserve">Shift supervisors (4)</t>
  </si>
  <si>
    <t xml:space="preserve">Implement daily</t>
  </si>
  <si>
    <t xml:space="preserve">Neutral</t>
  </si>
  <si>
    <t xml:space="preserve">Involve in the analysis; they own the standard</t>
  </si>
  <si>
    <t xml:space="preserve">Line operators (32)</t>
  </si>
  <si>
    <t xml:space="preserve">Do the work</t>
  </si>
  <si>
    <t xml:space="preserve">Resistant</t>
  </si>
  <si>
    <t xml:space="preserve">Gemba involvement; explain the why, not the what</t>
  </si>
  <si>
    <t xml:space="preserve">Maintenance Manager</t>
  </si>
  <si>
    <t xml:space="preserve">Provides technicians</t>
  </si>
  <si>
    <t xml:space="preserve">Agree technician time in advance, in writing</t>
  </si>
  <si>
    <t xml:space="preserve">Quality Manager</t>
  </si>
  <si>
    <t xml:space="preserve">Owns the specification</t>
  </si>
  <si>
    <t xml:space="preserve">Keep informed; joint sign-off on the control plan</t>
  </si>
  <si>
    <t xml:space="preserve">Validates the benefit</t>
  </si>
  <si>
    <t xml:space="preserve">Agree the benefit method before Measure closes</t>
  </si>
  <si>
    <t xml:space="preserve">Owns the schedule</t>
  </si>
  <si>
    <t xml:space="preserve">Trial time will cost them adherence; negotiate early</t>
  </si>
  <si>
    <t xml:space="preserve">Union representative</t>
  </si>
  <si>
    <t xml:space="preserve">Represents the crew</t>
  </si>
  <si>
    <t xml:space="preserve">Inform before any change to work content</t>
  </si>
  <si>
    <t xml:space="preserve">Group Engineering</t>
  </si>
  <si>
    <t xml:space="preserve">Approves capital</t>
  </si>
  <si>
    <t xml:space="preserve">Only engage if the solution needs capital</t>
  </si>
  <si>
    <t xml:space="preserve">The power-interest grid, and what each quadrant means</t>
  </si>
  <si>
    <t xml:space="preserve">Interest</t>
  </si>
  <si>
    <t xml:space="preserve">Strategy</t>
  </si>
  <si>
    <t xml:space="preserve">What goes wrong if you get it wrong</t>
  </si>
  <si>
    <t xml:space="preserve">MANAGE CLOSELY</t>
  </si>
  <si>
    <t xml:space="preserve">Involve in decisions; regular direct contact</t>
  </si>
  <si>
    <t xml:space="preserve">They block the project late, when it is expensive</t>
  </si>
  <si>
    <t xml:space="preserve">KEEP SATISFIED</t>
  </si>
  <si>
    <t xml:space="preserve">Consult on decisions that affect them; do not overload</t>
  </si>
  <si>
    <t xml:space="preserve">They discover the change at the worst moment and use their power</t>
  </si>
  <si>
    <t xml:space="preserve">KEEP INFORMED</t>
  </si>
  <si>
    <t xml:space="preserve">Involve in the work; they are your best source of reality</t>
  </si>
  <si>
    <t xml:space="preserve">You lose the people who know how the process really runs</t>
  </si>
  <si>
    <t xml:space="preserve">MONITOR</t>
  </si>
  <si>
    <t xml:space="preserve">Minimum effort; periodic update</t>
  </si>
  <si>
    <t xml:space="preserve">Little — but watch for a change in power or interest</t>
  </si>
  <si>
    <t xml:space="preserve">Stakeholders mapped</t>
  </si>
  <si>
    <t xml:space="preserve">Manage closely</t>
  </si>
  <si>
    <t xml:space="preserve">These need direct, regular contact from the Belt</t>
  </si>
  <si>
    <t xml:space="preserve">Currently resistant</t>
  </si>
  <si>
    <t xml:space="preserve">Each one needs a named action, not a hope</t>
  </si>
  <si>
    <t xml:space="preserve">High engagement effort required</t>
  </si>
  <si>
    <t xml:space="preserve">Position gap of 2 or more levels</t>
  </si>
  <si>
    <t xml:space="preserve">Resistant AND high power</t>
  </si>
  <si>
    <t xml:space="preserve">The most dangerous cell on the sheet</t>
  </si>
  <si>
    <t xml:space="preserve">Stakeholders with no engagement action</t>
  </si>
  <si>
    <t xml:space="preserve">An unplanned stakeholder is an unmanaged risk</t>
  </si>
  <si>
    <t xml:space="preserve">High power and resistant</t>
  </si>
  <si>
    <t xml:space="preserve">Zero, before implementation starts</t>
  </si>
  <si>
    <t xml:space="preserve">The single most common cause of late project failure</t>
  </si>
  <si>
    <t xml:space="preserve">Position gap &gt;= 2</t>
  </si>
  <si>
    <t xml:space="preserve">Named action with an owner and a date</t>
  </si>
  <si>
    <t xml:space="preserve">A gap this size does not close on its own</t>
  </si>
  <si>
    <t xml:space="preserve">Required position</t>
  </si>
  <si>
    <t xml:space="preserve">Neutral is enough for most stakeholders</t>
  </si>
  <si>
    <t xml:space="preserve">Demanding champions everywhere wastes finite effort</t>
  </si>
  <si>
    <t xml:space="preserve">Stakeholders without an action</t>
  </si>
  <si>
    <t xml:space="preserve">•  Assuming positions instead of asking, and being wrong about the one person who matters.</t>
  </si>
  <si>
    <t xml:space="preserve">•  Treating operators as an audience to be informed rather than as participants who know the process.</t>
  </si>
  <si>
    <t xml:space="preserve">•  Demanding that everyone becomes a champion, which exhausts the effort the resistant stakeholders need.</t>
  </si>
  <si>
    <t xml:space="preserve">•  Circulating the register to the people it assesses.</t>
  </si>
  <si>
    <t xml:space="preserve">•  Building it once in Define and never revisiting it when the solution turns out to affect new people.</t>
  </si>
  <si>
    <t xml:space="preserve">Q1.  Why is the high-power, currently-resistant stakeholder the most dangerous one on the register?</t>
  </si>
  <si>
    <t xml:space="preserve">A1.  Because their objection does not surface early. It surfaces at implementation, when the project has already spent its budget and its credibility, and when they have both the motive and the authority to stop it. Addressing them personally in Define is far cheaper than persuading them in Control.</t>
  </si>
  <si>
    <t xml:space="preserve">Q2.  The planner resists giving up line time for a trial. Is that a problem to overcome or information?</t>
  </si>
  <si>
    <t xml:space="preserve">A2.  Information. The planner is measured on schedule adherence, so resisting unplanned trial time is rational. Understanding what each stakeholder is optimising for usually reveals a way to get what the project needs without asking them to fail at their own job — for example, running the trial during a planned changeover window.</t>
  </si>
  <si>
    <t xml:space="preserve">Q3.  Where do line operators normally sit on the grid, and what does that imply?</t>
  </si>
  <si>
    <t xml:space="preserve">A3.  Low formal power, very high interest — the Keep Informed quadrant. The implication is involvement, not broadcast: they know how the process actually runs, and a project that treats them as an audience loses both the information and the implementation.</t>
  </si>
  <si>
    <t xml:space="preserve">G-04 — RACI Matrix</t>
  </si>
  <si>
    <t xml:space="preserve">Phase: DEFINE   |   Data required: The deliverable list and the roles involved   |   Min. sample: n/a   |   Complexity: 1/5   |   Output: Unambiguous accountability per deliverable, with a load check per role</t>
  </si>
  <si>
    <t xml:space="preserve">For each deliverable, who does it, who answers for it, who must be consulted, and who is simply told?</t>
  </si>
  <si>
    <t xml:space="preserve">As soon as a project involves more than one department — which is almost always.</t>
  </si>
  <si>
    <t xml:space="preserve">One page that removes the ambiguity about accountability before it becomes an argument about blame.</t>
  </si>
  <si>
    <t xml:space="preserve">RACI assigns four distinct relationships to every deliverable. Responsible does the work. Accountable answers for the outcome and holds the decision. Consulted is asked before the decision, in a two-way conversation. Informed is told afterwards, one way.</t>
  </si>
  <si>
    <t xml:space="preserve">The rule that carries almost all of the value is that there must be exactly one Accountable per row.</t>
  </si>
  <si>
    <t xml:space="preserve">Two A's means that when the deliverable slips, each will reasonably believe the other owned it. Zero A's means nobody did. Both failure modes look identical from the outside: the deliverable simply does not arrive, and the discussion afterwards is about blame rather than about recovery.</t>
  </si>
  <si>
    <t xml:space="preserve">The distinction between Consulted and Informed is where most of the wasted time in projects lives.</t>
  </si>
  <si>
    <t xml:space="preserve">Consultation is expensive — it is a conversation that must happen before the decision can be made, and every additional C lengthens every decision. Being generous with C to avoid offending people is a reliable way to make a project slow.</t>
  </si>
  <si>
    <t xml:space="preserve">One person can be both R and A on the same deliverable, and often should be. What cannot happen is two people sharing the A.</t>
  </si>
  <si>
    <t xml:space="preserve">The load check matters as much as the structure. A matrix where the Black Belt is R or A on nine of ten deliverables is not a project team; it is one person with an audience, and it will fail when that person takes leave.</t>
  </si>
  <si>
    <t xml:space="preserve">✓  Any project crossing departmental boundaries.</t>
  </si>
  <si>
    <t xml:space="preserve">✗  A single-person task with no handoffs.</t>
  </si>
  <si>
    <t xml:space="preserve">✓  When a deliverable has slipped and nobody agrees who owned it.</t>
  </si>
  <si>
    <t xml:space="preserve">✗  As a substitute for a conversation — the matrix records an agreement, it does not create one.</t>
  </si>
  <si>
    <t xml:space="preserve">✓  At handover, to make clear who owns the process after the project closes.</t>
  </si>
  <si>
    <t xml:space="preserve">✗  To assign accountability to someone who has not accepted it.</t>
  </si>
  <si>
    <t xml:space="preserve">✓  Alongside the stakeholder map, which says who cares; RACI says who acts.</t>
  </si>
  <si>
    <t xml:space="preserve">Every named person has agreed their role</t>
  </si>
  <si>
    <t xml:space="preserve">Confirm each A personally before publishing</t>
  </si>
  <si>
    <t xml:space="preserve">An unaccepted A is a fiction; renegotiate or escalate</t>
  </si>
  <si>
    <t xml:space="preserve">Exactly one A per deliverable</t>
  </si>
  <si>
    <t xml:space="preserve">The check column on this sheet does it automatically</t>
  </si>
  <si>
    <t xml:space="preserve">Fix it before publishing; shared accountability is no accountability</t>
  </si>
  <si>
    <t xml:space="preserve">Deliverables are specific enough to be owned</t>
  </si>
  <si>
    <t xml:space="preserve">Each row names a thing that either exists or does not</t>
  </si>
  <si>
    <t xml:space="preserve">Break vague rows down until they can be owned</t>
  </si>
  <si>
    <t xml:space="preserve">The load per role is realistic</t>
  </si>
  <si>
    <t xml:space="preserve">Check the R+A count against each person's actual availability</t>
  </si>
  <si>
    <t xml:space="preserve">Redistribute; a matrix that overloads one person is a plan to fail</t>
  </si>
  <si>
    <t xml:space="preserve">R  RESPONSIBLE   does the work.  At least one per deliverable, may be several.</t>
  </si>
  <si>
    <t xml:space="preserve">A  ACCOUNTABLE   answers for the outcome and holds the decision.  EXACTLY ONE per deliverable.</t>
  </si>
  <si>
    <t xml:space="preserve">C  CONSULTED     two-way dialogue BEFORE the decision.  Expensive — use sparingly.</t>
  </si>
  <si>
    <t xml:space="preserve">I  INFORMED      told AFTER the decision.  One-way.</t>
  </si>
  <si>
    <t xml:space="preserve">Structural tests, both computed on this sheet:</t>
  </si>
  <si>
    <t xml:space="preserve">count of A per row  =  1        otherwise accountability is shared or absent count of R per row  &gt;= 1        otherwise nobody is doing the work</t>
  </si>
  <si>
    <t xml:space="preserve">Load test per role:   R + A count.  A single role carrying most of the matrix is a project risk, not a sign of commitment.</t>
  </si>
  <si>
    <t xml:space="preserve">Sum of IF tests</t>
  </si>
  <si>
    <t xml:space="preserve">IF(C60="A",1,0)+IF(D60="A",1,0)+...</t>
  </si>
  <si>
    <t xml:space="preserve">Counts the A entries across a row without an array formula</t>
  </si>
  <si>
    <t xml:space="preserve">COUNTIF down a column</t>
  </si>
  <si>
    <t xml:space="preserve">COUNTIF(C60:C69,"R")</t>
  </si>
  <si>
    <t xml:space="preserve">Load per role</t>
  </si>
  <si>
    <t xml:space="preserve">IF(count_A&lt;&gt;1,"ERROR",...)</t>
  </si>
  <si>
    <t xml:space="preserve">Automatic structural check on every row</t>
  </si>
  <si>
    <t xml:space="preserve">INDEX(roles, MATCH(MAX(load), load, 0))</t>
  </si>
  <si>
    <t xml:space="preserve">Names the most loaded role</t>
  </si>
  <si>
    <t xml:space="preserve">Scenario: the RACI for the fill volume project, covering ten deliverables from charter approval to closure, across seven roles. Overwrite the letters and the checks recalculate.</t>
  </si>
  <si>
    <t xml:space="preserve">RACI — one row per deliverable, one column per role</t>
  </si>
  <si>
    <t xml:space="preserve">R = Responsible, does the work. A = Accountable, answers for the outcome and there must be exactly ONE per row. C = Consulted, two-way dialogue before the decision. I = Informed, told after the decision. A person can be both R and A on the same row.</t>
  </si>
  <si>
    <t xml:space="preserve">Count of A</t>
  </si>
  <si>
    <t xml:space="preserve">Count of R</t>
  </si>
  <si>
    <t xml:space="preserve">Project charter approved</t>
  </si>
  <si>
    <t xml:space="preserve">Measurement system analysis</t>
  </si>
  <si>
    <t xml:space="preserve">Root cause analysis</t>
  </si>
  <si>
    <t xml:space="preserve">Solution selection</t>
  </si>
  <si>
    <t xml:space="preserve">Pilot execution</t>
  </si>
  <si>
    <t xml:space="preserve">Control plan live</t>
  </si>
  <si>
    <t xml:space="preserve">Benefit validated</t>
  </si>
  <si>
    <t xml:space="preserve">Project closed and replicated</t>
  </si>
  <si>
    <t xml:space="preserve">Load by role — who is carrying the project</t>
  </si>
  <si>
    <t xml:space="preserve">R count</t>
  </si>
  <si>
    <t xml:space="preserve">A count</t>
  </si>
  <si>
    <t xml:space="preserve">C count</t>
  </si>
  <si>
    <t xml:space="preserve">I count</t>
  </si>
  <si>
    <t xml:space="preserve">R + A load</t>
  </si>
  <si>
    <t xml:space="preserve">Deliverables mapped</t>
  </si>
  <si>
    <t xml:space="preserve">Rows failing the check</t>
  </si>
  <si>
    <t xml:space="preserve">Each is an ambiguity that will surface as a delay</t>
  </si>
  <si>
    <t xml:space="preserve">Heaviest R+A load</t>
  </si>
  <si>
    <t xml:space="preserve">Deliverables owned by one role</t>
  </si>
  <si>
    <t xml:space="preserve">Which role</t>
  </si>
  <si>
    <t xml:space="preserve">Roles with no active role</t>
  </si>
  <si>
    <t xml:space="preserve">Consider removing them from the matrix</t>
  </si>
  <si>
    <t xml:space="preserve">Total C entries</t>
  </si>
  <si>
    <t xml:space="preserve">Consultation is expensive; too many C's slow every decision</t>
  </si>
  <si>
    <t xml:space="preserve">A per deliverable</t>
  </si>
  <si>
    <t xml:space="preserve">Exactly one</t>
  </si>
  <si>
    <t xml:space="preserve">Two A's or zero A's both produce the same failure</t>
  </si>
  <si>
    <t xml:space="preserve">R per deliverable</t>
  </si>
  <si>
    <t xml:space="preserve">At least one</t>
  </si>
  <si>
    <t xml:space="preserve">Otherwise nobody is doing the work</t>
  </si>
  <si>
    <t xml:space="preserve">R + A load per role</t>
  </si>
  <si>
    <t xml:space="preserve">Balanced across the team</t>
  </si>
  <si>
    <t xml:space="preserve">One role carrying most of the matrix is a single point of failure</t>
  </si>
  <si>
    <t xml:space="preserve">C entries</t>
  </si>
  <si>
    <t xml:space="preserve">As few as genuinely need dialogue</t>
  </si>
  <si>
    <t xml:space="preserve">Every C lengthens every decision</t>
  </si>
  <si>
    <t xml:space="preserve">Acceptance</t>
  </si>
  <si>
    <t xml:space="preserve">Every A confirmed personally</t>
  </si>
  <si>
    <t xml:space="preserve">An unaccepted A is a fiction</t>
  </si>
  <si>
    <t xml:space="preserve">•  Assigning two Accountables to a deliverable, which guarantees that neither owns it.</t>
  </si>
  <si>
    <t xml:space="preserve">•  Marking everyone Consulted to avoid offence, and then wondering why decisions take three weeks.</t>
  </si>
  <si>
    <t xml:space="preserve">•  Loading the Black Belt as R or A on nearly every row, which makes the project one person deep.</t>
  </si>
  <si>
    <t xml:space="preserve">•  Publishing the matrix without confirming each A with the person named.</t>
  </si>
  <si>
    <t xml:space="preserve">•  Writing deliverables so vague that nobody can tell whether they have been delivered.</t>
  </si>
  <si>
    <t xml:space="preserve">Q1.  A deliverable has two people marked Accountable. Why is that worse than having none?</t>
  </si>
  <si>
    <t xml:space="preserve">A1.  It is equally bad and harder to spot. With two A's, each reasonably believes the other owned the outcome, so the gap is invisible until the deliverable is late — and the conversation that follows is about blame rather than recovery. Exactly one A is the rule that makes the matrix worth building.</t>
  </si>
  <si>
    <t xml:space="preserve">Q2.  What is the practical difference between Consulted and Informed?</t>
  </si>
  <si>
    <t xml:space="preserve">A2.  Timing and direction. Consulted happens before the decision and is two-way — their input can change the outcome. Informed happens after and is one-way. Marking someone C when they only need to be I adds a required conversation to every decision, which is how RACI matrices quietly make projects slow.</t>
  </si>
  <si>
    <t xml:space="preserve">Q3.  The Black Belt is R or A on nine of ten deliverables. What does that tell you?</t>
  </si>
  <si>
    <t xml:space="preserve">A3.  That it is not a project team. Beyond the obvious single point of failure, it usually means the process owner and the shift supervisors have not accepted ownership — which is exactly the ownership the project needs at Control, when the Belt moves on.</t>
  </si>
  <si>
    <t xml:space="preserve">G-10  Closure and Replication</t>
  </si>
  <si>
    <t xml:space="preserve">G-05 — Communication Plan</t>
  </si>
  <si>
    <t xml:space="preserve">Phase: DEFINE   |   Data required: The stakeholder map and the project schedule   |   Min. sample: n/a   |   Complexity: 1/5   |   Output: Who hears what, how often, from whom, and how you know it worked</t>
  </si>
  <si>
    <t xml:space="preserve">Who needs to hear what about this project, how often, from whom, and how will we know it landed?</t>
  </si>
  <si>
    <t xml:space="preserve">Right after the stakeholder map, and revised whenever the schedule or the solution changes.</t>
  </si>
  <si>
    <t xml:space="preserve">A plan that treats communication as project work with owners, frequencies and a success test.</t>
  </si>
  <si>
    <t xml:space="preserve">Communication plans fail in one of two directions. Either everyone gets everything, so nobody reads anything, or the plan exists only for the steering committee and the people who have to change how they work hear about it the week it happens.</t>
  </si>
  <si>
    <t xml:space="preserve">The unit of the plan is the audience-message pair, not the meeting. Each row answers four questions:</t>
  </si>
  <si>
    <t xml:space="preserve">what does this audience need to know, how often, who tells them, and what does success look like. The last one is the one usually missing, and without it communication becomes broadcasting — activity that cannot be judged and therefore quietly stops.</t>
  </si>
  <si>
    <t xml:space="preserve">Framing the same result differently for different audiences is not spin; it is answering the question each audience is actually asking. The steering committee asks whether it is on track and what decision is needed. The operator asks whether the job gets harder and whether anyone listened. What is never acceptable is a different number for different audiences.</t>
  </si>
  <si>
    <t xml:space="preserve">Credibility is audience-specific. A change to standard work is more credible from the shift supervisor than from the Black Belt, and a benefit figure is more credible from Controlling than from the project.</t>
  </si>
  <si>
    <t xml:space="preserve">Assigning the right messenger matters as much as the message.</t>
  </si>
  <si>
    <t xml:space="preserve">Frequency should follow how much the audience is affected, not how senior they are. Operators, who are affected daily, usually need the highest frequency and the shortest, most visual format.</t>
  </si>
  <si>
    <t xml:space="preserve">Communication is real effort. A project with ten audiences will spend a meaningful share of the Belt's time on it, and planning that time is the difference between doing it and intending to.</t>
  </si>
  <si>
    <t xml:space="preserve">✓  Immediately after the stakeholder analysis, in Define.</t>
  </si>
  <si>
    <t xml:space="preserve">✗  As a substitute for involving people in the work itself.</t>
  </si>
  <si>
    <t xml:space="preserve">✓  Before implementation, when the number of people affected rises sharply.</t>
  </si>
  <si>
    <t xml:space="preserve">✗  To broadcast a decision that has not actually been taken.</t>
  </si>
  <si>
    <t xml:space="preserve">✓  When a project is technically fine but people keep being surprised by it.</t>
  </si>
  <si>
    <t xml:space="preserve">✗  For a project affecting one team, where a standing meeting is enough.</t>
  </si>
  <si>
    <t xml:space="preserve">✓  At closure, to plan the replication communication to other lines.</t>
  </si>
  <si>
    <t xml:space="preserve">The stakeholder analysis is done first</t>
  </si>
  <si>
    <t xml:space="preserve">Every audience here traces to the register on G-03</t>
  </si>
  <si>
    <t xml:space="preserve">Do the stakeholder map first; otherwise the plan communicates to the wrong people</t>
  </si>
  <si>
    <t xml:space="preserve">Each message has a defined success test</t>
  </si>
  <si>
    <t xml:space="preserve">The 'what good looks like' column is filled for every row</t>
  </si>
  <si>
    <t xml:space="preserve">Define it; without a test, communication cannot be judged</t>
  </si>
  <si>
    <t xml:space="preserve">The messenger is credible to that audience</t>
  </si>
  <si>
    <t xml:space="preserve">Check who owns each row</t>
  </si>
  <si>
    <t xml:space="preserve">Reassign; a standard work change lands better from a supervisor than from a Belt</t>
  </si>
  <si>
    <t xml:space="preserve">Frequency reflects impact, not seniority</t>
  </si>
  <si>
    <t xml:space="preserve">Compare frequency against how much each audience is affected</t>
  </si>
  <si>
    <t xml:space="preserve">Rebalance; the most affected audience usually needs the most frequent contact</t>
  </si>
  <si>
    <t xml:space="preserve">There is no calculation. The plan is judged on completeness:</t>
  </si>
  <si>
    <t xml:space="preserve">   Every row must state:  AUDIENCE · MESSAGE · FORMAT · FREQUENCY · OWNER · CHANNEL · SUCCESS TEST</t>
  </si>
  <si>
    <t xml:space="preserve">Effort estimate  =  touchpoints  x  average duration          (communication is real project effort)</t>
  </si>
  <si>
    <t xml:space="preserve">Design rules:</t>
  </si>
  <si>
    <t xml:space="preserve">   1. Frequency follows IMPACT, not seniority</t>
  </si>
  <si>
    <t xml:space="preserve">   2. The messenger must be credible to that audience</t>
  </si>
  <si>
    <t xml:space="preserve">   3. Same facts and the same NUMBER for everyone; framing may differ, content may not</t>
  </si>
  <si>
    <t xml:space="preserve">   4. Every row needs a success test, or it is broadcasting</t>
  </si>
  <si>
    <t xml:space="preserve">SUM(touchpoints)</t>
  </si>
  <si>
    <t xml:space="preserve">Total planned contacts and estimated hours</t>
  </si>
  <si>
    <t xml:space="preserve">COUNTIF(owner, "Black Belt")</t>
  </si>
  <si>
    <t xml:space="preserve">Checks how much communication one person is carrying</t>
  </si>
  <si>
    <t xml:space="preserve">COUNTA(audiences) - COUNTA(success tests)</t>
  </si>
  <si>
    <t xml:space="preserve">Finds rows with no definition of success</t>
  </si>
  <si>
    <t xml:space="preserve">INDEX(audiences, MATCH(MAX(freq), freq, 0))</t>
  </si>
  <si>
    <t xml:space="preserve">Names the highest-frequency audience</t>
  </si>
  <si>
    <t xml:space="preserve">Scenario: the communication plan for the fill volume project, derived directly from the stakeholder register on G-03, covering ten audiences from the steering committee to the other lines that may replicate the result.</t>
  </si>
  <si>
    <t xml:space="preserve">Communication plan — one row per audience and message</t>
  </si>
  <si>
    <t xml:space="preserve">Audience</t>
  </si>
  <si>
    <t xml:space="preserve">Message — what they need to know</t>
  </si>
  <si>
    <t xml:space="preserve">Format</t>
  </si>
  <si>
    <t xml:space="preserve">Channel</t>
  </si>
  <si>
    <t xml:space="preserve">What good looks like</t>
  </si>
  <si>
    <t xml:space="preserve">Touchpoints over the project</t>
  </si>
  <si>
    <t xml:space="preserve">Estimated hours</t>
  </si>
  <si>
    <t xml:space="preserve">Cadence assessment</t>
  </si>
  <si>
    <t xml:space="preserve">Steering committee</t>
  </si>
  <si>
    <t xml:space="preserve">Progress, risks, decisions needed</t>
  </si>
  <si>
    <t xml:space="preserve">Tollgate review pack</t>
  </si>
  <si>
    <t xml:space="preserve">At each tollgate</t>
  </si>
  <si>
    <t xml:space="preserve">Meeting, 45 min</t>
  </si>
  <si>
    <t xml:space="preserve">Decisions taken and recorded</t>
  </si>
  <si>
    <t xml:space="preserve">Status, escalations, benefit forecast</t>
  </si>
  <si>
    <t xml:space="preserve">One-page summary</t>
  </si>
  <si>
    <t xml:space="preserve">1:1, 20 min</t>
  </si>
  <si>
    <t xml:space="preserve">No surprises at the steering review</t>
  </si>
  <si>
    <t xml:space="preserve">Detail, resource needs, blockers</t>
  </si>
  <si>
    <t xml:space="preserve">Working notes</t>
  </si>
  <si>
    <t xml:space="preserve">1:1, 30 min</t>
  </si>
  <si>
    <t xml:space="preserve">Blockers cleared within a week</t>
  </si>
  <si>
    <t xml:space="preserve">What is changing, when, and why</t>
  </si>
  <si>
    <t xml:space="preserve">Team brief and standard work</t>
  </si>
  <si>
    <t xml:space="preserve">Fortnightly</t>
  </si>
  <si>
    <t xml:space="preserve">Shift handover briefing</t>
  </si>
  <si>
    <t xml:space="preserve">All four shifts briefed within 48 h</t>
  </si>
  <si>
    <t xml:space="preserve">Line operators</t>
  </si>
  <si>
    <t xml:space="preserve">What changes for them, and what they told us</t>
  </si>
  <si>
    <t xml:space="preserve">Board at the line</t>
  </si>
  <si>
    <t xml:space="preserve">Visual board plus verbal</t>
  </si>
  <si>
    <t xml:space="preserve">Operators can explain the change</t>
  </si>
  <si>
    <t xml:space="preserve">Maintenance team</t>
  </si>
  <si>
    <t xml:space="preserve">Technician time required, technical findings</t>
  </si>
  <si>
    <t xml:space="preserve">Work request and findings note</t>
  </si>
  <si>
    <t xml:space="preserve">Email plus 15 min stand-up</t>
  </si>
  <si>
    <t xml:space="preserve">Technician time booked in advance</t>
  </si>
  <si>
    <t xml:space="preserve">Quality team</t>
  </si>
  <si>
    <t xml:space="preserve">Specification and control plan impact</t>
  </si>
  <si>
    <t xml:space="preserve">Control plan draft</t>
  </si>
  <si>
    <t xml:space="preserve">At Analyze and Control gates</t>
  </si>
  <si>
    <t xml:space="preserve">Working session</t>
  </si>
  <si>
    <t xml:space="preserve">Joint sign-off on the control plan</t>
  </si>
  <si>
    <t xml:space="preserve">Benefit method and validation</t>
  </si>
  <si>
    <t xml:space="preserve">Benefit calculation sheet</t>
  </si>
  <si>
    <t xml:space="preserve">At Measure and Control gates</t>
  </si>
  <si>
    <t xml:space="preserve">Benefit method agreed in writing</t>
  </si>
  <si>
    <t xml:space="preserve">Any change to work content</t>
  </si>
  <si>
    <t xml:space="preserve">Change note</t>
  </si>
  <si>
    <t xml:space="preserve">Before any work-content change</t>
  </si>
  <si>
    <t xml:space="preserve">Meeting</t>
  </si>
  <si>
    <t xml:space="preserve">No surprise at implementation</t>
  </si>
  <si>
    <t xml:space="preserve">Other lines / plants</t>
  </si>
  <si>
    <t xml:space="preserve">Replicable result and how to copy it</t>
  </si>
  <si>
    <t xml:space="preserve">Replication pack</t>
  </si>
  <si>
    <t xml:space="preserve">At closure</t>
  </si>
  <si>
    <t xml:space="preserve">Written pack plus a visit</t>
  </si>
  <si>
    <t xml:space="preserve">At least one line adopts it</t>
  </si>
  <si>
    <t xml:space="preserve">Message discipline — the same fact, framed for each audience</t>
  </si>
  <si>
    <t xml:space="preserve">What they are actually asking</t>
  </si>
  <si>
    <t xml:space="preserve">How to frame the same result</t>
  </si>
  <si>
    <t xml:space="preserve">Is this on track and do you need anything from me?</t>
  </si>
  <si>
    <t xml:space="preserve">Status, forecast benefit, one decision requested</t>
  </si>
  <si>
    <t xml:space="preserve">Will this deliver what the charter promised?</t>
  </si>
  <si>
    <t xml:space="preserve">Gap to target, confidence, main risk</t>
  </si>
  <si>
    <t xml:space="preserve">What is going to change in my process?</t>
  </si>
  <si>
    <t xml:space="preserve">The specific change, the date, what it costs them</t>
  </si>
  <si>
    <t xml:space="preserve">What do I have to do differently on Monday?</t>
  </si>
  <si>
    <t xml:space="preserve">The new standard, the training, the audit</t>
  </si>
  <si>
    <t xml:space="preserve">Does this make my job harder, and was I listened to?</t>
  </si>
  <si>
    <t xml:space="preserve">What changes at their station, and which of their inputs was used</t>
  </si>
  <si>
    <t xml:space="preserve">Is this benefit real and will it show in the accounts?</t>
  </si>
  <si>
    <t xml:space="preserve">The calculation method and the validation date</t>
  </si>
  <si>
    <t xml:space="preserve">The same result described four different ways is not spin — it is answering the question each audience is actually asking. What is not acceptable is a different NUMBER for each audience.</t>
  </si>
  <si>
    <t xml:space="preserve">Audiences covered</t>
  </si>
  <si>
    <t xml:space="preserve">Total touchpoints planned</t>
  </si>
  <si>
    <t xml:space="preserve">Across the whole project</t>
  </si>
  <si>
    <t xml:space="preserve">Estimated communication hours</t>
  </si>
  <si>
    <t xml:space="preserve">Communication is real project effort — plan for it</t>
  </si>
  <si>
    <t xml:space="preserve">Audiences owned by the Black Belt</t>
  </si>
  <si>
    <t xml:space="preserve">If this is most of the list, delegate some</t>
  </si>
  <si>
    <t xml:space="preserve">Rows with no defined success measure</t>
  </si>
  <si>
    <t xml:space="preserve">Communication without a success test is broadcasting</t>
  </si>
  <si>
    <t xml:space="preserve">Highest-frequency audience</t>
  </si>
  <si>
    <t xml:space="preserve">Make these short, visual and habitual</t>
  </si>
  <si>
    <t xml:space="preserve">Success test per row</t>
  </si>
  <si>
    <t xml:space="preserve">Communication without a test is broadcasting</t>
  </si>
  <si>
    <t xml:space="preserve">Messenger credibility</t>
  </si>
  <si>
    <t xml:space="preserve">Matched to the audience</t>
  </si>
  <si>
    <t xml:space="preserve">The right message from the wrong person does not land</t>
  </si>
  <si>
    <t xml:space="preserve">Frequency vs impact</t>
  </si>
  <si>
    <t xml:space="preserve">Most affected gets most frequent</t>
  </si>
  <si>
    <t xml:space="preserve">Not most senior gets most frequent</t>
  </si>
  <si>
    <t xml:space="preserve">Black Belt communication load</t>
  </si>
  <si>
    <t xml:space="preserve">Delegated where credible</t>
  </si>
  <si>
    <t xml:space="preserve">One person cannot sustain ten audiences and the analysis</t>
  </si>
  <si>
    <t xml:space="preserve">Consistency of the numbers</t>
  </si>
  <si>
    <t xml:space="preserve">One number for all audiences</t>
  </si>
  <si>
    <t xml:space="preserve">Framing may differ; the figures may not</t>
  </si>
  <si>
    <t xml:space="preserve">•  Planning communication for the steering committee and forgetting the people who must change how they work.</t>
  </si>
  <si>
    <t xml:space="preserve">•  Broadcasting the same document to everyone, so nobody reads any of it.</t>
  </si>
  <si>
    <t xml:space="preserve">•  Having the Black Belt deliver a standard work change that would be far more credible from the supervisor.</t>
  </si>
  <si>
    <t xml:space="preserve">•  Quoting a different benefit figure to different audiences, which destroys the project's credibility in one meeting.</t>
  </si>
  <si>
    <t xml:space="preserve">•  Leaving out the success test, so nobody notices when the communication stops happening.</t>
  </si>
  <si>
    <t xml:space="preserve">Q1.  Why should the shift supervisor, not the Black Belt, brief the operators on a standard work change?</t>
  </si>
  <si>
    <t xml:space="preserve">A1.  Credibility and continuity. The supervisor is the person the operators work with every day and the person who will enforce the standard after the project closes. A change introduced by a visitor tends to leave with the visitor.</t>
  </si>
  <si>
    <t xml:space="preserve">Q2.  What does the 'what good looks like' column actually add?</t>
  </si>
  <si>
    <t xml:space="preserve">A2.  A test. Without it, communication is an activity rather than an outcome — nobody can tell whether the brief worked, so nobody notices when it stops. 'All four shifts briefed within 48 hours' or 'operators can explain the change' can be checked on the floor.</t>
  </si>
  <si>
    <t xml:space="preserve">Q3.  Is framing the same result differently for different audiences dishonest?</t>
  </si>
  <si>
    <t xml:space="preserve">A3.  No, provided the facts and the numbers are identical. Each audience is asking a different question — is it on track, what changes on Monday, will the benefit show in the accounts — and answering their question is good communication. Quoting different numbers to different audiences is the dishonest version.</t>
  </si>
  <si>
    <t xml:space="preserve">G-06 — Change Management and Resistance (ADKAR)</t>
  </si>
  <si>
    <t xml:space="preserve">Phase: IMPROVE   |   Data required: Assessment by group, from conversation and observation   |   Min. sample: n/a   |   Complexity: 2/5   |   Output: The barrier point per group, and the intervention that actually addresses it</t>
  </si>
  <si>
    <t xml:space="preserve">Which specific barrier is stopping each group from adopting this change?</t>
  </si>
  <si>
    <t xml:space="preserve">Before implementation, and whenever a technically sound change is not being used.</t>
  </si>
  <si>
    <t xml:space="preserve">A barrier point per group, so the intervention matches the actual obstacle rather than the assumed one.</t>
  </si>
  <si>
    <t xml:space="preserve">ADKAR describes the five things an individual needs in order to change, in order: Awareness of why the change is needed, Desire to take part, Knowledge of how, Ability to do it in practice, and Reinforcement to keep doing it.</t>
  </si>
  <si>
    <t xml:space="preserve">The sequence is the whole point. The elements are not a checklist to be scored and averaged — they are gates. A person who does not want the change cannot be trained into wanting it, and a person who wants it but cannot physically do it at line speed does not need more explanation.</t>
  </si>
  <si>
    <t xml:space="preserve">That leads to the single most useful output on this sheet: the barrier point, which is the first element scoring below 3 reading left to right. Effort spent beyond the barrier is wasted. Running a training course for a group blocked at Desire produces a trained group that still does not want the change — and it is the most common mistake in industrial change management, because training is the intervention that feels like action.</t>
  </si>
  <si>
    <t xml:space="preserve">Resistance is information. The operator who resists a lower fill setting is protecting themselves against underfill complaints; the planner resisting trial time is protecting the schedule adherence they are measured on. Both objections are rational, and both point at something the project design got wrong. Logging what each person is protecting turns resistance from an obstacle into a specification.</t>
  </si>
  <si>
    <t xml:space="preserve">Reinforcement is the element that projects skip and then fail on three months later. Ability without reinforcement decays: the standard is followed while the project is watching, and drifts back when it moves on. That is an audit and visual management gap, not a motivation problem.</t>
  </si>
  <si>
    <t xml:space="preserve">✓  Before implementing any change that alters how people work.</t>
  </si>
  <si>
    <t xml:space="preserve">✗  The change is invisible to the people doing the work — a setting change nobody interacts with.</t>
  </si>
  <si>
    <t xml:space="preserve">✓  When a technically sound solution is not being used and nobody can say why.</t>
  </si>
  <si>
    <t xml:space="preserve">✗  As a scoring exercise with no conversation behind it.</t>
  </si>
  <si>
    <t xml:space="preserve">✓  To decide whether the next intervention is communication, involvement, training or audit.</t>
  </si>
  <si>
    <t xml:space="preserve">✗  To label individuals as resistant; the unit of assessment is the group and the barrier, not the person.</t>
  </si>
  <si>
    <t xml:space="preserve">✓  Shift by shift — the barrier is frequently different for each crew.</t>
  </si>
  <si>
    <t xml:space="preserve">Scores come from conversation and observation</t>
  </si>
  <si>
    <t xml:space="preserve">Each score traces to something someone said or did</t>
  </si>
  <si>
    <t xml:space="preserve">Go and ask; assumed scores put the barrier in the wrong place</t>
  </si>
  <si>
    <t xml:space="preserve">Each group is assessed separately</t>
  </si>
  <si>
    <t xml:space="preserve">Check that shifts are not averaged into one row</t>
  </si>
  <si>
    <t xml:space="preserve">Split them; averaging hides the one crew that is blocked</t>
  </si>
  <si>
    <t xml:space="preserve">The change itself is sound</t>
  </si>
  <si>
    <t xml:space="preserve">Confirm the pilot actually worked before managing adoption of it</t>
  </si>
  <si>
    <t xml:space="preserve">Fix the change first; ADKAR cannot rescue a solution that does not work</t>
  </si>
  <si>
    <t xml:space="preserve">Reinforcement is designed before implementation, not after</t>
  </si>
  <si>
    <t xml:space="preserve">Check that an audit and a visual exist in the control plan</t>
  </si>
  <si>
    <t xml:space="preserve">Design them now; reinforcement added later rarely arrives</t>
  </si>
  <si>
    <t xml:space="preserve">THE FIVE ELEMENTS, in strict order:</t>
  </si>
  <si>
    <t xml:space="preserve">   A  AWARENESS       do I know WHY the change is needed?</t>
  </si>
  <si>
    <t xml:space="preserve">   D  DESIRE          do I WANT to take part?</t>
  </si>
  <si>
    <t xml:space="preserve">   K  KNOWLEDGE       do I know HOW?</t>
  </si>
  <si>
    <t xml:space="preserve">   A  ABILITY         CAN I do it, in practice, here, at line speed?</t>
  </si>
  <si>
    <t xml:space="preserve">   R  REINFORCEMENT   will it STICK when nobody is watching?</t>
  </si>
  <si>
    <t xml:space="preserve">Barrier point  =  the FIRST element scoring below 3, reading left to right</t>
  </si>
  <si>
    <t xml:space="preserve">Matching the intervention to the barrier — this is the whole value of the model:</t>
  </si>
  <si>
    <t xml:space="preserve">AWARENESS      →  communicate the business reason (G-05) DESIRE         →  address what they personally lose; involve them in the design KNOWLEDGE      →  training, standard work, coaching (L-14) ABILITY        →  practice, tools, layout, remove the practical obstacle REINFORCEMENT  →  audit, visual management, recognition (H-16, L-13)</t>
  </si>
  <si>
    <t xml:space="preserve">Rule: effort spent beyond the barrier point returns nothing.</t>
  </si>
  <si>
    <t xml:space="preserve">MIN across a row</t>
  </si>
  <si>
    <t xml:space="preserve">MIN(C60:G60)</t>
  </si>
  <si>
    <t xml:space="preserve">Lowest ADKAR score for the group</t>
  </si>
  <si>
    <t xml:space="preserve">Deeply nested IF</t>
  </si>
  <si>
    <t xml:space="preserve">IF(A&lt;3,"AWARENESS",IF(D&lt;3,"DESIRE",...))</t>
  </si>
  <si>
    <t xml:space="preserve">Finds the FIRST element below 3, which is the barrier point</t>
  </si>
  <si>
    <t xml:space="preserve">COUNTIF(barrier, "DESIRE")</t>
  </si>
  <si>
    <t xml:space="preserve">Counts groups blocked at each element</t>
  </si>
  <si>
    <t xml:space="preserve">INDEX(groups, MATCH(MIN(total), total, 0))</t>
  </si>
  <si>
    <t xml:space="preserve">Names the weakest group overall</t>
  </si>
  <si>
    <t xml:space="preserve">Scenario: ADKAR assessment for the fill volume change, scored group by group after the pilot and before full roll-out. Shift C, which had been setting fill volume high deliberately, scores lowest on Desire — which is exactly what the stratification on H-09 predicted.</t>
  </si>
  <si>
    <t xml:space="preserve">ADKAR assessment — score every group on each of the five elements, 1 to 5</t>
  </si>
  <si>
    <t xml:space="preserve">ADKAR is sequential. A group cannot have Ability before Knowledge, and cannot have Knowledge before Desire. The FIRST element scoring below 3, reading left to right, is the barrier point — and it is the only one worth working on, because effort spent past the barrier is wasted.</t>
  </si>
  <si>
    <t xml:space="preserve">Awareness</t>
  </si>
  <si>
    <t xml:space="preserve">Desire</t>
  </si>
  <si>
    <t xml:space="preserve">Knowledge</t>
  </si>
  <si>
    <t xml:space="preserve">Ability</t>
  </si>
  <si>
    <t xml:space="preserve">Reinforcement</t>
  </si>
  <si>
    <t xml:space="preserve">Lowest score</t>
  </si>
  <si>
    <t xml:space="preserve">Barrier point</t>
  </si>
  <si>
    <t xml:space="preserve">Total /25</t>
  </si>
  <si>
    <t xml:space="preserve">What to do next</t>
  </si>
  <si>
    <t xml:space="preserve">Line operators, shift A</t>
  </si>
  <si>
    <t xml:space="preserve">Line operators, shift B</t>
  </si>
  <si>
    <t xml:space="preserve">Line operators, shift C</t>
  </si>
  <si>
    <t xml:space="preserve">Line operators, shift D</t>
  </si>
  <si>
    <t xml:space="preserve">Maintenance technicians</t>
  </si>
  <si>
    <t xml:space="preserve">Quality technicians</t>
  </si>
  <si>
    <t xml:space="preserve">The five elements, what each one means, and what fixes it</t>
  </si>
  <si>
    <t xml:space="preserve">The question it answers</t>
  </si>
  <si>
    <t xml:space="preserve">What it looks like when missing</t>
  </si>
  <si>
    <t xml:space="preserve">The intervention that works</t>
  </si>
  <si>
    <t xml:space="preserve">A  AWARENESS</t>
  </si>
  <si>
    <t xml:space="preserve">Do I know why the change is needed?</t>
  </si>
  <si>
    <t xml:space="preserve">"Nobody told us anything"</t>
  </si>
  <si>
    <t xml:space="preserve">Communicate the business reason, not the solution — G-05</t>
  </si>
  <si>
    <t xml:space="preserve">D  DESIRE</t>
  </si>
  <si>
    <t xml:space="preserve">Do I want to take part?</t>
  </si>
  <si>
    <t xml:space="preserve">"I understand it, but what is in it for me?"</t>
  </si>
  <si>
    <t xml:space="preserve">Address what they personally lose; involve them in the design</t>
  </si>
  <si>
    <t xml:space="preserve">K  KNOWLEDGE</t>
  </si>
  <si>
    <t xml:space="preserve">Do I know how to do it?</t>
  </si>
  <si>
    <t xml:space="preserve">"I would if I knew how"</t>
  </si>
  <si>
    <t xml:space="preserve">Training, standard work, coaching — L-14</t>
  </si>
  <si>
    <t xml:space="preserve">A  ABILITY</t>
  </si>
  <si>
    <t xml:space="preserve">Can I actually do it, in practice, here?</t>
  </si>
  <si>
    <t xml:space="preserve">"I know how, but not at this line speed"</t>
  </si>
  <si>
    <t xml:space="preserve">Practice, tools, layout, removing the practical obstacle</t>
  </si>
  <si>
    <t xml:space="preserve">R  REINFORCEMENT</t>
  </si>
  <si>
    <t xml:space="preserve">Will it stick when nobody is watching?</t>
  </si>
  <si>
    <t xml:space="preserve">Drift back within weeks of the project closing</t>
  </si>
  <si>
    <t xml:space="preserve">Audit, visual management, recognition — H-16 and L-13</t>
  </si>
  <si>
    <t xml:space="preserve">Resistance log — resistance is information, not an obstacle</t>
  </si>
  <si>
    <t xml:space="preserve">Who</t>
  </si>
  <si>
    <t xml:space="preserve">What they said</t>
  </si>
  <si>
    <t xml:space="preserve">What they are protecting</t>
  </si>
  <si>
    <t xml:space="preserve">ADKAR element</t>
  </si>
  <si>
    <t xml:space="preserve">Response taken</t>
  </si>
  <si>
    <t xml:space="preserve">Resolved? 1/0</t>
  </si>
  <si>
    <t xml:space="preserve">Shift C operators</t>
  </si>
  <si>
    <t xml:space="preserve">If we set it lower we will get underfill complaints</t>
  </si>
  <si>
    <t xml:space="preserve">Their credibility with Quality; fear of blame</t>
  </si>
  <si>
    <t xml:space="preserve">Showed the capability data; agreed a numeric setting with a margin they helped choose</t>
  </si>
  <si>
    <t xml:space="preserve">Trial time will destroy our schedule adherence</t>
  </si>
  <si>
    <t xml:space="preserve">The metric they are measured on</t>
  </si>
  <si>
    <t xml:space="preserve">Ran the trial inside a planned changeover window</t>
  </si>
  <si>
    <t xml:space="preserve">The new HMI recipe screen is confusing</t>
  </si>
  <si>
    <t xml:space="preserve">Not wanting to look incompetent</t>
  </si>
  <si>
    <t xml:space="preserve">Re-trained on the recipe recall; one-page visual at the HMI</t>
  </si>
  <si>
    <t xml:space="preserve">We do not have time for a valve condition check every week</t>
  </si>
  <si>
    <t xml:space="preserve">Already-full maintenance schedule</t>
  </si>
  <si>
    <t xml:space="preserve">Moved the check into the autonomous maintenance route</t>
  </si>
  <si>
    <t xml:space="preserve">Groups assessed</t>
  </si>
  <si>
    <t xml:space="preserve">Groups ready (all five at 3+)</t>
  </si>
  <si>
    <t xml:space="preserve">Monitor only</t>
  </si>
  <si>
    <t xml:space="preserve">Groups blocked at Awareness or Desire</t>
  </si>
  <si>
    <t xml:space="preserve">Training will not help these groups — communication and involvement will</t>
  </si>
  <si>
    <t xml:space="preserve">Groups blocked at Knowledge or Ability</t>
  </si>
  <si>
    <t xml:space="preserve">Training and practice are the right response here</t>
  </si>
  <si>
    <t xml:space="preserve">Groups blocked at Reinforcement</t>
  </si>
  <si>
    <t xml:space="preserve">They can do it; nothing makes them keep doing it</t>
  </si>
  <si>
    <t xml:space="preserve">Weakest group</t>
  </si>
  <si>
    <t xml:space="preserve">Lowest total across the five elements</t>
  </si>
  <si>
    <t xml:space="preserve">Resistance items logged</t>
  </si>
  <si>
    <t xml:space="preserve">Resistance items resolved</t>
  </si>
  <si>
    <t xml:space="preserve">Unresolved resistance does not disappear; it goes quiet</t>
  </si>
  <si>
    <t xml:space="preserve">First element below 3</t>
  </si>
  <si>
    <t xml:space="preserve">The only element worth working on for that group</t>
  </si>
  <si>
    <t xml:space="preserve">Blocked at Desire</t>
  </si>
  <si>
    <t xml:space="preserve">Training will not help</t>
  </si>
  <si>
    <t xml:space="preserve">The most common misdiagnosis in industrial change</t>
  </si>
  <si>
    <t xml:space="preserve">Blocked at Reinforcement</t>
  </si>
  <si>
    <t xml:space="preserve">Audit and visual gap</t>
  </si>
  <si>
    <t xml:space="preserve">Score by group</t>
  </si>
  <si>
    <t xml:space="preserve">Assessed separately per shift</t>
  </si>
  <si>
    <t xml:space="preserve">Averaging shifts hides the crew that is blocked</t>
  </si>
  <si>
    <t xml:space="preserve">Resistance items</t>
  </si>
  <si>
    <t xml:space="preserve">Logged with what is being protected</t>
  </si>
  <si>
    <t xml:space="preserve">Resistance is a specification, not an obstacle</t>
  </si>
  <si>
    <t xml:space="preserve">•  Running training for a group blocked at Desire, which produces a trained group that still resists.</t>
  </si>
  <si>
    <t xml:space="preserve">•  Averaging all four shifts into one score, which hides the one crew that is blocked.</t>
  </si>
  <si>
    <t xml:space="preserve">•  Treating resistance as an attitude problem rather than as information about what the design got wrong.</t>
  </si>
  <si>
    <t xml:space="preserve">•  Skipping Reinforcement, and being surprised when the standard drifts back three months after closure.</t>
  </si>
  <si>
    <t xml:space="preserve">•  Scoring the model at a desk instead of from conversations on the floor.</t>
  </si>
  <si>
    <t xml:space="preserve">Q1.  A group scores Awareness 4, Desire 2, Knowledge 4, Ability 4. What is the barrier, and what is the wrong response?</t>
  </si>
  <si>
    <t xml:space="preserve">A1.  The barrier is Desire. The wrong response — and the usual one — is training, because their Knowledge score is already high and training feels like action. What they need is to be shown the business reason in terms that affect them, and to be given a genuine say in the design of the change.</t>
  </si>
  <si>
    <t xml:space="preserve">Q2.  Why does the order of the five elements matter?</t>
  </si>
  <si>
    <t xml:space="preserve">A2.  Because they are gates rather than a checklist. Knowledge cannot be built in someone who does not want the change, and Ability cannot be demonstrated by someone who has not been taught. Scoring them and averaging destroys the only useful information the model produces: where the sequence first breaks.</t>
  </si>
  <si>
    <t xml:space="preserve">Q3.  A change is adopted during the project and abandoned four months later. Which element failed?</t>
  </si>
  <si>
    <t xml:space="preserve">A3.  Reinforcement. The group had Awareness, Desire, Knowledge and Ability — the change was demonstrably being done. What was missing was the audit, the visual signal and the management attention that make it persist once the project team stops watching.</t>
  </si>
  <si>
    <t xml:space="preserve">G-07 — Project Risk Register</t>
  </si>
  <si>
    <t xml:space="preserve">Phase: TRANSVERSAL   |   Data required: Team judgement, structured by category   |   Min. sample: n/a   |   Complexity: 2/5   |   Output: Scored risks with a response, an owner and a residual score</t>
  </si>
  <si>
    <t xml:space="preserve">What could stop this project delivering, how bad would it be, and what are we doing about it?</t>
  </si>
  <si>
    <t xml:space="preserve">At the Define tollgate, and reviewed at every tollgate thereafter — a register written once is not a register.</t>
  </si>
  <si>
    <t xml:space="preserve">Scored risks with a response, a named owner, a review date and an explicit residual score.</t>
  </si>
  <si>
    <t xml:space="preserve">A risk register is a structured list of what could go wrong, scored so the finite attention available goes to the risks that deserve it. Probability times impact gives a crude but workable score; what matters is that the scoring is consistent across the register, not that it is precise.</t>
  </si>
  <si>
    <t xml:space="preserve">The residual score is the column most registers omit and the one that carries the argument. A risk scored 20 before mitigation and 8 after tells the sponsor what the mitigation plan is worth. A register with no residual column records anxiety rather than management.</t>
  </si>
  <si>
    <t xml:space="preserve">There are four legitimate responses. Avoid changes the plan so the risk cannot occur. Mitigate reduces probability, impact or both. Transfer moves the consequence to someone better placed to carry it.</t>
  </si>
  <si>
    <t xml:space="preserve">Accept consciously carries it — which is legitimate, but only with a recorded trigger that says when the contingency starts. An unrecorded acceptance is an unmanaged risk with better paperwork.</t>
  </si>
  <si>
    <t xml:space="preserve">Risk categories force breadth. Most teams list technical risks fluently and forget organisational, commercial and schedule risks — which, in practice, kill more projects than technical ones do. Shift C not adopting the change is a larger threat to the fill volume project than any valve.</t>
  </si>
  <si>
    <t xml:space="preserve">Every risk needs an owner and a review date. A risk register reviewed only at the Define tollgate is a document; one reviewed at every tollgate is a control.</t>
  </si>
  <si>
    <t xml:space="preserve">✓  At the Define tollgate, and re-reviewed at every subsequent tollgate.</t>
  </si>
  <si>
    <t xml:space="preserve">✗  As a document written once for the tollgate pack and never opened again.</t>
  </si>
  <si>
    <t xml:space="preserve">✓  Before any trial or implementation that could affect product, customers or safety.</t>
  </si>
  <si>
    <t xml:space="preserve">✗  For process failure modes, which belong in the FMEA (H-13) with Action Priority.</t>
  </si>
  <si>
    <t xml:space="preserve">✓  To decide which risks the sponsor must accept explicitly rather than the team carrying quietly.</t>
  </si>
  <si>
    <t xml:space="preserve">✗  As a reason not to act; the register exists to enable action, not to justify delay.</t>
  </si>
  <si>
    <t xml:space="preserve">✓  Alongside the FMEA — the FMEA covers the process, this register covers the project.</t>
  </si>
  <si>
    <t xml:space="preserve">Scoring is consistent across the register</t>
  </si>
  <si>
    <t xml:space="preserve">One person or one session scores everything on the same scale</t>
  </si>
  <si>
    <t xml:space="preserve">Re-score together; inconsistent scales make the ranking meaningless</t>
  </si>
  <si>
    <t xml:space="preserve">Non-technical categories are represented</t>
  </si>
  <si>
    <t xml:space="preserve">Check for organisational, commercial and schedule risks</t>
  </si>
  <si>
    <t xml:space="preserve">Add them; these kill more projects than technical risks do</t>
  </si>
  <si>
    <t xml:space="preserve">Every risk has an owner and a review date</t>
  </si>
  <si>
    <t xml:space="preserve">Check the owner and review-by columns</t>
  </si>
  <si>
    <t xml:space="preserve">Assign them; an unowned risk is not being managed</t>
  </si>
  <si>
    <t xml:space="preserve">Accepted risks carry a trigger and a contingency</t>
  </si>
  <si>
    <t xml:space="preserve">Each Accept row states when the contingency starts</t>
  </si>
  <si>
    <t xml:space="preserve">Define the trigger, or change the response to Mitigate</t>
  </si>
  <si>
    <t xml:space="preserve">Risk score  =  probability (1-5)  x  impact (1-5)          range 1 to 25</t>
  </si>
  <si>
    <t xml:space="preserve">&gt;= 15  HIGH     active mitigation required, sponsor visibility 8-14   MEDIUM   mitigate and review at every tollgate &lt; 8    LOW      monitor</t>
  </si>
  <si>
    <t xml:space="preserve">Residual score  =  residual probability  x  residual impact       (after the mitigation is in place) Risk reduction  =  1  -  total residual score / total initial score</t>
  </si>
  <si>
    <t xml:space="preserve">THE FOUR RESPONSES:  AVOID · MITIGATE · TRANSFER · ACCEPT Accept is legitimate only when it is conscious, recorded, and carries a defined trigger.</t>
  </si>
  <si>
    <t xml:space="preserve">Note the difference from FMEA: this register covers the PROJECT, the FMEA covers the PROCESS.</t>
  </si>
  <si>
    <t xml:space="preserve">A project risk register uses probability x impact; an FMEA uses Action Priority (H-13).</t>
  </si>
  <si>
    <t xml:space="preserve">probability * impact</t>
  </si>
  <si>
    <t xml:space="preserve">Risk score, before and after mitigation</t>
  </si>
  <si>
    <t xml:space="preserve">IF(score&gt;=15,"HIGH",IF(score&gt;=8,"MEDIUM","LOW"))</t>
  </si>
  <si>
    <t xml:space="preserve">Risk level band</t>
  </si>
  <si>
    <t xml:space="preserve">COUNTIF(residual, "STILL HIGH*")</t>
  </si>
  <si>
    <t xml:space="preserve">Counts risks that remain high after mitigation</t>
  </si>
  <si>
    <t xml:space="preserve">INDEX(risks, MATCH(MAX(residual), residual, 0))</t>
  </si>
  <si>
    <t xml:space="preserve">Names the largest residual risk</t>
  </si>
  <si>
    <t xml:space="preserve">COUNTA(risks) - COUNTA(owners)</t>
  </si>
  <si>
    <t xml:space="preserve">Finds risks with no owner</t>
  </si>
  <si>
    <t xml:space="preserve">Scenario: the risk register for the fill volume project at the Define tollgate, covering technical, resource, organisational, commercial, schedule, financial and external categories, with the residual score after each mitigation.</t>
  </si>
  <si>
    <t xml:space="preserve">Risk register — one row per identified project risk</t>
  </si>
  <si>
    <t xml:space="preserve">Risk — what could go wrong</t>
  </si>
  <si>
    <t xml:space="preserve">Probability 1-5</t>
  </si>
  <si>
    <t xml:space="preserve">Response</t>
  </si>
  <si>
    <t xml:space="preserve">Mitigation action</t>
  </si>
  <si>
    <t xml:space="preserve">Review by</t>
  </si>
  <si>
    <t xml:space="preserve">Residual probability</t>
  </si>
  <si>
    <t xml:space="preserve">Residual impact</t>
  </si>
  <si>
    <t xml:space="preserve">Residual score</t>
  </si>
  <si>
    <t xml:space="preserve">Score reduction</t>
  </si>
  <si>
    <t xml:space="preserve">Residual assessment</t>
  </si>
  <si>
    <t xml:space="preserve">R-01</t>
  </si>
  <si>
    <t xml:space="preserve">Technical</t>
  </si>
  <si>
    <t xml:space="preserve">The valve seat replacement does not reduce variation as expected</t>
  </si>
  <si>
    <t xml:space="preserve">Mitigate</t>
  </si>
  <si>
    <t xml:space="preserve">Pilot on three valves before committing to all forty</t>
  </si>
  <si>
    <t xml:space="preserve">R-02</t>
  </si>
  <si>
    <t xml:space="preserve">Resource</t>
  </si>
  <si>
    <t xml:space="preserve">Maintenance technicians unavailable during the trial window</t>
  </si>
  <si>
    <t xml:space="preserve">Book technician time in writing four weeks ahead</t>
  </si>
  <si>
    <t xml:space="preserve">R-03</t>
  </si>
  <si>
    <t xml:space="preserve">Organisational</t>
  </si>
  <si>
    <t xml:space="preserve">Shift C does not adopt the numeric setting</t>
  </si>
  <si>
    <t xml:space="preserve">Involve shift C in choosing the setting; ADKAR plan on G-06</t>
  </si>
  <si>
    <t xml:space="preserve">R-04</t>
  </si>
  <si>
    <t xml:space="preserve">Commercial</t>
  </si>
  <si>
    <t xml:space="preserve">Underfill complaint during the trial damages customer confidence</t>
  </si>
  <si>
    <t xml:space="preserve">100% checkweigher verification during the trial; lower limit alarm</t>
  </si>
  <si>
    <t xml:space="preserve">R-05</t>
  </si>
  <si>
    <t xml:space="preserve">Schedule</t>
  </si>
  <si>
    <t xml:space="preserve">Peak season freezes all line trials from November</t>
  </si>
  <si>
    <t xml:space="preserve">Avoid</t>
  </si>
  <si>
    <t xml:space="preserve">Complete all trials before 1 November</t>
  </si>
  <si>
    <t xml:space="preserve">R-06</t>
  </si>
  <si>
    <t xml:space="preserve">Benefit method rejected by Controlling at closure</t>
  </si>
  <si>
    <t xml:space="preserve">Agree the benefit calculation in writing before Measure closes</t>
  </si>
  <si>
    <t xml:space="preserve">R-07</t>
  </si>
  <si>
    <t xml:space="preserve">Checkweigher drift invalidates the baseline</t>
  </si>
  <si>
    <t xml:space="preserve">Gage R&amp;R before baseline; monthly calibration check</t>
  </si>
  <si>
    <t xml:space="preserve">R-08</t>
  </si>
  <si>
    <t xml:space="preserve">Preform supplier changes resin grade mid-project</t>
  </si>
  <si>
    <t xml:space="preserve">Accept</t>
  </si>
  <si>
    <t xml:space="preserve">Monitor incoming certificates; re-baseline if it happens</t>
  </si>
  <si>
    <t xml:space="preserve">The four risk responses</t>
  </si>
  <si>
    <t xml:space="preserve">Example from the register</t>
  </si>
  <si>
    <t xml:space="preserve">AVOID</t>
  </si>
  <si>
    <t xml:space="preserve">Change the plan so the risk cannot occur</t>
  </si>
  <si>
    <t xml:space="preserve">High impact and the plan can be changed cheaply</t>
  </si>
  <si>
    <t xml:space="preserve">Complete all trials before the November freeze</t>
  </si>
  <si>
    <t xml:space="preserve">MITIGATE</t>
  </si>
  <si>
    <t xml:space="preserve">Reduce the probability, the impact, or both</t>
  </si>
  <si>
    <t xml:space="preserve">Most risks, most of the time</t>
  </si>
  <si>
    <t xml:space="preserve">Pilot on three valves before committing to forty</t>
  </si>
  <si>
    <t xml:space="preserve">TRANSFER</t>
  </si>
  <si>
    <t xml:space="preserve">Move the consequence to someone better placed to carry it</t>
  </si>
  <si>
    <t xml:space="preserve">Insurable or contractual risks</t>
  </si>
  <si>
    <t xml:space="preserve">Supplier warranty on the new valve seats</t>
  </si>
  <si>
    <t xml:space="preserve">ACCEPT</t>
  </si>
  <si>
    <t xml:space="preserve">Consciously carry it, with a trigger and a contingency</t>
  </si>
  <si>
    <t xml:space="preserve">Low score, or mitigation costs more than the risk</t>
  </si>
  <si>
    <t xml:space="preserve">Supplier resin grade change — monitor and re-baseline</t>
  </si>
  <si>
    <t xml:space="preserve">Accepting a risk is a legitimate decision, but only when it is conscious, recorded, and carries a defined trigger that says when the contingency starts. An unrecorded acceptance is just an unmanaged risk with better paperwork.</t>
  </si>
  <si>
    <t xml:space="preserve">Risks registered</t>
  </si>
  <si>
    <t xml:space="preserve">HIGH before mitigation</t>
  </si>
  <si>
    <t xml:space="preserve">Score 15 or above</t>
  </si>
  <si>
    <t xml:space="preserve">HIGH residual after mitigation</t>
  </si>
  <si>
    <t xml:space="preserve">These must be escalated to the sponsor</t>
  </si>
  <si>
    <t xml:space="preserve">Total score before mitigation</t>
  </si>
  <si>
    <t xml:space="preserve">Total residual score</t>
  </si>
  <si>
    <t xml:space="preserve">Total risk reduction</t>
  </si>
  <si>
    <t xml:space="preserve">How much of the exposure the mitigation plan removes</t>
  </si>
  <si>
    <t xml:space="preserve">Highest residual risk</t>
  </si>
  <si>
    <t xml:space="preserve">Risks with no owner</t>
  </si>
  <si>
    <t xml:space="preserve">An unowned risk is not being managed</t>
  </si>
  <si>
    <t xml:space="preserve">Risks accepted</t>
  </si>
  <si>
    <t xml:space="preserve">Each needs a trigger and a contingency</t>
  </si>
  <si>
    <t xml:space="preserve">Risk score</t>
  </si>
  <si>
    <t xml:space="preserve">&gt;=15 HIGH, 8-14 MEDIUM, &lt;8 LOW</t>
  </si>
  <si>
    <t xml:space="preserve">Consistency across the register matters more than precision</t>
  </si>
  <si>
    <t xml:space="preserve">Residual HIGH</t>
  </si>
  <si>
    <t xml:space="preserve">Escalated to the sponsor</t>
  </si>
  <si>
    <t xml:space="preserve">Carrying a high residual risk quietly is the failure mode</t>
  </si>
  <si>
    <t xml:space="preserve">Non-technical risks</t>
  </si>
  <si>
    <t xml:space="preserve">Present in the register</t>
  </si>
  <si>
    <t xml:space="preserve">Organisational and schedule risks kill more projects than technical ones</t>
  </si>
  <si>
    <t xml:space="preserve">Owner and review date</t>
  </si>
  <si>
    <t xml:space="preserve">Accepted risks</t>
  </si>
  <si>
    <t xml:space="preserve">Trigger and contingency defined</t>
  </si>
  <si>
    <t xml:space="preserve">Otherwise it is not acceptance, it is neglect</t>
  </si>
  <si>
    <t xml:space="preserve">•  Listing only technical risks, and being stopped by an organisational one nobody wrote down.</t>
  </si>
  <si>
    <t xml:space="preserve">•  Omitting the residual score, so the register records worry rather than management.</t>
  </si>
  <si>
    <t xml:space="preserve">•  Writing the register for the Define tollgate and never opening it again.</t>
  </si>
  <si>
    <t xml:space="preserve">•  Accepting a risk without a trigger, which means nobody notices when it materialises.</t>
  </si>
  <si>
    <t xml:space="preserve">•  Confusing the project risk register with the process FMEA — different scope, different scoring.</t>
  </si>
  <si>
    <t xml:space="preserve">Q1.  What does the residual score add that the initial score does not?</t>
  </si>
  <si>
    <t xml:space="preserve">A1.  It quantifies what the mitigation plan is worth. An initial score says how worried to be; the residual says how worried to be after the plan is in place. Without it, the register cannot show whether mitigation is working, and a sponsor cannot tell which risks they are actually carrying.</t>
  </si>
  <si>
    <t xml:space="preserve">Q2.  Why is 'shift C does not adopt the change' a legitimate entry in a technical project's risk register?</t>
  </si>
  <si>
    <t xml:space="preserve">A2.  Because organisational risks stop more projects than technical ones. A perfectly engineered solution that one crew declines to use delivers nothing, and it is the most predictable failure mode on any change affecting how people work. It also has a specific mitigation — the ADKAR plan on G-06.</t>
  </si>
  <si>
    <t xml:space="preserve">Q3.  When is Accept a legitimate response?</t>
  </si>
  <si>
    <t xml:space="preserve">A3.  When the score is low, or mitigation would cost more than the risk, AND the acceptance is recorded with a trigger and a contingency. The trigger is what makes it management rather than neglect: it states in advance what event starts the contingency plan.</t>
  </si>
  <si>
    <t xml:space="preserve">G-08 — Project Schedule, Gantt and PERT/CPM</t>
  </si>
  <si>
    <t xml:space="preserve">Phase: TRANSVERSAL   |   Data required: Task list with three-point estimates and dependencies   |   Min. sample: n/a   |   Complexity: 4/5   |   Output: Critical path, project duration, PERT probability and a Gantt chart</t>
  </si>
  <si>
    <t xml:space="preserve">How long will this project actually take, which tasks decide that, and how confident can we be in the date?</t>
  </si>
  <si>
    <t xml:space="preserve">At the Define tollgate, and whenever a task slips and somebody asks whether it matters.</t>
  </si>
  <si>
    <t xml:space="preserve">The critical path, a PERT expected duration with its uncertainty, and the probability of meeting the promised date.</t>
  </si>
  <si>
    <t xml:space="preserve">A project network has one chain that is longer than all the others. That chain is the critical path, and it alone determines the project duration. Tasks not on it have float — they can slip without affecting the finish date. This is the single most useful thing a schedule tells you, because it says where management attention is worth spending.</t>
  </si>
  <si>
    <t xml:space="preserve">The consequence is counter-intuitive and routinely ignored: accelerating a task that is not on the critical path changes the finish date by exactly nothing. It is the scheduling equivalent of the Theory of Constraints on L-09, and it is violated just as often.</t>
  </si>
  <si>
    <t xml:space="preserve">PERT handles the fact that task durations are estimates rather than facts. Three estimates per task — optimistic, most likely, pessimistic — are combined as (O + 4M + P) / 6, which weights the most likely value heavily while letting the tails influence the answer. The standard deviation, (P - O) / 6, is what makes the uncertainty visible.</t>
  </si>
  <si>
    <t xml:space="preserve">Because the variances of independent tasks add, the critical path has a standard deviation of its own, and the project duration can be treated as approximately normal. That gives the number sponsors actually need: not 'the project takes 137 days' but 'there is a 62% chance of finishing by 18 December, and a date I could promise with 90% confidence is 8 January'.</t>
  </si>
  <si>
    <t xml:space="preserve">Promising the expected duration means promising a date you will miss about half the time. Promising the 90% date is the difference between a schedule and a commitment.</t>
  </si>
  <si>
    <t xml:space="preserve">Only the variance of tasks ON the critical path counts. A high-variance task with plenty of float does not add uncertainty to the finish date unless it consumes its float and joins the critical path.</t>
  </si>
  <si>
    <t xml:space="preserve">✓  At the Define tollgate, to test whether the charter date is achievable at all.</t>
  </si>
  <si>
    <t xml:space="preserve">✗  The project is a few tasks long and the sequence is obvious.</t>
  </si>
  <si>
    <t xml:space="preserve">✓  When a task slips, to decide in seconds whether it matters.</t>
  </si>
  <si>
    <t xml:space="preserve">✗  Estimates are pure guesses with no basis; PERT will produce false precision.</t>
  </si>
  <si>
    <t xml:space="preserve">✓  To decide where to spend compression effort — only critical tasks return anything.</t>
  </si>
  <si>
    <t xml:space="preserve">✗  As a substitute for managing the work; the network describes the plan, it does not execute it.</t>
  </si>
  <si>
    <t xml:space="preserve">✓  To convert an expected duration into a date that can honestly be promised.</t>
  </si>
  <si>
    <t xml:space="preserve">Dependencies are real, not habitual</t>
  </si>
  <si>
    <t xml:space="preserve">Ask why each task must follow another; many are convention rather than logic</t>
  </si>
  <si>
    <t xml:space="preserve">Challenge them; a false dependency lengthens the critical path for no reason</t>
  </si>
  <si>
    <t xml:space="preserve">Three-point estimates come from people who will do the work</t>
  </si>
  <si>
    <t xml:space="preserve">Check who provided the optimistic and pessimistic values</t>
  </si>
  <si>
    <t xml:space="preserve">Re-estimate with the doers; estimates made for someone else are optimistic</t>
  </si>
  <si>
    <t xml:space="preserve">Task durations are roughly independent</t>
  </si>
  <si>
    <t xml:space="preserve">Check for common causes that would delay several tasks at once</t>
  </si>
  <si>
    <t xml:space="preserve">Add a risk entry instead; correlated delays break the variance addition</t>
  </si>
  <si>
    <t xml:space="preserve">The critical path is re-identified as the project progresses</t>
  </si>
  <si>
    <t xml:space="preserve">Recheck after every significant slip</t>
  </si>
  <si>
    <t xml:space="preserve">Recompute; the critical path moves when a floated task consumes its float</t>
  </si>
  <si>
    <t xml:space="preserve">PERT, per task:</t>
  </si>
  <si>
    <t xml:space="preserve">   expected duration  te  =  ( O  +  4M  +  P ) / 6</t>
  </si>
  <si>
    <t xml:space="preserve">   standard deviation  s  =  ( P  -  O ) / 6</t>
  </si>
  <si>
    <t xml:space="preserve">   variance              =  s^2</t>
  </si>
  <si>
    <t xml:space="preserve">CRITICAL PATH:  the longest chain of dependent tasks through the network. project duration        =  sum of te along the critical path project variance        =  sum of the variances of the CRITICAL tasks only project SD              =  SQRT( project variance )</t>
  </si>
  <si>
    <t xml:space="preserve">Probability of finishing by a target date:</t>
  </si>
  <si>
    <t xml:space="preserve">Z  =  ( target duration  -  expected duration ) / project SD P  =  NORMSDIST( Z )</t>
  </si>
  <si>
    <t xml:space="preserve">Duration you can promise with a chosen confidence:</t>
  </si>
  <si>
    <t xml:space="preserve">   d  =  expected duration  +  NORMSINV(confidence) x project SD          (90%:  z = 1.282)</t>
  </si>
  <si>
    <t xml:space="preserve">Float of a non-critical task  =  latest start  -  earliest start.  Critical tasks have zero float.</t>
  </si>
  <si>
    <t xml:space="preserve">PERT weighting</t>
  </si>
  <si>
    <t xml:space="preserve">(D60+4*E60+F60)/6</t>
  </si>
  <si>
    <t xml:space="preserve">Expected duration from the three-point estimate</t>
  </si>
  <si>
    <t xml:space="preserve">((F60-D60)/6)^2</t>
  </si>
  <si>
    <t xml:space="preserve">Task variance, from the range of the estimates</t>
  </si>
  <si>
    <t xml:space="preserve">SQRT(path variance)</t>
  </si>
  <si>
    <t xml:space="preserve">Standard deviation of the whole project</t>
  </si>
  <si>
    <t xml:space="preserve">NORMSDIST(Z)</t>
  </si>
  <si>
    <t xml:space="preserve">Probability of finishing by the target date — legacy name, universally supported</t>
  </si>
  <si>
    <t xml:space="preserve">NORMSINV(0.9)</t>
  </si>
  <si>
    <t xml:space="preserve">Z multiplier for a 90% confident promise</t>
  </si>
  <si>
    <t xml:space="preserve">INDEX(durations, MATCH(task_id, ids, 0))</t>
  </si>
  <si>
    <t xml:space="preserve">Pulls each critical task's duration from the main table</t>
  </si>
  <si>
    <t xml:space="preserve">BarChart, grouping='stacked'</t>
  </si>
  <si>
    <t xml:space="preserve">Gantt: an invisible offset series plus a visible duration series</t>
  </si>
  <si>
    <t xml:space="preserve">Scenario: the fill volume project scheduled as fourteen tasks with three-point estimates from the people doing the work. Valve seat procurement (G) runs in parallel with the analysis and is not on the critical path; the charter target is 18 December 2026.</t>
  </si>
  <si>
    <t xml:space="preserve">Step 1 — project start date</t>
  </si>
  <si>
    <t xml:space="preserve">Project start date</t>
  </si>
  <si>
    <t xml:space="preserve">Day 0 of the schedule</t>
  </si>
  <si>
    <t xml:space="preserve">Step 2 — task list with PERT estimates and dependencies</t>
  </si>
  <si>
    <t xml:space="preserve">PERT expected duration = (optimistic + 4 x most likely + pessimistic) / 6. It weights the most likely estimate heavily while letting the tails influence the answer, which is why it beats a single-point estimate on tasks nobody has done before.</t>
  </si>
  <si>
    <t xml:space="preserve">Description</t>
  </si>
  <si>
    <t xml:space="preserve">Optimistic (days)</t>
  </si>
  <si>
    <t xml:space="preserve">Most likely (days)</t>
  </si>
  <si>
    <t xml:space="preserve">Pessimistic (days)</t>
  </si>
  <si>
    <t xml:space="preserve">PERT expected duration</t>
  </si>
  <si>
    <t xml:space="preserve">Depends on</t>
  </si>
  <si>
    <t xml:space="preserve">Earliest start (days from project start)</t>
  </si>
  <si>
    <t xml:space="preserve">Charter approved and team formed</t>
  </si>
  <si>
    <t xml:space="preserve">Data collection plan and MSA</t>
  </si>
  <si>
    <t xml:space="preserve">Baseline data collection</t>
  </si>
  <si>
    <t xml:space="preserve">Baseline capability analysis</t>
  </si>
  <si>
    <t xml:space="preserve">Stratification and root cause analysis</t>
  </si>
  <si>
    <t xml:space="preserve">Verify causes with data</t>
  </si>
  <si>
    <t xml:space="preserve">Valve seat procurement</t>
  </si>
  <si>
    <t xml:space="preserve">Solution selection workshop</t>
  </si>
  <si>
    <t xml:space="preserve">Pilot design and sample size</t>
  </si>
  <si>
    <t xml:space="preserve">J</t>
  </si>
  <si>
    <t xml:space="preserve">I, G</t>
  </si>
  <si>
    <t xml:space="preserve">K</t>
  </si>
  <si>
    <t xml:space="preserve">Confirmation analysis</t>
  </si>
  <si>
    <t xml:space="preserve">Standard work and training</t>
  </si>
  <si>
    <t xml:space="preserve">Control plan and handover</t>
  </si>
  <si>
    <t xml:space="preserve">Benefit validation and closure</t>
  </si>
  <si>
    <t xml:space="preserve">The 'earliest start' column is a yellow input so you can enter the schedule your own planning produces. On this worked example it has been left at zero for the parallel tasks and is driven by the critical path below; overwrite it with your own dates and the Gantt redraws.</t>
  </si>
  <si>
    <t xml:space="preserve">Step 3 — the critical path: the longest chain through the network</t>
  </si>
  <si>
    <t xml:space="preserve">Task on the critical path</t>
  </si>
  <si>
    <t xml:space="preserve">Expected duration (days)</t>
  </si>
  <si>
    <t xml:space="preserve">Earliest start (days)</t>
  </si>
  <si>
    <t xml:space="preserve">Earliest finish (days)</t>
  </si>
  <si>
    <t xml:space="preserve">Step 4 — project duration and the PERT probability calculation</t>
  </si>
  <si>
    <t xml:space="preserve">Number of tasks</t>
  </si>
  <si>
    <t xml:space="preserve">tasks</t>
  </si>
  <si>
    <t xml:space="preserve">Tasks on the critical path</t>
  </si>
  <si>
    <t xml:space="preserve">The longest chain through the network</t>
  </si>
  <si>
    <t xml:space="preserve">Sum of all task durations</t>
  </si>
  <si>
    <t xml:space="preserve">If everything ran in series</t>
  </si>
  <si>
    <t xml:space="preserve">CRITICAL PATH DURATION</t>
  </si>
  <si>
    <t xml:space="preserve">The shortest possible project duration</t>
  </si>
  <si>
    <t xml:space="preserve">Variance of the critical path</t>
  </si>
  <si>
    <t xml:space="preserve">days²</t>
  </si>
  <si>
    <t xml:space="preserve">Sum of the variances of the critical tasks only</t>
  </si>
  <si>
    <t xml:space="preserve">Standard deviation of the project</t>
  </si>
  <si>
    <t xml:space="preserve">Square root of the path variance</t>
  </si>
  <si>
    <t xml:space="preserve">Planned finish date</t>
  </si>
  <si>
    <t xml:space="preserve">Start date plus the critical path duration</t>
  </si>
  <si>
    <t xml:space="preserve">Target finish date</t>
  </si>
  <si>
    <t xml:space="preserve">From the charter</t>
  </si>
  <si>
    <t xml:space="preserve">Days of float against the target</t>
  </si>
  <si>
    <t xml:space="preserve">Negative means the charter date is not achievable</t>
  </si>
  <si>
    <t xml:space="preserve">Z for the target date</t>
  </si>
  <si>
    <t xml:space="preserve">(target duration - expected duration) / project SD</t>
  </si>
  <si>
    <t xml:space="preserve">Probability of finishing by the target</t>
  </si>
  <si>
    <t xml:space="preserve">From the normal distribution — the PERT probability</t>
  </si>
  <si>
    <t xml:space="preserve">Duration with 90% confidence</t>
  </si>
  <si>
    <t xml:space="preserve">The date you should actually promise</t>
  </si>
  <si>
    <t xml:space="preserve">Date with 90% confidence</t>
  </si>
  <si>
    <t xml:space="preserve">Step 5 — Gantt data (the first column is an invisible offset, the second is the bar)</t>
  </si>
  <si>
    <t xml:space="preserve">Offset from project start (invisible bar)</t>
  </si>
  <si>
    <t xml:space="preserve">Duration (visible bar)</t>
  </si>
  <si>
    <t xml:space="preserve">Finish (days)</t>
  </si>
  <si>
    <t xml:space="preserve">Finish date</t>
  </si>
  <si>
    <t xml:space="preserve">A  Charter approved and team formed</t>
  </si>
  <si>
    <t xml:space="preserve">B  Data collection plan and MSA</t>
  </si>
  <si>
    <t xml:space="preserve">C  Baseline data collection</t>
  </si>
  <si>
    <t xml:space="preserve">D  Baseline capability analysis</t>
  </si>
  <si>
    <t xml:space="preserve">E  Stratification and root cause analysis</t>
  </si>
  <si>
    <t xml:space="preserve">F  Verify causes with data</t>
  </si>
  <si>
    <t xml:space="preserve">H  Solution selection workshop</t>
  </si>
  <si>
    <t xml:space="preserve">I  Pilot design and sample size</t>
  </si>
  <si>
    <t xml:space="preserve">J  Pilot execution</t>
  </si>
  <si>
    <t xml:space="preserve">K  Confirmation analysis</t>
  </si>
  <si>
    <t xml:space="preserve">L  Standard work and training</t>
  </si>
  <si>
    <t xml:space="preserve">M  Control plan and handover</t>
  </si>
  <si>
    <t xml:space="preserve">N  Benefit validation and closure</t>
  </si>
  <si>
    <t xml:space="preserve">A Gantt chart in Excel is a stacked bar in which the first series — the offset from project start — is formatted with no fill, so only the duration bar is visible. Right-click the first series and set the fill to none to complete the effect.</t>
  </si>
  <si>
    <t xml:space="preserve">Float against the target</t>
  </si>
  <si>
    <t xml:space="preserve">Positive</t>
  </si>
  <si>
    <t xml:space="preserve">Negative means the charter date is not achievable as planned</t>
  </si>
  <si>
    <t xml:space="preserve">Probability of the target date</t>
  </si>
  <si>
    <t xml:space="preserve">&gt;= 80% before promising it</t>
  </si>
  <si>
    <t xml:space="preserve">The expected duration alone is a coin flip</t>
  </si>
  <si>
    <t xml:space="preserve">Compression effort</t>
  </si>
  <si>
    <t xml:space="preserve">Only on critical tasks</t>
  </si>
  <si>
    <t xml:space="preserve">Accelerating a floated task changes the finish date by nothing</t>
  </si>
  <si>
    <t xml:space="preserve">Critical path re-identification</t>
  </si>
  <si>
    <t xml:space="preserve">After every significant slip</t>
  </si>
  <si>
    <t xml:space="preserve">The critical path moves when float is consumed</t>
  </si>
  <si>
    <t xml:space="preserve">Estimate source</t>
  </si>
  <si>
    <t xml:space="preserve">The people doing the work</t>
  </si>
  <si>
    <t xml:space="preserve">Estimates made on someone's behalf are systematically optimistic</t>
  </si>
  <si>
    <t xml:space="preserve">•  Compressing whichever task is easiest to compress instead of one on the critical path.</t>
  </si>
  <si>
    <t xml:space="preserve">•  Promising the expected duration, which is a date you will miss about half the time.</t>
  </si>
  <si>
    <t xml:space="preserve">•  Including the variance of non-critical tasks in the project standard deviation.</t>
  </si>
  <si>
    <t xml:space="preserve">•  Accepting dependencies that are convention rather than logic, which lengthens the path for no reason.</t>
  </si>
  <si>
    <t xml:space="preserve">•  Building the network once and never re-identifying the critical path when tasks slip.</t>
  </si>
  <si>
    <t xml:space="preserve">Q1.  A task with 12 days of float slips by 5 days. Does the project finish date move?</t>
  </si>
  <si>
    <t xml:space="preserve">A1.  No. It still has 7 days of float and remains off the critical path. This is why identifying the critical path matters more than tracking every task equally: only slippage on the critical path, or slippage large enough to consume a task's float, affects the finish date.</t>
  </si>
  <si>
    <t xml:space="preserve">Q2.  The expected duration is 137 days and the project standard deviation is 9 days. What should you promise?</t>
  </si>
  <si>
    <t xml:space="preserve">A2.  Not 137 days — that is roughly a 50% chance. With 90% confidence the duration is 137 + 1.282 x 9 ≈ 149 days. Promising the expected duration means committing to a date you will miss about half the time; promising the 90% date is what turns a schedule into a commitment.</t>
  </si>
  <si>
    <t xml:space="preserve">Q3.  Why does only the variance of critical tasks count towards the project standard deviation?</t>
  </si>
  <si>
    <t xml:space="preserve">A3.  Because only critical tasks determine the finish date. A high-variance task with substantial float can vary considerably without affecting the project — unless it varies enough to consume its float, at which point it joins the critical path and the calculation must be redone.</t>
  </si>
  <si>
    <t xml:space="preserve">G-09 — Financial Benefit Validation (Hard vs Soft)</t>
  </si>
  <si>
    <t xml:space="preserve">Phase: CONTROL   |   Data required: Post-change measurement plus the agreed financial method   |   Min. sample: At least 8-12 weeks of post-change data   |   Complexity: 3/5   |   Output: Validated hard benefit, soft benefit and cost avoidance, reported separately, with sustainment checkpoints</t>
  </si>
  <si>
    <t xml:space="preserve">How much of the claimed benefit is real, validated, and still there six months later?</t>
  </si>
  <si>
    <t xml:space="preserve">At closure, and again at 30, 90 and 180 days — a benefit claimed at closure is a forecast, not a result.</t>
  </si>
  <si>
    <t xml:space="preserve">Hard, soft and cost avoidance separated and signed, plus evidence that the gain has held.</t>
  </si>
  <si>
    <t xml:space="preserve">Benefit validation is where improvement programmes earn or lose their credibility. One project whose claimed saving evaporates under scrutiny does more damage than five modest projects that deliver exactly what they promised.</t>
  </si>
  <si>
    <t xml:space="preserve">Three categories must be kept apart. Hard benefit changes the accounts — less material consumed, fewer units scrapped, lower spend. Soft benefit is real but does not by itself change the accounts: hours released, capacity freed on a machine that is not the constraint. Cost avoidance is spend that would have happened and now will not, which is legitimate only when the counterfactual is documented.</t>
  </si>
  <si>
    <t xml:space="preserve">Soft benefit and cost avoidance are real, and understating them is as dishonest as inflating them. What destroys credibility is presenting them as hard savings. Report the three separately and let the sponsor decide how to add them up.</t>
  </si>
  <si>
    <t xml:space="preserve">The signature matters more than the arithmetic. A benefit Controlling has not signed is a proposal, and the time to agree the calculation method is before Measure closes — not at the closure review, when the team has a result it is emotionally attached to.</t>
  </si>
  <si>
    <t xml:space="preserve">Capacity released on a non-constraint is the most common false hard benefit on a packaging line. If the line was not selling everything it could make, recovered minutes do not become revenue. On the constraint they can; elsewhere they are soft.</t>
  </si>
  <si>
    <t xml:space="preserve">Finally, a benefit claimed at closure is a forecast. The checkpoints at 30, 90 and 180 days are what turn it into a result, and the drift they catch is exactly what the control plan exists to prevent.</t>
  </si>
  <si>
    <t xml:space="preserve">✓  At project closure, as the mandatory financial gate.</t>
  </si>
  <si>
    <t xml:space="preserve">✗  Before the confirmation run has demonstrated the improvement is real.</t>
  </si>
  <si>
    <t xml:space="preserve">✓  At 30, 90 and 180 days, to confirm the benefit is still there.</t>
  </si>
  <si>
    <t xml:space="preserve">✗  Without Controlling; a benefit the plant controller has not seen is not validated.</t>
  </si>
  <si>
    <t xml:space="preserve">✓  When agreeing the benefit calculation method, which should happen in Measure.</t>
  </si>
  <si>
    <t xml:space="preserve">✗  To justify a project retrospectively by finding benefits nobody targeted.</t>
  </si>
  <si>
    <t xml:space="preserve">✓  To separate what can be banked from what should be reported but not banked.</t>
  </si>
  <si>
    <t xml:space="preserve">The improvement itself is statistically confirmed</t>
  </si>
  <si>
    <t xml:space="preserve">Check the confirmation run passed its gates</t>
  </si>
  <si>
    <t xml:space="preserve">Do not value an improvement that has not been demonstrated</t>
  </si>
  <si>
    <t xml:space="preserve">The calculation method was agreed before Measure closed</t>
  </si>
  <si>
    <t xml:space="preserve">Written agreement with Controlling on the method and the rates</t>
  </si>
  <si>
    <t xml:space="preserve">Agree it now and expect to lose part of the claim</t>
  </si>
  <si>
    <t xml:space="preserve">Capacity benefits are only hard on the constraint</t>
  </si>
  <si>
    <t xml:space="preserve">Check whether the line is capacity constrained and selling everything it makes</t>
  </si>
  <si>
    <t xml:space="preserve">Reclassify as soft; recovered minutes on a non-constraint are not revenue</t>
  </si>
  <si>
    <t xml:space="preserve">The benefit is still present at the checkpoints</t>
  </si>
  <si>
    <t xml:space="preserve">Measure at 30, 90 and 180 days against the same metric</t>
  </si>
  <si>
    <t xml:space="preserve">Reopen the control plan; a benefit that drifts was never controlled</t>
  </si>
  <si>
    <t xml:space="preserve">THREE CATEGORIES, always reported separately:</t>
  </si>
  <si>
    <t xml:space="preserve">HARD             changes the accounts directly            signed by Controlling SOFT             real, but does not change the accounts   reported, not banked COST AVOIDANCE   spend that will now not happen           requires a documented counterfactual</t>
  </si>
  <si>
    <t xml:space="preserve">Validated hard benefit  =  SUMIFS( value , type = HARD , signed = 1 ) Validation completeness =  validated hard / claimed hard</t>
  </si>
  <si>
    <t xml:space="preserve">Sustainment test: the metric must remain at or better than target at 30, 90 and 180 days.</t>
  </si>
  <si>
    <t xml:space="preserve">A benefit claimed at closure is a FORECAST. The checkpoints are what make it a RESULT.</t>
  </si>
  <si>
    <t xml:space="preserve">The constraint rule: recovered capacity is a hard benefit only if the line is capacity constrained and selling everything it can make. Everywhere else it is soft.</t>
  </si>
  <si>
    <t xml:space="preserve">SUMIF(type, "HARD", value)</t>
  </si>
  <si>
    <t xml:space="preserve">Rolls the claim up by benefit category</t>
  </si>
  <si>
    <t xml:space="preserve">SUMIFS</t>
  </si>
  <si>
    <t xml:space="preserve">SUMIFS(value, type, "HARD", signed, 1)</t>
  </si>
  <si>
    <t xml:space="preserve">Counts only the hard benefit Controlling has signed</t>
  </si>
  <si>
    <t xml:space="preserve">IF(AND(hard=1, signed=0), "NOT VALIDATED", ...)</t>
  </si>
  <si>
    <t xml:space="preserve">Flags a hard claim with no signature</t>
  </si>
  <si>
    <t xml:space="preserve">SUM(checkpoints)</t>
  </si>
  <si>
    <t xml:space="preserve">How many sustainment checkpoints the benefit survived</t>
  </si>
  <si>
    <t xml:space="preserve">Scenario: closure of the fill volume project. Seven benefit lines split across hard, soft and cost avoidance, with Controlling's signature recorded per line, and four sustainment checkpoints of which the 90-day one shows slight drift.</t>
  </si>
  <si>
    <t xml:space="preserve">Step 1 — classify every claimed benefit</t>
  </si>
  <si>
    <t xml:space="preserve">Does it show in the P&amp;L?</t>
  </si>
  <si>
    <t xml:space="preserve">Who must sign it</t>
  </si>
  <si>
    <t xml:space="preserve">Typical example here</t>
  </si>
  <si>
    <t xml:space="preserve">HARD</t>
  </si>
  <si>
    <t xml:space="preserve">A measurable reduction in cost or increase in revenue that appears in the accounts</t>
  </si>
  <si>
    <t xml:space="preserve">Yes, directly</t>
  </si>
  <si>
    <t xml:space="preserve">Less material used per bottle; fewer bottles scrapped</t>
  </si>
  <si>
    <t xml:space="preserve">SOFT</t>
  </si>
  <si>
    <t xml:space="preserve">A real improvement that does not by itself change the accounts</t>
  </si>
  <si>
    <t xml:space="preserve">No, not directly</t>
  </si>
  <si>
    <t xml:space="preserve">Process owner, noted by Controlling</t>
  </si>
  <si>
    <t xml:space="preserve">Hours released; capacity freed on a non-constraint</t>
  </si>
  <si>
    <t xml:space="preserve">COST AVOIDANCE</t>
  </si>
  <si>
    <t xml:space="preserve">A cost that would have been incurred and now will not be</t>
  </si>
  <si>
    <t xml:space="preserve">Only against the counterfactual</t>
  </si>
  <si>
    <t xml:space="preserve">Controlling, with the counterfactual documented</t>
  </si>
  <si>
    <t xml:space="preserve">Capital deferred; a complaint that did not happen</t>
  </si>
  <si>
    <t xml:space="preserve">Soft benefits and cost avoidance are real, and understating them is as dishonest as inflating them. What destroys a programme's credibility is presenting them AS hard savings. Report the three separately and let the sponsor add them up.</t>
  </si>
  <si>
    <t xml:space="preserve">Step 2 — the benefit calculation, line by line</t>
  </si>
  <si>
    <t xml:space="preserve">Benefit</t>
  </si>
  <si>
    <t xml:space="preserve">How it is calculated</t>
  </si>
  <si>
    <t xml:space="preserve">Annual value (USD)</t>
  </si>
  <si>
    <t xml:space="preserve">Counts as HARD? 1/0</t>
  </si>
  <si>
    <t xml:space="preserve">Signed by Controlling? 1/0</t>
  </si>
  <si>
    <t xml:space="preserve">Hard value counted</t>
  </si>
  <si>
    <t xml:space="preserve">Validation status</t>
  </si>
  <si>
    <t xml:space="preserve">Fill volume giveaway reduced</t>
  </si>
  <si>
    <t xml:space="preserve">Litres saved x variable cost per litre</t>
  </si>
  <si>
    <t xml:space="preserve">Checkweigher data, 12 weeks post-change</t>
  </si>
  <si>
    <t xml:space="preserve">FBI rejects reduced</t>
  </si>
  <si>
    <t xml:space="preserve">Bottles not scrapped x full cost per bottle</t>
  </si>
  <si>
    <t xml:space="preserve">FBI reject log, 12 weeks</t>
  </si>
  <si>
    <t xml:space="preserve">Re-labelling eliminated</t>
  </si>
  <si>
    <t xml:space="preserve">Labour and material no longer consumed</t>
  </si>
  <si>
    <t xml:space="preserve">Rework log</t>
  </si>
  <si>
    <t xml:space="preserve">Quality downtime reduced</t>
  </si>
  <si>
    <t xml:space="preserve">Minutes recovered x contribution margin</t>
  </si>
  <si>
    <t xml:space="preserve">Downtime system; line is the constraint</t>
  </si>
  <si>
    <t xml:space="preserve">Operator hours released</t>
  </si>
  <si>
    <t xml:space="preserve">Hours no longer spent on rework</t>
  </si>
  <si>
    <t xml:space="preserve">Standard work time study</t>
  </si>
  <si>
    <t xml:space="preserve">Complaint handling avoided</t>
  </si>
  <si>
    <t xml:space="preserve">Complaints avoided x cost per complaint</t>
  </si>
  <si>
    <t xml:space="preserve">Complaint history, 3-year average</t>
  </si>
  <si>
    <t xml:space="preserve">Capital deferred on a second checkweigher</t>
  </si>
  <si>
    <t xml:space="preserve">Purchase no longer required this year</t>
  </si>
  <si>
    <t xml:space="preserve">Capital plan, with the counterfactual documented</t>
  </si>
  <si>
    <t xml:space="preserve">Step 3 — the roll-up, and the honest way to present it</t>
  </si>
  <si>
    <t xml:space="preserve">How to present it</t>
  </si>
  <si>
    <t xml:space="preserve">HARD benefit claimed</t>
  </si>
  <si>
    <t xml:space="preserve">This is the number that goes in the accounts</t>
  </si>
  <si>
    <t xml:space="preserve">HARD benefit validated by Controlling</t>
  </si>
  <si>
    <t xml:space="preserve">This is the number you may actually claim</t>
  </si>
  <si>
    <t xml:space="preserve">SOFT benefit</t>
  </si>
  <si>
    <t xml:space="preserve">Report separately; never add to hard</t>
  </si>
  <si>
    <t xml:space="preserve">Report separately, with the counterfactual</t>
  </si>
  <si>
    <t xml:space="preserve">TOTAL of all three</t>
  </si>
  <si>
    <t xml:space="preserve">Only ever presented as three separate lines</t>
  </si>
  <si>
    <t xml:space="preserve">Hard benefit not yet validated</t>
  </si>
  <si>
    <t xml:space="preserve">Cannot be claimed until signed</t>
  </si>
  <si>
    <t xml:space="preserve">Validation completeness</t>
  </si>
  <si>
    <t xml:space="preserve">Share of the hard claim that Controlling has signed</t>
  </si>
  <si>
    <t xml:space="preserve">Step 4 — sustainment: the benefit has to still be there in six months</t>
  </si>
  <si>
    <t xml:space="preserve">Checkpoint</t>
  </si>
  <si>
    <t xml:space="preserve">Metric value</t>
  </si>
  <si>
    <t xml:space="preserve">Benefit still present? 1/0</t>
  </si>
  <si>
    <t xml:space="preserve">Notes</t>
  </si>
  <si>
    <t xml:space="preserve">Before the change</t>
  </si>
  <si>
    <t xml:space="preserve">Confirmation run complete</t>
  </si>
  <si>
    <t xml:space="preserve">30 days after</t>
  </si>
  <si>
    <t xml:space="preserve">Standard work audited on all shifts</t>
  </si>
  <si>
    <t xml:space="preserve">90 days after</t>
  </si>
  <si>
    <t xml:space="preserve">Slight drift — control plan review triggered</t>
  </si>
  <si>
    <t xml:space="preserve">180 days after</t>
  </si>
  <si>
    <t xml:space="preserve">Scheduled</t>
  </si>
  <si>
    <t xml:space="preserve">Benefit lines</t>
  </si>
  <si>
    <t xml:space="preserve">Lines not yet validated</t>
  </si>
  <si>
    <t xml:space="preserve">Each must be signed or removed before closure</t>
  </si>
  <si>
    <t xml:space="preserve">Checkpoints passed</t>
  </si>
  <si>
    <t xml:space="preserve">Of the three completed post-change checkpoints</t>
  </si>
  <si>
    <t xml:space="preserve">Sustainment holding?</t>
  </si>
  <si>
    <t xml:space="preserve">The test the benefit must survive</t>
  </si>
  <si>
    <t xml:space="preserve">Hard benefit signed by Controlling</t>
  </si>
  <si>
    <t xml:space="preserve">100% before closure</t>
  </si>
  <si>
    <t xml:space="preserve">Unsigned hard benefit cannot be claimed</t>
  </si>
  <si>
    <t xml:space="preserve">Soft and cost avoidance</t>
  </si>
  <si>
    <t xml:space="preserve">Reported separately</t>
  </si>
  <si>
    <t xml:space="preserve">Adding them to hard is what destroys programme credibility</t>
  </si>
  <si>
    <t xml:space="preserve">Capacity benefit</t>
  </si>
  <si>
    <t xml:space="preserve">Hard only on the constraint</t>
  </si>
  <si>
    <t xml:space="preserve">The most common false hard claim in packaging</t>
  </si>
  <si>
    <t xml:space="preserve">Sustainment at 30/90/180 days</t>
  </si>
  <si>
    <t xml:space="preserve">At or better than target</t>
  </si>
  <si>
    <t xml:space="preserve">A benefit that drifts was never controlled</t>
  </si>
  <si>
    <t xml:space="preserve">Counterfactual for cost avoidance</t>
  </si>
  <si>
    <t xml:space="preserve">Documented</t>
  </si>
  <si>
    <t xml:space="preserve">Otherwise it is unfalsifiable</t>
  </si>
  <si>
    <t xml:space="preserve">•  Adding soft benefit to hard and presenting one large number, which collapses under the first question.</t>
  </si>
  <si>
    <t xml:space="preserve">•  Claiming recovered capacity as revenue on a line that was not selling everything it made.</t>
  </si>
  <si>
    <t xml:space="preserve">•  Agreeing the calculation method at the closure review instead of before Measure closed.</t>
  </si>
  <si>
    <t xml:space="preserve">•  Closing the project at the confirmation run and never checking whether the benefit held.</t>
  </si>
  <si>
    <t xml:space="preserve">•  Claiming cost avoidance without documenting what would otherwise have been spent.</t>
  </si>
  <si>
    <t xml:space="preserve">Q1.  A project frees 200 hours a year on the labeller, which is not the constraint. Hard or soft?</t>
  </si>
  <si>
    <t xml:space="preserve">A1.  Soft. The hours are real but they do not change the accounts: the line was not selling everything it could make, so the recovered time does not become revenue and no cost disappears. On the constraint, the same 200 hours could be a hard benefit — which is why the constraint analysis on L-09 matters here.</t>
  </si>
  <si>
    <t xml:space="preserve">Q2.  Why must the benefit calculation method be agreed before Measure closes?</t>
  </si>
  <si>
    <t xml:space="preserve">A2.  Because by the closure review the team has a result it is attached to, and any challenge to the method looks like a challenge to the work. Agreeing the method early makes it a technical conversation rather than a political one, and it protects the project from a benefit being disallowed at the last gate.</t>
  </si>
  <si>
    <t xml:space="preserve">Q3.  The metric is at target at closure and at 30 days, but drifts above target at 90 days. What does that mean?</t>
  </si>
  <si>
    <t xml:space="preserve">A3.  That the improvement was implemented but not controlled. The control plan and its reaction rules are not holding the gain — which is exactly what the 90-day checkpoint exists to catch, while the project team is still available to fix it.</t>
  </si>
  <si>
    <t xml:space="preserve">G-10 — Closure, Handover, Lessons Learned, Replication</t>
  </si>
  <si>
    <t xml:space="preserve">Phase: CONTROL   |   Data required: The completed project record   |   Min. sample: n/a   |   Complexity: 2/5   |   Output: A closure checklist, lessons in both directions, and a ranked replication plan</t>
  </si>
  <si>
    <t xml:space="preserve">Is this project genuinely finished, has the process owner really taken it back, and where else does the answer apply?</t>
  </si>
  <si>
    <t xml:space="preserve">At the end of Control, before the Belt moves on and while the team still remembers what happened.</t>
  </si>
  <si>
    <t xml:space="preserve">A closure gate, lessons in both directions, and a ranked list of where the same solution can be copied.</t>
  </si>
  <si>
    <t xml:space="preserve">Closure is a gate, not a formality. A project is finished when the target is confirmed, the control plan is live and being used, the standard work is trained on every shift, the benefit is signed and the process owner has formally taken ownership back. Any of those missing means the gain has no owner once the Belt leaves.</t>
  </si>
  <si>
    <t xml:space="preserve">Handover deserves particular attention. Through Improve and Control the Belt tends to be the person who notices when the chart signals. If that habit is not transferred explicitly — with a named owner, a defined routine and an audit — the process quietly reverts within a quarter.</t>
  </si>
  <si>
    <t xml:space="preserve">Lessons learned should always run in two directions. What we would do again, and why it worked, is the half most teams capture. What we would do differently, and what it cost us, is the half that actually saves the next project time — and the half that requires enough psychological safety to write down honestly.</t>
  </si>
  <si>
    <t xml:space="preserve">Replication is where improvement programmes generate most of their value and lose most of it. The second application of a solution costs a fraction of the first: the causes are known, the method is written, the control plan exists. On a multi-line plant, the replication benefit is routinely of the same order as the original project benefit at a quarter of the effort.</t>
  </si>
  <si>
    <t xml:space="preserve">But replication fails on details, which is why the pack must include the standard work with its actual numeric settings, the causes that were ruled out, what did not work, and a named person who will answer the phone. A copied slide deck transfers a conclusion; it does not transfer a solution.</t>
  </si>
  <si>
    <t xml:space="preserve">The honest replication assessment also says where the solution does not apply. A canning line with a different fill principle is not a candidate, and saying so protects the credibility of the ones that are.</t>
  </si>
  <si>
    <t xml:space="preserve">✓  At the end of Control, before the Belt moves to the next project.</t>
  </si>
  <si>
    <t xml:space="preserve">✗  As a formality signed off while items remain open.</t>
  </si>
  <si>
    <t xml:space="preserve">✓  To make handover to the process owner explicit rather than assumed.</t>
  </si>
  <si>
    <t xml:space="preserve">✗  Before the benefit has been validated and the control plan is running.</t>
  </si>
  <si>
    <t xml:space="preserve">✓  To assess and rank where the same solution can be copied.</t>
  </si>
  <si>
    <t xml:space="preserve">✗  To close a project whose target was not met — that needs a decision, not a closure form.</t>
  </si>
  <si>
    <t xml:space="preserve">✓  To capture what did not work, while the team still remembers it.</t>
  </si>
  <si>
    <t xml:space="preserve">The benefit is validated and signed</t>
  </si>
  <si>
    <t xml:space="preserve">Controlling has signed the hard benefit</t>
  </si>
  <si>
    <t xml:space="preserve">Do not close; an unsigned benefit will not appear in any report that matters</t>
  </si>
  <si>
    <t xml:space="preserve">The control plan is live and being used</t>
  </si>
  <si>
    <t xml:space="preserve">Check the charts at the line, and that the reaction rules have been exercised</t>
  </si>
  <si>
    <t xml:space="preserve">Do not close; a control plan in a folder controls nothing</t>
  </si>
  <si>
    <t xml:space="preserve">Process ownership has been formally accepted</t>
  </si>
  <si>
    <t xml:space="preserve">A minuted handover with a named owner</t>
  </si>
  <si>
    <t xml:space="preserve">Hold the handover meeting; assumed ownership is no ownership</t>
  </si>
  <si>
    <t xml:space="preserve">Replication has been assessed, even if the answer is no</t>
  </si>
  <si>
    <t xml:space="preserve">Every candidate line assessed and recorded</t>
  </si>
  <si>
    <t xml:space="preserve">Assess it; unassessed replication is where most programme value is lost</t>
  </si>
  <si>
    <t xml:space="preserve">There is no calculation. Closure is a gate with a fixed list:</t>
  </si>
  <si>
    <t xml:space="preserve">   1. Target achieved and statistically confirmed</t>
  </si>
  <si>
    <t xml:space="preserve">   2. Control plan live, with reaction rules being used</t>
  </si>
  <si>
    <t xml:space="preserve">   3. Standard work written, trained and audited on every shift</t>
  </si>
  <si>
    <t xml:space="preserve">   4. Control charts running at the line</t>
  </si>
  <si>
    <t xml:space="preserve">   5. FMEA updated with the new controls</t>
  </si>
  <si>
    <t xml:space="preserve">   6. Benefit validated and signed by Controlling</t>
  </si>
  <si>
    <t xml:space="preserve">   7. Process ownership formally handed over and minuted</t>
  </si>
  <si>
    <t xml:space="preserve">   8. Open actions closed or formally transferred with a named owner</t>
  </si>
  <si>
    <t xml:space="preserve">   9. Lessons learned captured, in BOTH directions</t>
  </si>
  <si>
    <t xml:space="preserve">  10. Replication assessed and offered, even where the answer is no</t>
  </si>
  <si>
    <t xml:space="preserve">Replication ranking:  benefit per person-day  =  estimated benefit / effort to replicate The second application of a solution typically costs a quarter of the first.</t>
  </si>
  <si>
    <t xml:space="preserve">SUM(C60:C69)</t>
  </si>
  <si>
    <t xml:space="preserve">Closure completeness out of ten</t>
  </si>
  <si>
    <t xml:space="preserve">COUNTIF(status, "OPEN*")</t>
  </si>
  <si>
    <t xml:space="preserve">Items blocking closure</t>
  </si>
  <si>
    <t xml:space="preserve">RANK(ratio, all_ratios, 0)</t>
  </si>
  <si>
    <t xml:space="preserve">Ranks replication candidates by return per person-day</t>
  </si>
  <si>
    <t xml:space="preserve">INDEX(lines, MATCH(MAX(ratio), ratio, 0))</t>
  </si>
  <si>
    <t xml:space="preserve">Names the best replication candidate</t>
  </si>
  <si>
    <t xml:space="preserve">COUNTIF(benefit, "&gt;0")</t>
  </si>
  <si>
    <t xml:space="preserve">Counts candidates with a positive case</t>
  </si>
  <si>
    <t xml:space="preserve">Scenario: closure of the fill volume project in December 2026. Eight of ten requirements are met; the benefit signature and the replication assessment remain open. Four candidate lines are assessed for replication, one of which is honestly ruled out.</t>
  </si>
  <si>
    <t xml:space="preserve">Step 1 — the closure checklist: nothing closes until every line is yes</t>
  </si>
  <si>
    <t xml:space="preserve">Closure requirement</t>
  </si>
  <si>
    <t xml:space="preserve">Target condition achieved and statistically confirmed</t>
  </si>
  <si>
    <t xml:space="preserve">Confirmation run on L-26, p &lt; 0.001</t>
  </si>
  <si>
    <t xml:space="preserve">Control plan live, with reaction rules</t>
  </si>
  <si>
    <t xml:space="preserve">H-16 signed by Quality and the process owner</t>
  </si>
  <si>
    <t xml:space="preserve">Standard work written, trained and audited on all shifts</t>
  </si>
  <si>
    <t xml:space="preserve">Rev 4 trained; audit complete on all four shifts</t>
  </si>
  <si>
    <t xml:space="preserve">Control charts running at the line and being used</t>
  </si>
  <si>
    <t xml:space="preserve">Xbar-R chart in use, reaction rules exercised twice</t>
  </si>
  <si>
    <t xml:space="preserve">FMEA updated with the new controls</t>
  </si>
  <si>
    <t xml:space="preserve">H-13 revised, two Action Priorities reduced to Low</t>
  </si>
  <si>
    <t xml:space="preserve">Benefit validated and signed by Controlling</t>
  </si>
  <si>
    <t xml:space="preserve">183,000 USD hard signed; 12,000 USD pending</t>
  </si>
  <si>
    <t xml:space="preserve">Process ownership formally handed over</t>
  </si>
  <si>
    <t xml:space="preserve">Handover meeting held and minuted 15 December</t>
  </si>
  <si>
    <t xml:space="preserve">Open actions closed or formally transferred</t>
  </si>
  <si>
    <t xml:space="preserve">2 actions transferred to the maintenance plan</t>
  </si>
  <si>
    <t xml:space="preserve">Lessons learned captured</t>
  </si>
  <si>
    <t xml:space="preserve">Session held with the full team</t>
  </si>
  <si>
    <t xml:space="preserve">Replication assessed and offered to other lines</t>
  </si>
  <si>
    <t xml:space="preserve">Kegs line assessment scheduled January</t>
  </si>
  <si>
    <t xml:space="preserve">Step 2 — lessons learned, in the two categories that matter</t>
  </si>
  <si>
    <t xml:space="preserve">What we would do again</t>
  </si>
  <si>
    <t xml:space="preserve">Why it worked</t>
  </si>
  <si>
    <t xml:space="preserve">What we would do differently</t>
  </si>
  <si>
    <t xml:space="preserve">Why it cost us</t>
  </si>
  <si>
    <t xml:space="preserve">Involved shift C in choosing the numeric setting</t>
  </si>
  <si>
    <t xml:space="preserve">Turned the strongest resistance into the strongest advocate</t>
  </si>
  <si>
    <t xml:space="preserve">Run the MSA before, not during, baseline collection</t>
  </si>
  <si>
    <t xml:space="preserve">Lost three weeks re-collecting data on an unverified gauge</t>
  </si>
  <si>
    <t xml:space="preserve">Agreed the benefit method with Controlling in Measure</t>
  </si>
  <si>
    <t xml:space="preserve">Closure review took twenty minutes and nothing was disputed</t>
  </si>
  <si>
    <t xml:space="preserve">Book maintenance technician time four weeks ahead</t>
  </si>
  <si>
    <t xml:space="preserve">The pilot slipped ten days waiting for a technician</t>
  </si>
  <si>
    <t xml:space="preserve">Stratified by valve number before building the fishbone</t>
  </si>
  <si>
    <t xml:space="preserve">Eliminated half the candidate causes before any brainstorm</t>
  </si>
  <si>
    <t xml:space="preserve">Write the standard work during the pilot, not after</t>
  </si>
  <si>
    <t xml:space="preserve">The pilot method and the rolled-out method diverged slightly</t>
  </si>
  <si>
    <t xml:space="preserve">Piloted on all four shifts rather than volunteers</t>
  </si>
  <si>
    <t xml:space="preserve">The roll-out behaved exactly like the pilot</t>
  </si>
  <si>
    <t xml:space="preserve">Put reject rate on the hour-by-hour board from day one</t>
  </si>
  <si>
    <t xml:space="preserve">A 90-minute escape that a board would have caught in ten</t>
  </si>
  <si>
    <t xml:space="preserve">Step 3 — replication: where else does this apply?</t>
  </si>
  <si>
    <t xml:space="preserve">Candidate line or plant</t>
  </si>
  <si>
    <t xml:space="preserve">Same problem?</t>
  </si>
  <si>
    <t xml:space="preserve">Same root cause likely?</t>
  </si>
  <si>
    <t xml:space="preserve">Effort to replicate (person-days)</t>
  </si>
  <si>
    <t xml:space="preserve">Benefit per person-day</t>
  </si>
  <si>
    <t xml:space="preserve">Priority</t>
  </si>
  <si>
    <t xml:space="preserve">Kegs line, Monobloc 80</t>
  </si>
  <si>
    <t xml:space="preserve">Yes — fill volume variation</t>
  </si>
  <si>
    <t xml:space="preserve">Partly — different valve design</t>
  </si>
  <si>
    <t xml:space="preserve">PET line, 1.5 L format</t>
  </si>
  <si>
    <t xml:space="preserve">Yes — same filler</t>
  </si>
  <si>
    <t xml:space="preserve">Yes — identical mechanism</t>
  </si>
  <si>
    <t xml:space="preserve">Sister plant, PET line 2</t>
  </si>
  <si>
    <t xml:space="preserve">Unknown — not measured</t>
  </si>
  <si>
    <t xml:space="preserve">Likely — same equipment</t>
  </si>
  <si>
    <t xml:space="preserve">Canning line</t>
  </si>
  <si>
    <t xml:space="preserve">No — different fill principle</t>
  </si>
  <si>
    <t xml:space="preserve">Step 4 — the replication pack: what the receiving line actually needs</t>
  </si>
  <si>
    <t xml:space="preserve">Why the receiving line needs it</t>
  </si>
  <si>
    <t xml:space="preserve">Where it lives</t>
  </si>
  <si>
    <t xml:space="preserve">The problem statement and the baseline method</t>
  </si>
  <si>
    <t xml:space="preserve">So they can measure their own baseline the same way</t>
  </si>
  <si>
    <t xml:space="preserve">The verified root causes, and the ones ruled out</t>
  </si>
  <si>
    <t xml:space="preserve">So they do not repeat the eliminated hypotheses</t>
  </si>
  <si>
    <t xml:space="preserve">The standard work, with the numeric settings</t>
  </si>
  <si>
    <t xml:space="preserve">The actual method, not a description of it</t>
  </si>
  <si>
    <t xml:space="preserve">The control plan and reaction rules</t>
  </si>
  <si>
    <t xml:space="preserve">So the gain is held from day one, not retrofitted</t>
  </si>
  <si>
    <t xml:space="preserve">The FMEA revisions</t>
  </si>
  <si>
    <t xml:space="preserve">So the risk view transfers with the solution</t>
  </si>
  <si>
    <t xml:space="preserve">What did NOT work, and why</t>
  </si>
  <si>
    <t xml:space="preserve">The most valuable and least transferred part of any project</t>
  </si>
  <si>
    <t xml:space="preserve">A named person who will answer the phone</t>
  </si>
  <si>
    <t xml:space="preserve">Replication fails on the details, and details need a conversation</t>
  </si>
  <si>
    <t xml:space="preserve">Closure requirements</t>
  </si>
  <si>
    <t xml:space="preserve">Requirements complete</t>
  </si>
  <si>
    <t xml:space="preserve">Closure completeness</t>
  </si>
  <si>
    <t xml:space="preserve">Must reach 100% before the project is closed</t>
  </si>
  <si>
    <t xml:space="preserve">Each one must be closed or formally transferred</t>
  </si>
  <si>
    <t xml:space="preserve">Lessons captured</t>
  </si>
  <si>
    <t xml:space="preserve">Both what worked and what did not</t>
  </si>
  <si>
    <t xml:space="preserve">Replication candidates with a positive case</t>
  </si>
  <si>
    <t xml:space="preserve">Lines where the benefit is worth the effort</t>
  </si>
  <si>
    <t xml:space="preserve">Best replication return</t>
  </si>
  <si>
    <t xml:space="preserve">Highest benefit per person-day</t>
  </si>
  <si>
    <t xml:space="preserve">Total replication benefit available</t>
  </si>
  <si>
    <t xml:space="preserve">USD/yr across all candidate lines</t>
  </si>
  <si>
    <t xml:space="preserve">100% before closing</t>
  </si>
  <si>
    <t xml:space="preserve">An open item at closure becomes an orphan</t>
  </si>
  <si>
    <t xml:space="preserve">Handover</t>
  </si>
  <si>
    <t xml:space="preserve">Minuted, with a named owner</t>
  </si>
  <si>
    <t xml:space="preserve">Assumed ownership reverts within a quarter</t>
  </si>
  <si>
    <t xml:space="preserve">Lessons in both directions</t>
  </si>
  <si>
    <t xml:space="preserve">Both halves captured</t>
  </si>
  <si>
    <t xml:space="preserve">What did not work saves the next project the most time</t>
  </si>
  <si>
    <t xml:space="preserve">Replication assessed</t>
  </si>
  <si>
    <t xml:space="preserve">Every candidate, including the no's</t>
  </si>
  <si>
    <t xml:space="preserve">Where most programme value is quietly lost</t>
  </si>
  <si>
    <t xml:space="preserve">Includes the numeric settings and a named contact</t>
  </si>
  <si>
    <t xml:space="preserve">A slide deck transfers a conclusion, not a solution</t>
  </si>
  <si>
    <t xml:space="preserve">•  Closing with open items, which turns them into orphans nobody owns.</t>
  </si>
  <si>
    <t xml:space="preserve">•  Assuming the process owner has taken ownership rather than holding an explicit handover.</t>
  </si>
  <si>
    <t xml:space="preserve">•  Capturing only what went well, and losing the half of the lessons that would save the next team time.</t>
  </si>
  <si>
    <t xml:space="preserve">•  Skipping the replication assessment, which is where most of a programme's value is lost.</t>
  </si>
  <si>
    <t xml:space="preserve">•  Sending a presentation as the replication pack instead of the standard work and the settings.</t>
  </si>
  <si>
    <t xml:space="preserve">•  Leaving the Belt as the person who watches the control chart after the project has closed.</t>
  </si>
  <si>
    <t xml:space="preserve">Q1.  Why is replication usually worth more than the original project?</t>
  </si>
  <si>
    <t xml:space="preserve">A1.  Because the expensive part — finding and verifying the cause — has already been paid for. The second application starts with known causes, written standard work and an existing control plan, so it costs a fraction of the effort while delivering a comparable benefit. On a multi-line plant the replication benefit often exceeds the original.</t>
  </si>
  <si>
    <t xml:space="preserve">Q2.  What must a replication pack contain that a presentation does not?</t>
  </si>
  <si>
    <t xml:space="preserve">A2.  The standard work with its actual numeric settings, the causes that were ruled out, what did not work and why, and a named person who will answer the phone. Replication fails on details, and details require a conversation with someone who lived through them.</t>
  </si>
  <si>
    <t xml:space="preserve">Q3.  The control plan is live but the Black Belt is still the person who notices when the chart signals. Can the project close?</t>
  </si>
  <si>
    <t xml:space="preserve">A3.  No. That is not a control plan, it is the Belt watching a chart. Closure requires the routine to belong to the line — a named owner, a defined reaction, and evidence the reaction rules have actually been used by the shift rather than by the project team.</t>
  </si>
  <si>
    <t xml:space="preserve">U-01 — Z, t, Chi-Square and F Tables</t>
  </si>
  <si>
    <t xml:space="preserve">Phase: TRANSVERSAL   |   Static reference tables — no input required   |   Critical values for every test in this workbook</t>
  </si>
  <si>
    <t xml:space="preserve">Every critical value the tests in this workbook need, as literal numbers rather than formulas, so the tables cannot fail and can be read in an exam where no software is available.</t>
  </si>
  <si>
    <t xml:space="preserve">All values were generated numerically and checked against the published tables: t(0.05, 10) = 1.8125, chi-square(0.05, 10) = 18.3070, F(0.05, 5, 10) = 3.3258, NORMSDIST(1.96) = 0.9750.</t>
  </si>
  <si>
    <t xml:space="preserve">In practice, prefer the live Excel functions — TINV, CHIINV, FINV, NORMSINV — because they give the exact degrees of freedom rather than the nearest row. These tables exist for reading, for checking, and for the exam.</t>
  </si>
  <si>
    <t xml:space="preserve">Table 1 — Standard normal cumulative distribution, NORMSDIST(z)</t>
  </si>
  <si>
    <t xml:space="preserve">The body of the table is the area to the LEFT of z. Read the units and first decimal of z down the left column and the second decimal across the top. For negative z use the symmetry of the normal curve: P(Z &lt; -z) = 1 - P(Z &lt; z).</t>
  </si>
  <si>
    <t xml:space="preserve">z</t>
  </si>
  <si>
    <t xml:space="preserve">0.00</t>
  </si>
  <si>
    <t xml:space="preserve">0.01</t>
  </si>
  <si>
    <t xml:space="preserve">0.02</t>
  </si>
  <si>
    <t xml:space="preserve">0.03</t>
  </si>
  <si>
    <t xml:space="preserve">0.04</t>
  </si>
  <si>
    <t xml:space="preserve">0.05</t>
  </si>
  <si>
    <t xml:space="preserve">0.06</t>
  </si>
  <si>
    <t xml:space="preserve">0.07</t>
  </si>
  <si>
    <t xml:space="preserve">0.08</t>
  </si>
  <si>
    <t xml:space="preserve">0.09</t>
  </si>
  <si>
    <t xml:space="preserve">0.0</t>
  </si>
  <si>
    <t xml:space="preserve">0.1</t>
  </si>
  <si>
    <t xml:space="preserve">0.2</t>
  </si>
  <si>
    <t xml:space="preserve">0.3</t>
  </si>
  <si>
    <t xml:space="preserve">0.4</t>
  </si>
  <si>
    <t xml:space="preserve">0.5</t>
  </si>
  <si>
    <t xml:space="preserve">0.6</t>
  </si>
  <si>
    <t xml:space="preserve">0.7</t>
  </si>
  <si>
    <t xml:space="preserve">0.8</t>
  </si>
  <si>
    <t xml:space="preserve">0.9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</si>
  <si>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</si>
  <si>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</si>
  <si>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</si>
  <si>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</si>
  <si>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</si>
  <si>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</si>
  <si>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</si>
  <si>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</si>
  <si>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</si>
  <si>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</si>
  <si>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</si>
  <si>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</si>
  <si>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</si>
  <si>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</si>
  <si>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</si>
  <si>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</si>
  <si>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</si>
  <si>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</si>
  <si>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</si>
  <si>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</si>
  <si>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</si>
  <si>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</si>
  <si>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</si>
  <si>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</si>
  <si>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</si>
  <si>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Common Z values used throughout this workbook</t>
  </si>
  <si>
    <t xml:space="preserve">Confidence / purpose</t>
  </si>
  <si>
    <t xml:space="preserve">Two-sided alpha</t>
  </si>
  <si>
    <t xml:space="preserve">Z value</t>
  </si>
  <si>
    <t xml:space="preserve">Where it is used</t>
  </si>
  <si>
    <t xml:space="preserve">90% confidence interval</t>
  </si>
  <si>
    <t xml:space="preserve">E-15, E-16</t>
  </si>
  <si>
    <t xml:space="preserve">95% confidence interval</t>
  </si>
  <si>
    <t xml:space="preserve">E-15, E-20, L-26</t>
  </si>
  <si>
    <t xml:space="preserve">99% confidence interval</t>
  </si>
  <si>
    <t xml:space="preserve">One-sided 95%</t>
  </si>
  <si>
    <t xml:space="preserve">One-sided tests, G-08</t>
  </si>
  <si>
    <t xml:space="preserve">Power 0.80</t>
  </si>
  <si>
    <t xml:space="preserve">Sample size, E-20 and L-26</t>
  </si>
  <si>
    <t xml:space="preserve">Power 0.90</t>
  </si>
  <si>
    <t xml:space="preserve">Sample size, E-20, G-08 90% date</t>
  </si>
  <si>
    <t xml:space="preserve">3 sigma (control limits)</t>
  </si>
  <si>
    <t xml:space="preserve">E-49 to E-55</t>
  </si>
  <si>
    <t xml:space="preserve">6 sigma (short-term)</t>
  </si>
  <si>
    <t xml:space="preserve">E-21, capability discussion</t>
  </si>
  <si>
    <t xml:space="preserve">Table 2 — Student's t critical values (one-tailed alpha across the top)</t>
  </si>
  <si>
    <t xml:space="preserve">For a TWO-tailed test at alpha, read the column for alpha/2. Example: a two-tailed test at 0.05 with 20 degrees of freedom uses the 0.025 column, giving 2.086.</t>
  </si>
  <si>
    <t xml:space="preserve">alpha = 0.1</t>
  </si>
  <si>
    <t xml:space="preserve">alpha = 0.05</t>
  </si>
  <si>
    <t xml:space="preserve">alpha = 0.025</t>
  </si>
  <si>
    <t xml:space="preserve">alpha = 0.01</t>
  </si>
  <si>
    <t xml:space="preserve">alpha = 0.005</t>
  </si>
  <si>
    <t xml:space="preserve">Infinity (z)</t>
  </si>
  <si>
    <t xml:space="preserve">Table 3 — Chi-square critical values (right-tail area across the top)</t>
  </si>
  <si>
    <t xml:space="preserve">Used for variance tests (E-28), goodness of fit and independence (E-30), and the confidence interval for a standard deviation (E-16). The left-tail columns are the ones people forget.</t>
  </si>
  <si>
    <t xml:space="preserve">right tail = 0.995</t>
  </si>
  <si>
    <t xml:space="preserve">right tail = 0.975</t>
  </si>
  <si>
    <t xml:space="preserve">right tail = 0.95</t>
  </si>
  <si>
    <t xml:space="preserve">right tail = 0.05</t>
  </si>
  <si>
    <t xml:space="preserve">right tail = 0.025</t>
  </si>
  <si>
    <t xml:space="preserve">right tail = 0.01</t>
  </si>
  <si>
    <t xml:space="preserve">right tail = 0.005</t>
  </si>
  <si>
    <t xml:space="preserve">Table 4 — F critical values at alpha = 0.05 (numerator df across, denominator df down)</t>
  </si>
  <si>
    <t xml:space="preserve">Used for ANOVA (E-26, E-27), the variance ratio test (E-28) and regression significance (E-36, E-38). For alpha = 0.01 use the second table below.</t>
  </si>
  <si>
    <t xml:space="preserve">den df \ num df</t>
  </si>
  <si>
    <t xml:space="preserve">7</t>
  </si>
  <si>
    <t xml:space="preserve">8</t>
  </si>
  <si>
    <t xml:space="preserve">9</t>
  </si>
  <si>
    <t xml:space="preserve">10</t>
  </si>
  <si>
    <t xml:space="preserve">12</t>
  </si>
  <si>
    <t xml:space="preserve">15</t>
  </si>
  <si>
    <t xml:space="preserve">20</t>
  </si>
  <si>
    <t xml:space="preserve">30</t>
  </si>
  <si>
    <t xml:space="preserve">Table 5 — F critical values at alpha = 0.01</t>
  </si>
  <si>
    <t xml:space="preserve">RELATED SHEETS</t>
  </si>
  <si>
    <t xml:space="preserve">U-02  Control Chart Constants</t>
  </si>
  <si>
    <t xml:space="preserve">U-03  Excel Function Guide</t>
  </si>
  <si>
    <t xml:space="preserve">U-02 — Control Chart Constants (d2, d3, A2, D3, D4, c4, B3, B4, E2)</t>
  </si>
  <si>
    <t xml:space="preserve">Phase: TRANSVERSAL   |   Static reference table — no input required   |   Every constant needed by E-49 to E-57</t>
  </si>
  <si>
    <t xml:space="preserve">The control chart constants for every subgroup size from 2 to 25, as literal numbers, plus a live lookup so any sheet in this workbook can pull the right constant from a subgroup size.</t>
  </si>
  <si>
    <t xml:space="preserve">These constants exist because the range and the sample standard deviation are biased estimators of the population sigma, and the bias depends on the subgroup size. Dividing Rbar by d2, or Sbar by c4, removes that bias — which is why capability indices computed without them are quietly wrong.</t>
  </si>
  <si>
    <t xml:space="preserve">Every value here was generated from the exact definition and checked against the published tables.</t>
  </si>
  <si>
    <t xml:space="preserve">Control chart constants for subgroup sizes 2 to 25</t>
  </si>
  <si>
    <t xml:space="preserve">Generated from the exact definitions and checked against the published tables: d2(5) = 2.326, d3(5) = 0.864, c4(5) = 0.9400, A2(5) = 0.577, D4(5) = 2.115, D3(7) = 0.076, B4(2) = 3.267.</t>
  </si>
  <si>
    <t xml:space="preserve">d2</t>
  </si>
  <si>
    <t xml:space="preserve">d3</t>
  </si>
  <si>
    <t xml:space="preserve">c4</t>
  </si>
  <si>
    <t xml:space="preserve">A2</t>
  </si>
  <si>
    <t xml:space="preserve">D3</t>
  </si>
  <si>
    <t xml:space="preserve">D4</t>
  </si>
  <si>
    <t xml:space="preserve">B3</t>
  </si>
  <si>
    <t xml:space="preserve">B4</t>
  </si>
  <si>
    <t xml:space="preserve">E2</t>
  </si>
  <si>
    <t xml:space="preserve">What each constant is, and which chart uses it</t>
  </si>
  <si>
    <t xml:space="preserve">Constant</t>
  </si>
  <si>
    <t xml:space="preserve">Used on</t>
  </si>
  <si>
    <t xml:space="preserve">In the formula</t>
  </si>
  <si>
    <t xml:space="preserve">Expected range of n standard normal observations</t>
  </si>
  <si>
    <t xml:space="preserve">Xbar-R, I-MR, capability</t>
  </si>
  <si>
    <t xml:space="preserve">sigma-hat = Rbar / d2</t>
  </si>
  <si>
    <t xml:space="preserve">Standard deviation of that range</t>
  </si>
  <si>
    <t xml:space="preserve">Xbar-R, R chart limits</t>
  </si>
  <si>
    <t xml:space="preserve">Feeds D3 and D4</t>
  </si>
  <si>
    <t xml:space="preserve">Bias correction for the sample standard deviation</t>
  </si>
  <si>
    <t xml:space="preserve">Xbar-S, S chart, capability</t>
  </si>
  <si>
    <t xml:space="preserve">sigma-hat = Sbar / c4</t>
  </si>
  <si>
    <t xml:space="preserve">3 / SQRT(n)</t>
  </si>
  <si>
    <t xml:space="preserve">Xbar chart when sigma is known</t>
  </si>
  <si>
    <t xml:space="preserve">Xbar-bar +/- A x sigma</t>
  </si>
  <si>
    <t xml:space="preserve">3 / (d2 x SQRT(n))</t>
  </si>
  <si>
    <t xml:space="preserve">Xbar-R chart</t>
  </si>
  <si>
    <t xml:space="preserve">Xbar-bar +/- A2 x Rbar</t>
  </si>
  <si>
    <t xml:space="preserve">3 / (c4 x SQRT(n))</t>
  </si>
  <si>
    <t xml:space="preserve">Xbar-S chart</t>
  </si>
  <si>
    <t xml:space="preserve">Xbar-bar +/- A3 x Sbar</t>
  </si>
  <si>
    <t xml:space="preserve">MAX(0, 1 - 3 d3 / d2)</t>
  </si>
  <si>
    <t xml:space="preserve">R chart lower limit</t>
  </si>
  <si>
    <t xml:space="preserve">LCL(R) = D3 x Rbar</t>
  </si>
  <si>
    <t xml:space="preserve">1 + 3 d3 / d2</t>
  </si>
  <si>
    <t xml:space="preserve">R chart upper limit</t>
  </si>
  <si>
    <t xml:space="preserve">UCL(R) = D4 x Rbar</t>
  </si>
  <si>
    <t xml:space="preserve">MAX(0, 1 - 3/c4 x SQRT(1 - c4^2))</t>
  </si>
  <si>
    <t xml:space="preserve">S chart lower limit</t>
  </si>
  <si>
    <t xml:space="preserve">LCL(S) = B3 x Sbar</t>
  </si>
  <si>
    <t xml:space="preserve">1 + 3/c4 x SQRT(1 - c4^2)</t>
  </si>
  <si>
    <t xml:space="preserve">S chart upper limit</t>
  </si>
  <si>
    <t xml:space="preserve">UCL(S) = B4 x Sbar</t>
  </si>
  <si>
    <t xml:space="preserve">3 / d2</t>
  </si>
  <si>
    <t xml:space="preserve">Individuals chart</t>
  </si>
  <si>
    <t xml:space="preserve">X-bar +/- E2 x MRbar   (n = 2 for the moving range)</t>
  </si>
  <si>
    <t xml:space="preserve">Worked check — pull a constant into a live formula with INDEX and MATCH</t>
  </si>
  <si>
    <t xml:space="preserve">Subgroup size n</t>
  </si>
  <si>
    <t xml:space="preserve">Overwrite this and every constant below updates</t>
  </si>
  <si>
    <t xml:space="preserve">d2 for this n</t>
  </si>
  <si>
    <t xml:space="preserve">Looked up from the table above</t>
  </si>
  <si>
    <t xml:space="preserve">A2 for this n</t>
  </si>
  <si>
    <t xml:space="preserve">D3 for this n</t>
  </si>
  <si>
    <t xml:space="preserve">D4 for this n</t>
  </si>
  <si>
    <t xml:space="preserve">c4 for this n</t>
  </si>
  <si>
    <t xml:space="preserve">Example: Rbar</t>
  </si>
  <si>
    <t xml:space="preserve">Average subgroup range</t>
  </si>
  <si>
    <t xml:space="preserve">sigma-hat from Rbar</t>
  </si>
  <si>
    <t xml:space="preserve">Rbar / d2 — the within-subgroup sigma used on E-57</t>
  </si>
  <si>
    <t xml:space="preserve">UCL of the R chart</t>
  </si>
  <si>
    <t xml:space="preserve">D4 x Rbar</t>
  </si>
  <si>
    <t xml:space="preserve">LCL of the R chart</t>
  </si>
  <si>
    <t xml:space="preserve">D3 x Rbar</t>
  </si>
  <si>
    <t xml:space="preserve">U-03 — Excel Statistical Function Reference</t>
  </si>
  <si>
    <t xml:space="preserve">Phase: TRANSVERSAL   |   Reference — plus a live demonstration block   |   Which function to use, which to avoid, and why</t>
  </si>
  <si>
    <t xml:space="preserve">Which Excel function to reach for, which modern equivalent to avoid, and why this workbook uses the legacy names throughout.</t>
  </si>
  <si>
    <t xml:space="preserve">The reason is practical rather than nostalgic: this workbook is verified by a LibreOffice recalculation engine, and a function it cannot evaluate is baked into the delivered file as a literal unresolved-name error rather than failing loudly. The legacy names are universally supported.</t>
  </si>
  <si>
    <t xml:space="preserve">The same discipline is worth keeping in your own files, because it makes them portable between Excel versions, Google Sheets and LibreOffice without silent breakage.</t>
  </si>
  <si>
    <t xml:space="preserve">The compatibility rule that governs this whole workbook</t>
  </si>
  <si>
    <t xml:space="preserve">Every formula in this workbook is verified by a LibreOffice recalculation engine, which does not implement every Excel function. Anything it cannot evaluate is written into the delivered file as a literal unresolved-name error — the one Excel displays as hash-NAME. The legacy function names below are universally supported and are used throughout.</t>
  </si>
  <si>
    <t xml:space="preserve">Use the legacy name, not the modern one</t>
  </si>
  <si>
    <t xml:space="preserve">Use this</t>
  </si>
  <si>
    <t xml:space="preserve">NOT this</t>
  </si>
  <si>
    <t xml:space="preserve">Where this workbook uses it</t>
  </si>
  <si>
    <t xml:space="preserve">T.TEST</t>
  </si>
  <si>
    <t xml:space="preserve">p-value of a t-test directly from two ranges</t>
  </si>
  <si>
    <t xml:space="preserve">E-24, E-25</t>
  </si>
  <si>
    <t xml:space="preserve">FTEST</t>
  </si>
  <si>
    <t xml:space="preserve">F.TEST</t>
  </si>
  <si>
    <t xml:space="preserve">p-value of the variance ratio test</t>
  </si>
  <si>
    <t xml:space="preserve">CHISQ.TEST</t>
  </si>
  <si>
    <t xml:space="preserve">p-value of a chi-square test from observed and expected</t>
  </si>
  <si>
    <t xml:space="preserve">T.DIST / T.INV</t>
  </si>
  <si>
    <t xml:space="preserve">t distribution and its inverse</t>
  </si>
  <si>
    <t xml:space="preserve">E-23, E-24, L-26</t>
  </si>
  <si>
    <t xml:space="preserve">CHIDIST / CHIINV</t>
  </si>
  <si>
    <t xml:space="preserve">CHISQ.DIST.RT / CHISQ.INV.RT</t>
  </si>
  <si>
    <t xml:space="preserve">Chi-square right tail and its inverse</t>
  </si>
  <si>
    <t xml:space="preserve">E-16, E-28, E-30</t>
  </si>
  <si>
    <t xml:space="preserve">F.DIST.RT / F.INV.RT</t>
  </si>
  <si>
    <t xml:space="preserve">F right tail and its inverse</t>
  </si>
  <si>
    <t xml:space="preserve">E-26, E-27, E-28</t>
  </si>
  <si>
    <t xml:space="preserve">NORMSDIST / NORMSINV</t>
  </si>
  <si>
    <t xml:space="preserve">NORM.S.DIST / NORM.S.INV</t>
  </si>
  <si>
    <t xml:space="preserve">Standard normal CDF and its inverse</t>
  </si>
  <si>
    <t xml:space="preserve">E-07, E-20, E-57, G-08</t>
  </si>
  <si>
    <t xml:space="preserve">NORMDIST / NORMINV</t>
  </si>
  <si>
    <t xml:space="preserve">NORM.DIST / NORM.INV</t>
  </si>
  <si>
    <t xml:space="preserve">Normal CDF and inverse with mean and sigma</t>
  </si>
  <si>
    <t xml:space="preserve">E-07, E-57</t>
  </si>
  <si>
    <t xml:space="preserve">STDEV.S / VAR.S</t>
  </si>
  <si>
    <t xml:space="preserve">Sample standard deviation and variance</t>
  </si>
  <si>
    <t xml:space="preserve">Everywhere</t>
  </si>
  <si>
    <t xml:space="preserve">STDEV.P / VAR.P</t>
  </si>
  <si>
    <t xml:space="preserve">Population standard deviation and variance</t>
  </si>
  <si>
    <t xml:space="preserve">PERCENTILE / QUARTILE</t>
  </si>
  <si>
    <t xml:space="preserve">PERCENTILE.INC / QUARTILE.INC</t>
  </si>
  <si>
    <t xml:space="preserve">Percentiles and quartiles</t>
  </si>
  <si>
    <t xml:space="preserve">BINOMDIST / POISSON</t>
  </si>
  <si>
    <t xml:space="preserve">BINOM.DIST / POISSON.DIST</t>
  </si>
  <si>
    <t xml:space="preserve">Discrete distributions</t>
  </si>
  <si>
    <t xml:space="preserve">E-10, E-11</t>
  </si>
  <si>
    <t xml:space="preserve">WEIBULL / EXPONDIST / LOGNORMDIST</t>
  </si>
  <si>
    <t xml:space="preserve">WEIBULL.DIST / EXPON.DIST / LOGNORM.DIST</t>
  </si>
  <si>
    <t xml:space="preserve">Life and skewed distributions</t>
  </si>
  <si>
    <t xml:space="preserve">CONFIDENCE.NORM</t>
  </si>
  <si>
    <t xml:space="preserve">Half-width of a confidence interval</t>
  </si>
  <si>
    <t xml:space="preserve">RANK.AVG</t>
  </si>
  <si>
    <t xml:space="preserve">Rank within a list</t>
  </si>
  <si>
    <t xml:space="preserve">E-31, H-06, L-25, G-01</t>
  </si>
  <si>
    <t xml:space="preserve">Never use these — the verification engine cannot evaluate them at all</t>
  </si>
  <si>
    <t xml:space="preserve">Forbidden function</t>
  </si>
  <si>
    <t xml:space="preserve">What to use instead</t>
  </si>
  <si>
    <t xml:space="preserve">XLOOKUP / XMATCH</t>
  </si>
  <si>
    <t xml:space="preserve">Not implemented; returns an unresolved-name error</t>
  </si>
  <si>
    <t xml:space="preserve">SORT / FILTER / UNIQUE / SEQUENCE</t>
  </si>
  <si>
    <t xml:space="preserve">Spilling array functions with no spill metadata in a written file</t>
  </si>
  <si>
    <t xml:space="preserve">Sort, filter and de-duplicate before writing the cells</t>
  </si>
  <si>
    <t xml:space="preserve">LET / LAMBDA</t>
  </si>
  <si>
    <t xml:space="preserve">Not implemented</t>
  </si>
  <si>
    <t xml:space="preserve">Write the expression out, or use a helper column</t>
  </si>
  <si>
    <t xml:space="preserve">Dynamic array formulas generally</t>
  </si>
  <si>
    <t xml:space="preserve">Only the top-left cell receives a value</t>
  </si>
  <si>
    <t xml:space="preserve">One formula per cell</t>
  </si>
  <si>
    <t xml:space="preserve">These six work, but only with an _xlfn. prefix</t>
  </si>
  <si>
    <t xml:space="preserve">Write it as</t>
  </si>
  <si>
    <t xml:space="preserve">It appears in Excel as</t>
  </si>
  <si>
    <t xml:space="preserve">_xlfn.TEXTJOIN</t>
  </si>
  <si>
    <t xml:space="preserve">TEXTJOIN</t>
  </si>
  <si>
    <t xml:space="preserve">Prefer the &amp; operator instead</t>
  </si>
  <si>
    <t xml:space="preserve">_xlfn.CONCAT</t>
  </si>
  <si>
    <t xml:space="preserve">CONCAT</t>
  </si>
  <si>
    <t xml:space="preserve">Prefer &amp; instead</t>
  </si>
  <si>
    <t xml:space="preserve">_xlfn.IFS</t>
  </si>
  <si>
    <t xml:space="preserve">IFS</t>
  </si>
  <si>
    <t xml:space="preserve">Prefer nested IF instead</t>
  </si>
  <si>
    <t xml:space="preserve">_xlfn.SWITCH</t>
  </si>
  <si>
    <t xml:space="preserve">SWITCH</t>
  </si>
  <si>
    <t xml:space="preserve">_xlfn.MAXIFS</t>
  </si>
  <si>
    <t xml:space="preserve">MAXIFS</t>
  </si>
  <si>
    <t xml:space="preserve">Prefer MAX with a helper column</t>
  </si>
  <si>
    <t xml:space="preserve">_xlfn.MINIFS</t>
  </si>
  <si>
    <t xml:space="preserve">MINIFS</t>
  </si>
  <si>
    <t xml:space="preserve">Prefer MIN with a helper column</t>
  </si>
  <si>
    <t xml:space="preserve">The functions that do most of the work in this workbook</t>
  </si>
  <si>
    <t xml:space="preserve">Function</t>
  </si>
  <si>
    <t xml:space="preserve">What it is for</t>
  </si>
  <si>
    <t xml:space="preserve">Example sheet</t>
  </si>
  <si>
    <t xml:space="preserve">INDEX(return_range, MATCH(lookup, lookup_range, 0))</t>
  </si>
  <si>
    <t xml:space="preserve">Every lookup in this workbook</t>
  </si>
  <si>
    <t xml:space="preserve">H-13, U-02</t>
  </si>
  <si>
    <t xml:space="preserve">SUMPRODUCT(range1, range2)</t>
  </si>
  <si>
    <t xml:space="preserve">Weighted sums; both ranges must share orientation and size</t>
  </si>
  <si>
    <t xml:space="preserve">L-25, H-09</t>
  </si>
  <si>
    <t xml:space="preserve">SUMIF / SUMIFS</t>
  </si>
  <si>
    <t xml:space="preserve">SUMIFS(sum_range, crit_range, criterion, ...)</t>
  </si>
  <si>
    <t xml:space="preserve">Conditional totals</t>
  </si>
  <si>
    <t xml:space="preserve">G-02, G-09</t>
  </si>
  <si>
    <t xml:space="preserve">COUNTIF / COUNTIFS</t>
  </si>
  <si>
    <t xml:space="preserve">COUNTIF(range, "&gt;=1.33")</t>
  </si>
  <si>
    <t xml:space="preserve">Conditional counts; criteria are text strings</t>
  </si>
  <si>
    <t xml:space="preserve">H-16, G-07</t>
  </si>
  <si>
    <t xml:space="preserve">Guards every division in this workbook</t>
  </si>
  <si>
    <t xml:space="preserve">IF(a, "x", IF(b, "y", "z"))</t>
  </si>
  <si>
    <t xml:space="preserve">Verdicts and banding</t>
  </si>
  <si>
    <t xml:space="preserve">Every tool sheet</t>
  </si>
  <si>
    <t xml:space="preserve">AND / OR inside IF</t>
  </si>
  <si>
    <t xml:space="preserve">IF(AND(a&gt;1, b&lt;2), "x", "y")</t>
  </si>
  <si>
    <t xml:space="preserve">Multi-condition tests</t>
  </si>
  <si>
    <t xml:space="preserve">L-26, G-09</t>
  </si>
  <si>
    <t xml:space="preserve">ROUNDUP / ROUNDDOWN</t>
  </si>
  <si>
    <t xml:space="preserve">ROUNDUP(value, 0)</t>
  </si>
  <si>
    <t xml:space="preserve">Sample sizes and kanban cards always round up</t>
  </si>
  <si>
    <t xml:space="preserve">L-19, L-26</t>
  </si>
  <si>
    <t xml:space="preserve">k-th largest or smallest value</t>
  </si>
  <si>
    <t xml:space="preserve">L-25, H-16</t>
  </si>
  <si>
    <t xml:space="preserve">TEXT(value, "0.00")</t>
  </si>
  <si>
    <t xml:space="preserve">Formats a number inside a verdict string</t>
  </si>
  <si>
    <t xml:space="preserve">Every verdict cell</t>
  </si>
  <si>
    <t xml:space="preserve">&amp; (concatenation)</t>
  </si>
  <si>
    <t xml:space="preserve">"Mean is "&amp;TEXT(C5,"0.0")</t>
  </si>
  <si>
    <t xml:space="preserve">Builds the sentence verdicts</t>
  </si>
  <si>
    <t xml:space="preserve">Written after an equals sign. Sheet names contain spaces, so the quotes are mandatory</t>
  </si>
  <si>
    <t xml:space="preserve">Live demonstration — every function below is calculating right now</t>
  </si>
  <si>
    <t xml:space="preserve">Live formula</t>
  </si>
  <si>
    <t xml:space="preserve">Change the input and watch it move</t>
  </si>
  <si>
    <t xml:space="preserve">Input value</t>
  </si>
  <si>
    <t xml:space="preserve">Overwrite this cell</t>
  </si>
  <si>
    <t xml:space="preserve">NORMSDIST(input)</t>
  </si>
  <si>
    <t xml:space="preserve">Area to the left of z</t>
  </si>
  <si>
    <t xml:space="preserve">NORMSINV(0.975)</t>
  </si>
  <si>
    <t xml:space="preserve">Should read 1.9600</t>
  </si>
  <si>
    <t xml:space="preserve">TINV (two-tailed)</t>
  </si>
  <si>
    <t xml:space="preserve">TINV(0.05, 20)</t>
  </si>
  <si>
    <t xml:space="preserve">Should read 2.0860</t>
  </si>
  <si>
    <t xml:space="preserve">CHIINV(0.05, 10)</t>
  </si>
  <si>
    <t xml:space="preserve">Should read 18.3070</t>
  </si>
  <si>
    <t xml:space="preserve">FINV(0.05, 5, 10)</t>
  </si>
  <si>
    <t xml:space="preserve">Should read 3.3258</t>
  </si>
  <si>
    <t xml:space="preserve">BINOMDIST(2, 20, 0.05, TRUE)</t>
  </si>
  <si>
    <t xml:space="preserve">P(X &lt;= 2) for n=20, p=0.05</t>
  </si>
  <si>
    <t xml:space="preserve">POISSON(3, 2.5, TRUE)</t>
  </si>
  <si>
    <t xml:space="preserve">P(X &lt;= 3) for lambda = 2.5</t>
  </si>
  <si>
    <t xml:space="preserve">Nested IF banding</t>
  </si>
  <si>
    <t xml:space="preserve">IF(x&gt;=3,"high",IF(x&gt;=2,"mid","low"))</t>
  </si>
  <si>
    <t xml:space="preserve">The banding pattern used on H-13 and H-16</t>
  </si>
  <si>
    <t xml:space="preserve">TEXT and &amp;</t>
  </si>
  <si>
    <t xml:space="preserve">"z = "&amp;TEXT(x,"0.00")</t>
  </si>
  <si>
    <t xml:space="preserve">How every verdict cell in this workbook is built</t>
  </si>
  <si>
    <t xml:space="preserve">U-04  Master Formula Sheet</t>
  </si>
  <si>
    <t xml:space="preserve">U-01  Statistical Tables</t>
  </si>
  <si>
    <t xml:space="preserve">N-02  How To Use This Workbook</t>
  </si>
  <si>
    <t xml:space="preserve">U-04 — Master Formula Sheet</t>
  </si>
  <si>
    <t xml:space="preserve">Phase: TRANSVERSAL   |   Reference — every formula in the workbook on one sheet   |   One page per topic, each line linked to the sheet that applies it</t>
  </si>
  <si>
    <t xml:space="preserve">Every formula this workbook uses, grouped by topic, with the condition that makes it valid and a link to the sheet that applies it. Written for revision and for the exam: read it as a checklist of what you should be able to derive, not as a substitute for understanding the derivation.</t>
  </si>
  <si>
    <t xml:space="preserve">The conditions in the third column are the part that matters in practice. Almost every formula here is correct arithmetic and wrong conclusion when its condition is not met — a Cpk on an unstable process, a variance ratio test on non-normal data, Little's Law on a system that is not stable.</t>
  </si>
  <si>
    <t xml:space="preserve">Descriptive statistics</t>
  </si>
  <si>
    <t xml:space="preserve">Notes and conditions</t>
  </si>
  <si>
    <t xml:space="preserve">xbar = SUM(x) / n</t>
  </si>
  <si>
    <t xml:space="preserve">The balance point; sensitive to outliers</t>
  </si>
  <si>
    <t xml:space="preserve">middle value of the ordered data</t>
  </si>
  <si>
    <t xml:space="preserve">Robust to outliers; the centre line of a run chart</t>
  </si>
  <si>
    <t xml:space="preserve">Sample variance</t>
  </si>
  <si>
    <t xml:space="preserve">s^2 = SUM((x - xbar)^2) / (n - 1)</t>
  </si>
  <si>
    <t xml:space="preserve">n-1 because one degree of freedom is spent on xbar</t>
  </si>
  <si>
    <t xml:space="preserve">Sample standard deviation</t>
  </si>
  <si>
    <t xml:space="preserve">s = SQRT(s^2)</t>
  </si>
  <si>
    <t xml:space="preserve">STDEV in Excel</t>
  </si>
  <si>
    <t xml:space="preserve">R = max - min</t>
  </si>
  <si>
    <t xml:space="preserve">Uses only two observations; efficient for small subgroups</t>
  </si>
  <si>
    <t xml:space="preserve">CV = s / xbar</t>
  </si>
  <si>
    <t xml:space="preserve">Dimensionless; only meaningful on a ratio scale</t>
  </si>
  <si>
    <t xml:space="preserve">Standard error of the mean</t>
  </si>
  <si>
    <t xml:space="preserve">SE = s / SQRT(n)</t>
  </si>
  <si>
    <t xml:space="preserve">The spread of the SAMPLING distribution, not of the data</t>
  </si>
  <si>
    <t xml:space="preserve">0 symmetric, &gt;0 right tail, &lt;0 left tail</t>
  </si>
  <si>
    <t xml:space="preserve">Mean, sigma known</t>
  </si>
  <si>
    <t xml:space="preserve">xbar +/- Z(a/2) x sigma / SQRT(n)</t>
  </si>
  <si>
    <t xml:space="preserve">Rare in practice</t>
  </si>
  <si>
    <t xml:space="preserve">Mean, sigma unknown</t>
  </si>
  <si>
    <t xml:space="preserve">xbar +/- t(a/2, n-1) x s / SQRT(n)</t>
  </si>
  <si>
    <t xml:space="preserve">The normal case</t>
  </si>
  <si>
    <t xml:space="preserve">Proportion</t>
  </si>
  <si>
    <t xml:space="preserve">p +/- Z(a/2) x SQRT(p(1-p)/n)</t>
  </si>
  <si>
    <t xml:space="preserve">Needs np &gt;= 5 and n(1-p) &gt;= 5</t>
  </si>
  <si>
    <t xml:space="preserve">SQRT((n-1)s^2 / CHIINV(a/2, n-1))  to  SQRT((n-1)s^2 / CHIINV(1-a/2, n-1))</t>
  </si>
  <si>
    <t xml:space="preserve">Asymmetric, because the chi-square is</t>
  </si>
  <si>
    <t xml:space="preserve">Difference of two means</t>
  </si>
  <si>
    <t xml:space="preserve">(xbar1 - xbar2) +/- t x SQRT(s1^2/n1 + s2^2/n2)</t>
  </si>
  <si>
    <t xml:space="preserve">Hypothesis tests</t>
  </si>
  <si>
    <t xml:space="preserve">1-sample t</t>
  </si>
  <si>
    <t xml:space="preserve">t = (xbar - mu0) / (s / SQRT(n)),  df = n - 1</t>
  </si>
  <si>
    <t xml:space="preserve">Compare a mean to a target</t>
  </si>
  <si>
    <t xml:space="preserve">2-sample t (Welch)</t>
  </si>
  <si>
    <t xml:space="preserve">t = (xbar1 - xbar2) / SQRT(s1^2/n1 + s2^2/n2)</t>
  </si>
  <si>
    <t xml:space="preserve">The modern default; do not assume equal variances</t>
  </si>
  <si>
    <t xml:space="preserve">Satterthwaite df</t>
  </si>
  <si>
    <t xml:space="preserve">(s1^2/n1 + s2^2/n2)^2 / [ (s1^2/n1)^2/(n1-1) + (s2^2/n2)^2/(n2-1) ]</t>
  </si>
  <si>
    <t xml:space="preserve">Non-integer degrees of freedom is normal</t>
  </si>
  <si>
    <t xml:space="preserve">Paired t</t>
  </si>
  <si>
    <t xml:space="preserve">t = dbar / (sd / SQRT(n)),  df = n - 1</t>
  </si>
  <si>
    <t xml:space="preserve">Test the differences, not the raw values</t>
  </si>
  <si>
    <t xml:space="preserve">1-way ANOVA F</t>
  </si>
  <si>
    <t xml:space="preserve">F = MS(between) / MS(within)</t>
  </si>
  <si>
    <t xml:space="preserve">Equal variances; use Welch ANOVA if not</t>
  </si>
  <si>
    <t xml:space="preserve">F = s1^2 / s2^2</t>
  </si>
  <si>
    <t xml:space="preserve">Very sensitive to non-normality — prefer Levene</t>
  </si>
  <si>
    <t xml:space="preserve">1-proportion Z</t>
  </si>
  <si>
    <t xml:space="preserve">Z = (p - p0) / SQRT(p0(1-p0)/n)</t>
  </si>
  <si>
    <t xml:space="preserve">np0 &gt;= 5 and n(1-p0) &gt;= 5</t>
  </si>
  <si>
    <t xml:space="preserve">X2 = SUM((O - E)^2 / E),  df = (r-1)(c-1)</t>
  </si>
  <si>
    <t xml:space="preserve">Every expected count should be at least 5</t>
  </si>
  <si>
    <t xml:space="preserve">Mean, two-sample</t>
  </si>
  <si>
    <t xml:space="preserve">n = 2 (Z(a/2) + Z(power))^2 sigma^2 / delta^2</t>
  </si>
  <si>
    <t xml:space="preserve">Per group, rounded up</t>
  </si>
  <si>
    <t xml:space="preserve">Mean, one-sample</t>
  </si>
  <si>
    <t xml:space="preserve">n = (Z(a/2) + Z(power))^2 sigma^2 / delta^2</t>
  </si>
  <si>
    <t xml:space="preserve">Rounded up</t>
  </si>
  <si>
    <t xml:space="preserve">n = (Z(a/2))^2 p(1-p) / E^2</t>
  </si>
  <si>
    <t xml:space="preserve">E is the margin of error</t>
  </si>
  <si>
    <t xml:space="preserve">d = (mean1 - mean2) / s(pooled)</t>
  </si>
  <si>
    <t xml:space="preserve">Control charts</t>
  </si>
  <si>
    <t xml:space="preserve">Xbar-R, Xbar limits</t>
  </si>
  <si>
    <t xml:space="preserve">Constants on U-02</t>
  </si>
  <si>
    <t xml:space="preserve">Xbar-R, R limits</t>
  </si>
  <si>
    <t xml:space="preserve">UCL = D4 x Rbar,  LCL = D3 x Rbar</t>
  </si>
  <si>
    <t xml:space="preserve">Xbar-S, Xbar limits</t>
  </si>
  <si>
    <t xml:space="preserve">Preferred when n &gt; 9</t>
  </si>
  <si>
    <t xml:space="preserve">Xbar-S, S limits</t>
  </si>
  <si>
    <t xml:space="preserve">UCL = B4 x Sbar,  LCL = B3 x Sbar</t>
  </si>
  <si>
    <t xml:space="preserve">Individuals (I-MR)</t>
  </si>
  <si>
    <t xml:space="preserve">Xbar +/- E2 x MRbar,  E2 = 3 / d2(2) = 2.66</t>
  </si>
  <si>
    <t xml:space="preserve">Moving range of 2 consecutive points</t>
  </si>
  <si>
    <t xml:space="preserve">pbar +/- 3 SQRT(pbar(1-pbar)/n)</t>
  </si>
  <si>
    <t xml:space="preserve">Limits vary with n</t>
  </si>
  <si>
    <t xml:space="preserve">cbar +/- 3 SQRT(cbar)</t>
  </si>
  <si>
    <t xml:space="preserve">Constant area of opportunity</t>
  </si>
  <si>
    <t xml:space="preserve">ubar +/- 3 SQRT(ubar/n)</t>
  </si>
  <si>
    <t xml:space="preserve">Varying area of opportunity</t>
  </si>
  <si>
    <t xml:space="preserve">Sigma from Rbar</t>
  </si>
  <si>
    <t xml:space="preserve">Within-subgroup, short-term</t>
  </si>
  <si>
    <t xml:space="preserve">Sigma from Sbar</t>
  </si>
  <si>
    <t xml:space="preserve">Capability</t>
  </si>
  <si>
    <t xml:space="preserve">Cp</t>
  </si>
  <si>
    <t xml:space="preserve">(USL - LSL) / (6 sigma-within)</t>
  </si>
  <si>
    <t xml:space="preserve">Potential; ignores centring</t>
  </si>
  <si>
    <t xml:space="preserve">MIN(USL - xbar, xbar - LSL) / (3 sigma-within)</t>
  </si>
  <si>
    <t xml:space="preserve">Nearer limit only; includes centring</t>
  </si>
  <si>
    <t xml:space="preserve">Pp / Ppk</t>
  </si>
  <si>
    <t xml:space="preserve">Same, with sigma-overall (plain STDEV of all readings)</t>
  </si>
  <si>
    <t xml:space="preserve">Actual performance rather than potential</t>
  </si>
  <si>
    <t xml:space="preserve">Cpm</t>
  </si>
  <si>
    <t xml:space="preserve">(USL - LSL) / (6 SQRT(sigma^2 + (xbar - T)^2))</t>
  </si>
  <si>
    <t xml:space="preserve">Penalises being off target T</t>
  </si>
  <si>
    <t xml:space="preserve">NORMSINV(1 - total defect probability)</t>
  </si>
  <si>
    <t xml:space="preserve">Converts capability to a sigma level</t>
  </si>
  <si>
    <t xml:space="preserve">(NORMSDIST(-Zusl) + NORMSDIST(-Zlsl)) x 1,000,000</t>
  </si>
  <si>
    <t xml:space="preserve">Expected defects per million</t>
  </si>
  <si>
    <t xml:space="preserve">DPMO</t>
  </si>
  <si>
    <t xml:space="preserve">defects / (units x opportunities) x 1,000,000</t>
  </si>
  <si>
    <t xml:space="preserve">Opportunities must be defined and stable</t>
  </si>
  <si>
    <t xml:space="preserve">Sigma level</t>
  </si>
  <si>
    <t xml:space="preserve">Z-bench + 1.5 (long-term shift convention)</t>
  </si>
  <si>
    <t xml:space="preserve">State whether the 1.5 shift is included</t>
  </si>
  <si>
    <t xml:space="preserve">Equipment variation, from the ANOVA error term</t>
  </si>
  <si>
    <t xml:space="preserve">Same operator, same part</t>
  </si>
  <si>
    <t xml:space="preserve">Reproducibility (AV)</t>
  </si>
  <si>
    <t xml:space="preserve">Operator variation, from the operator term</t>
  </si>
  <si>
    <t xml:space="preserve">Different operators, same part</t>
  </si>
  <si>
    <t xml:space="preserve">GRR</t>
  </si>
  <si>
    <t xml:space="preserve">SQRT(EV^2 + AV^2)</t>
  </si>
  <si>
    <t xml:space="preserve">Total measurement variation</t>
  </si>
  <si>
    <t xml:space="preserve">%GRR of total</t>
  </si>
  <si>
    <t xml:space="preserve">GRR / TV x 100</t>
  </si>
  <si>
    <t xml:space="preserve">&lt;10% acceptable, 10-30% marginal, &gt;30% unacceptable</t>
  </si>
  <si>
    <t xml:space="preserve">6 x GRR / (USL - LSL) x 100</t>
  </si>
  <si>
    <t xml:space="preserve">The one that matters for a specification</t>
  </si>
  <si>
    <t xml:space="preserve">1.41 x (PV / GRR)</t>
  </si>
  <si>
    <t xml:space="preserve">Number of distinct categories; must be at least 5</t>
  </si>
  <si>
    <t xml:space="preserve">Cohen's Kappa</t>
  </si>
  <si>
    <t xml:space="preserve">(Po - Pe) / (1 - Pe)</t>
  </si>
  <si>
    <t xml:space="preserve">Attribute agreement beyond chance; &gt;0.75 good</t>
  </si>
  <si>
    <t xml:space="preserve">Lean and operations</t>
  </si>
  <si>
    <t xml:space="preserve">available time / customer demand</t>
  </si>
  <si>
    <t xml:space="preserve">Set by the customer, not by the process</t>
  </si>
  <si>
    <t xml:space="preserve">Little's Law</t>
  </si>
  <si>
    <t xml:space="preserve">lead time = WIP / throughput</t>
  </si>
  <si>
    <t xml:space="preserve">Requires a stable system</t>
  </si>
  <si>
    <t xml:space="preserve">Effective cycle time</t>
  </si>
  <si>
    <t xml:space="preserve">cycle time / uptime</t>
  </si>
  <si>
    <t xml:space="preserve">This is what must beat takt</t>
  </si>
  <si>
    <t xml:space="preserve">Three factors, one number</t>
  </si>
  <si>
    <t xml:space="preserve">run time / planned production time</t>
  </si>
  <si>
    <t xml:space="preserve">Planned excludes only genuine planned shutdown</t>
  </si>
  <si>
    <t xml:space="preserve">total units / run time / ideal rate</t>
  </si>
  <si>
    <t xml:space="preserve">Ideal rate is the nameplate rate</t>
  </si>
  <si>
    <t xml:space="preserve">good first-pass units / total units</t>
  </si>
  <si>
    <t xml:space="preserve">Rework is not good</t>
  </si>
  <si>
    <t xml:space="preserve">How much of the asset you use</t>
  </si>
  <si>
    <t xml:space="preserve">value-added time / total lead time</t>
  </si>
  <si>
    <t xml:space="preserve">Compare only against your own history</t>
  </si>
  <si>
    <t xml:space="preserve">work content / (stations x bottleneck load)</t>
  </si>
  <si>
    <t xml:space="preserve">Target &gt;= 85%</t>
  </si>
  <si>
    <t xml:space="preserve">Kanban cards</t>
  </si>
  <si>
    <t xml:space="preserve">ROUNDUP(demand x lead time x (1+safety) / container)</t>
  </si>
  <si>
    <t xml:space="preserve">At least two cards per part</t>
  </si>
  <si>
    <t xml:space="preserve">number of SKUs / changeovers affordable per day</t>
  </si>
  <si>
    <t xml:space="preserve">Every part every interval</t>
  </si>
  <si>
    <t xml:space="preserve">(operating time - repair time) / failures</t>
  </si>
  <si>
    <t xml:space="preserve">How often it stops</t>
  </si>
  <si>
    <t xml:space="preserve">total repair time / failures</t>
  </si>
  <si>
    <t xml:space="preserve">How long to get it back</t>
  </si>
  <si>
    <t xml:space="preserve">Compare against operational availability</t>
  </si>
  <si>
    <t xml:space="preserve">Project management and finance</t>
  </si>
  <si>
    <t xml:space="preserve">(O + 4M + P) / 6</t>
  </si>
  <si>
    <t xml:space="preserve">Three-point estimate</t>
  </si>
  <si>
    <t xml:space="preserve">PERT task standard deviation</t>
  </si>
  <si>
    <t xml:space="preserve">(P - O) / 6</t>
  </si>
  <si>
    <t xml:space="preserve">Variance is its square</t>
  </si>
  <si>
    <t xml:space="preserve">Project standard deviation</t>
  </si>
  <si>
    <t xml:space="preserve">SQRT(sum of the variances of the CRITICAL tasks)</t>
  </si>
  <si>
    <t xml:space="preserve">Only critical tasks count</t>
  </si>
  <si>
    <t xml:space="preserve">Probability of a date</t>
  </si>
  <si>
    <t xml:space="preserve">NORMSDIST((target - expected) / project SD)</t>
  </si>
  <si>
    <t xml:space="preserve">The PERT probability</t>
  </si>
  <si>
    <t xml:space="preserve">Cost of poor quality</t>
  </si>
  <si>
    <t xml:space="preserve">internal failure + external failure</t>
  </si>
  <si>
    <t xml:space="preserve">The money that should not exist</t>
  </si>
  <si>
    <t xml:space="preserve">Total cost of quality</t>
  </si>
  <si>
    <t xml:space="preserve">prevention + appraisal + internal + external</t>
  </si>
  <si>
    <t xml:space="preserve">2-4% of sales at world class</t>
  </si>
  <si>
    <t xml:space="preserve">project cost / net annual benefit x 12</t>
  </si>
  <si>
    <t xml:space="preserve">In months</t>
  </si>
  <si>
    <t xml:space="preserve">NPV over 3 years</t>
  </si>
  <si>
    <t xml:space="preserve">-cost + B/(1+r) + B/(1+r)^2 + B/(1+r)^3</t>
  </si>
  <si>
    <t xml:space="preserve">r is the plant hurdle rate</t>
  </si>
  <si>
    <t xml:space="preserve">probability x impact</t>
  </si>
  <si>
    <t xml:space="preserve">&gt;=15 high, 8-14 medium</t>
  </si>
  <si>
    <t xml:space="preserve">U-05  Glossary EN-ES</t>
  </si>
  <si>
    <t xml:space="preserve">U-05 — Glossary English–Spanish</t>
  </si>
  <si>
    <t xml:space="preserve">Phase: TRANSVERSAL   |   Reference — the only bilingual sheet in the workbook   |   236 terms with definitions and links</t>
  </si>
  <si>
    <t xml:space="preserve">Every term this workbook uses, in English and Spanish, with a one-line definition and a link to the sheet where it is actually applied.</t>
  </si>
  <si>
    <t xml:space="preserve">This is the only bilingual sheet in the workbook by design. Six Sigma is taught, examined and documented in English, so the terms are worth learning in English — but the conversation on the floor in a Spanish-speaking plant happens in Spanish, and a Black Belt has to move between the two without losing precision.</t>
  </si>
  <si>
    <t xml:space="preserve">Where the English term is used untranslated on the floor — kanban, kaizen, gemba, poka-yoke, andon — both forms are given, because insisting on a translation nobody uses is its own kind of imprecision.</t>
  </si>
  <si>
    <t xml:space="preserve">The Go column makes this a second index: look up a term you half-remember and jump straight to the sheet that uses it properly.</t>
  </si>
  <si>
    <t xml:space="preserve">Glossary — 236 terms, English and Spanish, alphabetical by English term</t>
  </si>
  <si>
    <t xml:space="preserve">The Go column links to the sheet where the term is actually used, so the glossary works as a second index. Spanish terms are the ones used in industry in Spanish-speaking plants; where the English term is used untranslated on the floor, both are given.</t>
  </si>
  <si>
    <t xml:space="preserve">English term</t>
  </si>
  <si>
    <t xml:space="preserve">Término en español</t>
  </si>
  <si>
    <t xml:space="preserve">One-line definition</t>
  </si>
  <si>
    <t xml:space="preserve">5 Porqués</t>
  </si>
  <si>
    <t xml:space="preserve">Asking why repeatedly until the cause is systemic and within your control</t>
  </si>
  <si>
    <t xml:space="preserve">H-11 5 Whys</t>
  </si>
  <si>
    <t xml:space="preserve">5S</t>
  </si>
  <si>
    <t xml:space="preserve">5S / Las 5S</t>
  </si>
  <si>
    <t xml:space="preserve">Sort, set in order, shine, standardise, sustain — organisation that makes abnormality visible</t>
  </si>
  <si>
    <t xml:space="preserve">L-12 5S</t>
  </si>
  <si>
    <t xml:space="preserve">8D / Ocho Disciplinas</t>
  </si>
  <si>
    <t xml:space="preserve">Customer-facing problem solving: contain first, then find and remove the root cause</t>
  </si>
  <si>
    <t xml:space="preserve">H-15 8D Problem Solving</t>
  </si>
  <si>
    <t xml:space="preserve">One-page problem-solving discipline in eight boxes, following PDCA</t>
  </si>
  <si>
    <t xml:space="preserve">H-14 A3 Problem Solving</t>
  </si>
  <si>
    <t xml:space="preserve">Accuracy</t>
  </si>
  <si>
    <t xml:space="preserve">Exactitud</t>
  </si>
  <si>
    <t xml:space="preserve">Closeness of a measurement to the true value; the opposite of bias</t>
  </si>
  <si>
    <t xml:space="preserve">E-60 MSA Bias Linearity</t>
  </si>
  <si>
    <t xml:space="preserve">Action Priority (AP)</t>
  </si>
  <si>
    <t xml:space="preserve">Prioridad de Acción</t>
  </si>
  <si>
    <t xml:space="preserve">AIAG-VDA 2019 replacement for RPN: a High/Medium/Low lookup of S, O and D</t>
  </si>
  <si>
    <t xml:space="preserve">H-13 FMEA AIAG-VDA</t>
  </si>
  <si>
    <t xml:space="preserve">ADKAR</t>
  </si>
  <si>
    <t xml:space="preserve">Awareness, Desire, Knowledge, Ability, Reinforcement — sequential change gates</t>
  </si>
  <si>
    <t xml:space="preserve">G-06 Change Management</t>
  </si>
  <si>
    <t xml:space="preserve">Affinity diagram</t>
  </si>
  <si>
    <t xml:space="preserve">Diagrama de afinidad</t>
  </si>
  <si>
    <t xml:space="preserve">Groups a large number of ideas into natural themes</t>
  </si>
  <si>
    <t xml:space="preserve">L-24 Idea Generation</t>
  </si>
  <si>
    <t xml:space="preserve">Alpha risk</t>
  </si>
  <si>
    <t xml:space="preserve">Riesgo alfa</t>
  </si>
  <si>
    <t xml:space="preserve">Probability of rejecting a true null hypothesis; a false alarm</t>
  </si>
  <si>
    <t xml:space="preserve">E-19 Type I II Error Power</t>
  </si>
  <si>
    <t xml:space="preserve">Alternative hypothesis</t>
  </si>
  <si>
    <t xml:space="preserve">Hipótesis alternativa</t>
  </si>
  <si>
    <t xml:space="preserve">The claim you are trying to find evidence for, usually written H1 or Ha</t>
  </si>
  <si>
    <t xml:space="preserve">E-17 Hypothesis Framework</t>
  </si>
  <si>
    <t xml:space="preserve">Andon</t>
  </si>
  <si>
    <t xml:space="preserve">Signal that lets any operator call for help and makes abnormality visible</t>
  </si>
  <si>
    <t xml:space="preserve">L-18 Jidoka and Andon</t>
  </si>
  <si>
    <t xml:space="preserve">ANOVA</t>
  </si>
  <si>
    <t xml:space="preserve">ANOVA / Análisis de varianza</t>
  </si>
  <si>
    <t xml:space="preserve">Compares three or more means by comparing between-group with within-group variation</t>
  </si>
  <si>
    <t xml:space="preserve">Appraisal cost</t>
  </si>
  <si>
    <t xml:space="preserve">Coste de evaluación</t>
  </si>
  <si>
    <t xml:space="preserve">Cost of finding defects: inspection, testing, audits, calibration</t>
  </si>
  <si>
    <t xml:space="preserve">G-02 Business Case COPQ</t>
  </si>
  <si>
    <t xml:space="preserve">Assignable cause</t>
  </si>
  <si>
    <t xml:space="preserve">Causa asignable</t>
  </si>
  <si>
    <t xml:space="preserve">Another name for special cause: a specific, identifiable source of variation</t>
  </si>
  <si>
    <t xml:space="preserve">E-47 Common vs Special Cause</t>
  </si>
  <si>
    <t xml:space="preserve">Attribute data</t>
  </si>
  <si>
    <t xml:space="preserve">Datos por atributos</t>
  </si>
  <si>
    <t xml:space="preserve">Counted data: pass/fail, number of defects — not measured on a continuous scale</t>
  </si>
  <si>
    <t xml:space="preserve">E-01 Data Types</t>
  </si>
  <si>
    <t xml:space="preserve">Mantenimiento autónomo</t>
  </si>
  <si>
    <t xml:space="preserve">Operators clean, inspect and lubricate their own equipment; TPM pillar 1</t>
  </si>
  <si>
    <t xml:space="preserve">L-16 TPM</t>
  </si>
  <si>
    <t xml:space="preserve">Disponibilidad</t>
  </si>
  <si>
    <t xml:space="preserve">Run time divided by planned production time; the first OEE factor</t>
  </si>
  <si>
    <t xml:space="preserve">L-11 OEE</t>
  </si>
  <si>
    <t xml:space="preserve">Balance delay</t>
  </si>
  <si>
    <t xml:space="preserve">Pérdida de equilibrado</t>
  </si>
  <si>
    <t xml:space="preserve">The idle share built into a line balance design; 1 minus balance efficiency</t>
  </si>
  <si>
    <t xml:space="preserve">L-10 Line Balancing</t>
  </si>
  <si>
    <t xml:space="preserve">Línea base</t>
  </si>
  <si>
    <t xml:space="preserve">The measured performance of the process before any change is made</t>
  </si>
  <si>
    <t xml:space="preserve">H-01 Project Charter</t>
  </si>
  <si>
    <t xml:space="preserve">Benchmarking</t>
  </si>
  <si>
    <t xml:space="preserve">Benchmarking / Comparación referencial</t>
  </si>
  <si>
    <t xml:space="preserve">Comparing performance against a reference process, internal or external</t>
  </si>
  <si>
    <t xml:space="preserve">G-01 Project Selection</t>
  </si>
  <si>
    <t xml:space="preserve">Riesgo beta</t>
  </si>
  <si>
    <t xml:space="preserve">Probability of failing to reject a false null hypothesis; a missed signal</t>
  </si>
  <si>
    <t xml:space="preserve">Sesgo</t>
  </si>
  <si>
    <t xml:space="preserve">Systematic difference between the average measurement and the true value</t>
  </si>
  <si>
    <t xml:space="preserve">Bimodal</t>
  </si>
  <si>
    <t xml:space="preserve">A distribution with two peaks — almost always two populations mixed together</t>
  </si>
  <si>
    <t xml:space="preserve">H-07 Histogram and Box Plot</t>
  </si>
  <si>
    <t xml:space="preserve">Binomial distribution</t>
  </si>
  <si>
    <t xml:space="preserve">Distribución binomial</t>
  </si>
  <si>
    <t xml:space="preserve">Counts of defective units in n independent trials with constant probability</t>
  </si>
  <si>
    <t xml:space="preserve">E-10 Binomial Distribution</t>
  </si>
  <si>
    <t xml:space="preserve">Black Belt / Cinturón Negro</t>
  </si>
  <si>
    <t xml:space="preserve">Full-time improvement practitioner who leads DMAIC projects and coaches Green Belts</t>
  </si>
  <si>
    <t xml:space="preserve">N-01 Cover</t>
  </si>
  <si>
    <t xml:space="preserve">Blocking</t>
  </si>
  <si>
    <t xml:space="preserve">Bloqueo</t>
  </si>
  <si>
    <t xml:space="preserve">Grouping experimental runs so a nuisance factor does not confound the effects</t>
  </si>
  <si>
    <t xml:space="preserve">E-41 DOE Fundamentals</t>
  </si>
  <si>
    <t xml:space="preserve">Bottleneck</t>
  </si>
  <si>
    <t xml:space="preserve">Cuello de botella</t>
  </si>
  <si>
    <t xml:space="preserve">The slowest effective station; it sets the output of the whole line</t>
  </si>
  <si>
    <t xml:space="preserve">L-09 Theory of Constraints</t>
  </si>
  <si>
    <t xml:space="preserve">Box plot</t>
  </si>
  <si>
    <t xml:space="preserve">Diagrama de caja</t>
  </si>
  <si>
    <t xml:space="preserve">Five-number summary drawn as a box and whiskers, with outlier fences</t>
  </si>
  <si>
    <t xml:space="preserve">Box-Cox transformation</t>
  </si>
  <si>
    <t xml:space="preserve">Transformación de Box-Cox</t>
  </si>
  <si>
    <t xml:space="preserve">A power transformation that makes skewed data approximately normal</t>
  </si>
  <si>
    <t xml:space="preserve">E-33 When Assumptions Fail</t>
  </si>
  <si>
    <t xml:space="preserve">Brainstorming</t>
  </si>
  <si>
    <t xml:space="preserve">Lluvia de ideas</t>
  </si>
  <si>
    <t xml:space="preserve">Structured idea generation with judgement deliberately deferred</t>
  </si>
  <si>
    <t xml:space="preserve">Brainwriting 6-3-5</t>
  </si>
  <si>
    <t xml:space="preserve">Six people write three ideas in five minutes and pass the sheet on, six times</t>
  </si>
  <si>
    <t xml:space="preserve">Gráfico c</t>
  </si>
  <si>
    <t xml:space="preserve">Control chart for counts of defects with a constant area of opportunity</t>
  </si>
  <si>
    <t xml:space="preserve">Bias correction applied to the sample standard deviation, by subgroup size</t>
  </si>
  <si>
    <t xml:space="preserve">U-02 Chart Constants</t>
  </si>
  <si>
    <t xml:space="preserve">CAPA</t>
  </si>
  <si>
    <t xml:space="preserve">Acción correctiva y preventiva</t>
  </si>
  <si>
    <t xml:space="preserve">Corrective and preventive action arising from a nonconformity</t>
  </si>
  <si>
    <t xml:space="preserve">Capacidad de proceso</t>
  </si>
  <si>
    <t xml:space="preserve">How well a stable process fits inside the customer's specification</t>
  </si>
  <si>
    <t xml:space="preserve">E-57 Process Capability</t>
  </si>
  <si>
    <t xml:space="preserve">Cause and effect matrix</t>
  </si>
  <si>
    <t xml:space="preserve">Matriz causa-efecto</t>
  </si>
  <si>
    <t xml:space="preserve">Weighted screening of process inputs against weighted outputs</t>
  </si>
  <si>
    <t xml:space="preserve">H-12 Cause Effect Matrix</t>
  </si>
  <si>
    <t xml:space="preserve">Central Limit Theorem</t>
  </si>
  <si>
    <t xml:space="preserve">Teorema Central del Límite</t>
  </si>
  <si>
    <t xml:space="preserve">Sample means tend to normal as n grows, whatever the parent distribution</t>
  </si>
  <si>
    <t xml:space="preserve">E-08 Central Limit Theorem</t>
  </si>
  <si>
    <t xml:space="preserve">Centre point</t>
  </si>
  <si>
    <t xml:space="preserve">Punto central</t>
  </si>
  <si>
    <t xml:space="preserve">A run at the mid-level of every factor, used to detect curvature</t>
  </si>
  <si>
    <t xml:space="preserve">Champion / Patrocinador</t>
  </si>
  <si>
    <t xml:space="preserve">The sponsor who charters the project, removes obstacles and accepts the benefit</t>
  </si>
  <si>
    <t xml:space="preserve">Cambio de formato</t>
  </si>
  <si>
    <t xml:space="preserve">Time from the last good unit of one product to the first good unit of the next</t>
  </si>
  <si>
    <t xml:space="preserve">L-15 SMED</t>
  </si>
  <si>
    <t xml:space="preserve">Charter</t>
  </si>
  <si>
    <t xml:space="preserve">Acta de proyecto</t>
  </si>
  <si>
    <t xml:space="preserve">The contract between the Black Belt and the Champion</t>
  </si>
  <si>
    <t xml:space="preserve">Check sheet</t>
  </si>
  <si>
    <t xml:space="preserve">Hoja de verificación</t>
  </si>
  <si>
    <t xml:space="preserve">Form designed so that recording data is easier than not recording it</t>
  </si>
  <si>
    <t xml:space="preserve">H-05 Check Sheets</t>
  </si>
  <si>
    <t xml:space="preserve">Chi-square test</t>
  </si>
  <si>
    <t xml:space="preserve">Prueba chi-cuadrado</t>
  </si>
  <si>
    <t xml:space="preserve">Tests goodness of fit or independence between categorical variables</t>
  </si>
  <si>
    <t xml:space="preserve">E-30 Chi-Square Tests</t>
  </si>
  <si>
    <t xml:space="preserve">Common cause</t>
  </si>
  <si>
    <t xml:space="preserve">Causa común</t>
  </si>
  <si>
    <t xml:space="preserve">Ordinary variation inherent in the process; do not react to individual points</t>
  </si>
  <si>
    <t xml:space="preserve">Intervalo de confianza</t>
  </si>
  <si>
    <t xml:space="preserve">Range of plausible values for a parameter, at a stated confidence level</t>
  </si>
  <si>
    <t xml:space="preserve">E-15 CI Mean</t>
  </si>
  <si>
    <t xml:space="preserve">Confounding</t>
  </si>
  <si>
    <t xml:space="preserve">Confusión de efectos</t>
  </si>
  <si>
    <t xml:space="preserve">Two effects that cannot be separated because they always change together</t>
  </si>
  <si>
    <t xml:space="preserve">Contención</t>
  </si>
  <si>
    <t xml:space="preserve">Interim action that protects the customer while the root cause is found</t>
  </si>
  <si>
    <t xml:space="preserve">Continuous data</t>
  </si>
  <si>
    <t xml:space="preserve">Datos continuos</t>
  </si>
  <si>
    <t xml:space="preserve">Measured on a scale where any value in a range is possible</t>
  </si>
  <si>
    <t xml:space="preserve">Control chart</t>
  </si>
  <si>
    <t xml:space="preserve">Gráfico de control</t>
  </si>
  <si>
    <t xml:space="preserve">Time-ordered chart with limits that separate common from special cause</t>
  </si>
  <si>
    <t xml:space="preserve">Control limit</t>
  </si>
  <si>
    <t xml:space="preserve">Límite de control</t>
  </si>
  <si>
    <t xml:space="preserve">Voice of the process, computed from the data — never a specification</t>
  </si>
  <si>
    <t xml:space="preserve">Control plan</t>
  </si>
  <si>
    <t xml:space="preserve">Plan de control</t>
  </si>
  <si>
    <t xml:space="preserve">What is measured, by whom, how often, and what happens when it signals</t>
  </si>
  <si>
    <t xml:space="preserve">H-16 Control and Reaction</t>
  </si>
  <si>
    <t xml:space="preserve">COPQ</t>
  </si>
  <si>
    <t xml:space="preserve">Coste de la no calidad</t>
  </si>
  <si>
    <t xml:space="preserve">Cost of poor quality: internal plus external failure cost</t>
  </si>
  <si>
    <t xml:space="preserve">Correlation</t>
  </si>
  <si>
    <t xml:space="preserve">Correlación</t>
  </si>
  <si>
    <t xml:space="preserve">Strength and direction of a linear relationship between two variables</t>
  </si>
  <si>
    <t xml:space="preserve">E-34 Correlation</t>
  </si>
  <si>
    <t xml:space="preserve">Cost avoidance</t>
  </si>
  <si>
    <t xml:space="preserve">Coste evitado</t>
  </si>
  <si>
    <t xml:space="preserve">Spend that would have occurred and now will not; needs a documented counterfactual</t>
  </si>
  <si>
    <t xml:space="preserve">G-09 Benefit Validation</t>
  </si>
  <si>
    <t xml:space="preserve">Potential capability: specification width divided by six within-subgroup sigma</t>
  </si>
  <si>
    <t xml:space="preserve">Capability against the nearer specification limit; includes centring</t>
  </si>
  <si>
    <t xml:space="preserve">Capability penalised for being off the target value T</t>
  </si>
  <si>
    <t xml:space="preserve">Critical path</t>
  </si>
  <si>
    <t xml:space="preserve">Ruta crítica</t>
  </si>
  <si>
    <t xml:space="preserve">The longest chain of dependent tasks; it alone sets the project duration</t>
  </si>
  <si>
    <t xml:space="preserve">G-08 Schedule and CPM</t>
  </si>
  <si>
    <t xml:space="preserve">CTQ</t>
  </si>
  <si>
    <t xml:space="preserve">CTQ / Crítico para la calidad</t>
  </si>
  <si>
    <t xml:space="preserve">A measurable characteristic that reflects what the customer needs</t>
  </si>
  <si>
    <t xml:space="preserve">H-03 VOC and CTQ Tree</t>
  </si>
  <si>
    <t xml:space="preserve">Curvatura</t>
  </si>
  <si>
    <t xml:space="preserve">A non-linear response that a two-level factorial design cannot model</t>
  </si>
  <si>
    <t xml:space="preserve">CUSUM</t>
  </si>
  <si>
    <t xml:space="preserve">CUSUM / Suma acumulada</t>
  </si>
  <si>
    <t xml:space="preserve">Control chart that accumulates deviations to detect small sustained shifts</t>
  </si>
  <si>
    <t xml:space="preserve">Cycle time</t>
  </si>
  <si>
    <t xml:space="preserve">Tiempo de ciclo</t>
  </si>
  <si>
    <t xml:space="preserve">Time between two consecutive units leaving a process</t>
  </si>
  <si>
    <t xml:space="preserve">L-07 Takt Cycle Lead Time</t>
  </si>
  <si>
    <t xml:space="preserve">Expected range of n standard normal observations; converts Rbar to sigma</t>
  </si>
  <si>
    <t xml:space="preserve">Defect</t>
  </si>
  <si>
    <t xml:space="preserve">Defecto</t>
  </si>
  <si>
    <t xml:space="preserve">A single failure to meet a requirement; a unit may carry several</t>
  </si>
  <si>
    <t xml:space="preserve">Defective</t>
  </si>
  <si>
    <t xml:space="preserve">Unidad defectuosa</t>
  </si>
  <si>
    <t xml:space="preserve">A unit with one or more defects; the unit itself is rejected</t>
  </si>
  <si>
    <t xml:space="preserve">Grados de libertad</t>
  </si>
  <si>
    <t xml:space="preserve">Independent pieces of information left after estimating parameters</t>
  </si>
  <si>
    <t xml:space="preserve">E-09 t Chi2 F Distributions</t>
  </si>
  <si>
    <t xml:space="preserve">Design of Experiments</t>
  </si>
  <si>
    <t xml:space="preserve">Diseño de experimentos</t>
  </si>
  <si>
    <t xml:space="preserve">Planned changes to several factors at once to find effects and interactions</t>
  </si>
  <si>
    <t xml:space="preserve">Detección</t>
  </si>
  <si>
    <t xml:space="preserve">FMEA rating of how likely a control is to catch the failure before it escapes</t>
  </si>
  <si>
    <t xml:space="preserve">DMAIC</t>
  </si>
  <si>
    <t xml:space="preserve">Define, Measure, Analyze, Improve, Control — the Six Sigma project structure</t>
  </si>
  <si>
    <t xml:space="preserve">DPMO / Defectos por millón de oportunidades</t>
  </si>
  <si>
    <t xml:space="preserve">Defects per million opportunities; needs a stable definition of opportunity</t>
  </si>
  <si>
    <t xml:space="preserve">Tamaño del efecto</t>
  </si>
  <si>
    <t xml:space="preserve">How large a difference is, independent of sample size; Cohen's d</t>
  </si>
  <si>
    <t xml:space="preserve">L-26 Pilot and Confirmation</t>
  </si>
  <si>
    <t xml:space="preserve">Potencial demostrado</t>
  </si>
  <si>
    <t xml:space="preserve">The best the process has ever demonstrated, or what physics allows</t>
  </si>
  <si>
    <t xml:space="preserve">EPEI / Cada pieza cada intervalo</t>
  </si>
  <si>
    <t xml:space="preserve">How often every SKU can be produced given the changeover budget</t>
  </si>
  <si>
    <t xml:space="preserve">L-20 Heijunka</t>
  </si>
  <si>
    <t xml:space="preserve">EWMA</t>
  </si>
  <si>
    <t xml:space="preserve">EWMA / Media móvil ponderada exponencial</t>
  </si>
  <si>
    <t xml:space="preserve">Control chart weighting recent points more heavily; detects small shifts</t>
  </si>
  <si>
    <t xml:space="preserve">External failure cost</t>
  </si>
  <si>
    <t xml:space="preserve">Coste de fallo externo</t>
  </si>
  <si>
    <t xml:space="preserve">Cost of defects found by the customer; the most understated category</t>
  </si>
  <si>
    <t xml:space="preserve">F distribution</t>
  </si>
  <si>
    <t xml:space="preserve">Distribución F</t>
  </si>
  <si>
    <t xml:space="preserve">Ratio of two variances; the reference distribution for ANOVA</t>
  </si>
  <si>
    <t xml:space="preserve">First pass yield</t>
  </si>
  <si>
    <t xml:space="preserve">Rendimiento a la primera</t>
  </si>
  <si>
    <t xml:space="preserve">Share of units that pass with no rework at all</t>
  </si>
  <si>
    <t xml:space="preserve">Fishbone diagram</t>
  </si>
  <si>
    <t xml:space="preserve">Diagrama de espina de pescado</t>
  </si>
  <si>
    <t xml:space="preserve">Structured brainstorm of causes across six categories (6M)</t>
  </si>
  <si>
    <t xml:space="preserve">H-10 Ishikawa</t>
  </si>
  <si>
    <t xml:space="preserve">Float</t>
  </si>
  <si>
    <t xml:space="preserve">Holgura</t>
  </si>
  <si>
    <t xml:space="preserve">How long a task can slip without moving the project finish date</t>
  </si>
  <si>
    <t xml:space="preserve">FMEA</t>
  </si>
  <si>
    <t xml:space="preserve">AMFE / Análisis modal de fallos y efectos</t>
  </si>
  <si>
    <t xml:space="preserve">Prospective risk assessment of failure modes, causes, effects and controls</t>
  </si>
  <si>
    <t xml:space="preserve">Fractional factorial</t>
  </si>
  <si>
    <t xml:space="preserve">Factorial fraccionado</t>
  </si>
  <si>
    <t xml:space="preserve">Runs a fraction of the full design, at the cost of confounding</t>
  </si>
  <si>
    <t xml:space="preserve">Full factorial</t>
  </si>
  <si>
    <t xml:space="preserve">Factorial completo</t>
  </si>
  <si>
    <t xml:space="preserve">Every combination of every factor level; all effects estimable</t>
  </si>
  <si>
    <t xml:space="preserve">Gage R&amp;R</t>
  </si>
  <si>
    <t xml:space="preserve">R&amp;R del sistema de medición</t>
  </si>
  <si>
    <t xml:space="preserve">How much of the observed variation comes from the measurement system</t>
  </si>
  <si>
    <t xml:space="preserve">E-59 Gage R and R</t>
  </si>
  <si>
    <t xml:space="preserve">Gantt chart</t>
  </si>
  <si>
    <t xml:space="preserve">Diagrama de Gantt</t>
  </si>
  <si>
    <t xml:space="preserve">Bar chart of tasks against time, showing start, duration and overlap</t>
  </si>
  <si>
    <t xml:space="preserve">Gemba</t>
  </si>
  <si>
    <t xml:space="preserve">Gemba / El lugar real</t>
  </si>
  <si>
    <t xml:space="preserve">The place where the work actually happens and where the facts are</t>
  </si>
  <si>
    <t xml:space="preserve">L-22 Gemba Walk</t>
  </si>
  <si>
    <t xml:space="preserve">Green Belt</t>
  </si>
  <si>
    <t xml:space="preserve">Green Belt / Cinturón Verde</t>
  </si>
  <si>
    <t xml:space="preserve">Part-time practitioner who runs smaller projects alongside a normal role</t>
  </si>
  <si>
    <t xml:space="preserve">Hard benefit</t>
  </si>
  <si>
    <t xml:space="preserve">Beneficio duro</t>
  </si>
  <si>
    <t xml:space="preserve">A saving that appears directly in the accounts and is signed by Finance</t>
  </si>
  <si>
    <t xml:space="preserve">Heijunka</t>
  </si>
  <si>
    <t xml:space="preserve">Heijunka / Nivelación</t>
  </si>
  <si>
    <t xml:space="preserve">Levelling production by volume and by mix to remove demand amplification</t>
  </si>
  <si>
    <t xml:space="preserve">Hidden factory</t>
  </si>
  <si>
    <t xml:space="preserve">Fábrica oculta</t>
  </si>
  <si>
    <t xml:space="preserve">Rework and correction that never appears in the official numbers</t>
  </si>
  <si>
    <t xml:space="preserve">L-06 Value Added Analysis</t>
  </si>
  <si>
    <t xml:space="preserve">Histogram</t>
  </si>
  <si>
    <t xml:space="preserve">Histograma</t>
  </si>
  <si>
    <t xml:space="preserve">Bar chart of frequency by bin; shows shape, centre and spread</t>
  </si>
  <si>
    <t xml:space="preserve">Despliegue horizontal</t>
  </si>
  <si>
    <t xml:space="preserve">Applying a proven solution to other lines, products or plants</t>
  </si>
  <si>
    <t xml:space="preserve">G-10 Closure Replication</t>
  </si>
  <si>
    <t xml:space="preserve">Hypothesis test</t>
  </si>
  <si>
    <t xml:space="preserve">Prueba de hipótesis</t>
  </si>
  <si>
    <t xml:space="preserve">A decision rule for judging whether data contradicts a stated claim</t>
  </si>
  <si>
    <t xml:space="preserve">I-MR chart</t>
  </si>
  <si>
    <t xml:space="preserve">Gráfico I-MR</t>
  </si>
  <si>
    <t xml:space="preserve">Individuals and moving range chart, for one measurement at a time</t>
  </si>
  <si>
    <t xml:space="preserve">Interacción</t>
  </si>
  <si>
    <t xml:space="preserve">When the effect of one factor depends on the level of another</t>
  </si>
  <si>
    <t xml:space="preserve">Internal failure cost</t>
  </si>
  <si>
    <t xml:space="preserve">Coste de fallo interno</t>
  </si>
  <si>
    <t xml:space="preserve">Cost of defects found before the customer: scrap, rework, giveaway, downtime</t>
  </si>
  <si>
    <t xml:space="preserve">Rango intercuartílico</t>
  </si>
  <si>
    <t xml:space="preserve">Q3 minus Q1; the middle half of the data, and the basis of outlier fences</t>
  </si>
  <si>
    <t xml:space="preserve">Ishikawa diagram</t>
  </si>
  <si>
    <t xml:space="preserve">Diagrama de Ishikawa</t>
  </si>
  <si>
    <t xml:space="preserve">Another name for the fishbone or cause-and-effect diagram</t>
  </si>
  <si>
    <t xml:space="preserve">Jidoka</t>
  </si>
  <si>
    <t xml:space="preserve">The process stops itself when an abnormality occurs, rather than passing it on</t>
  </si>
  <si>
    <t xml:space="preserve">Acción inmediata</t>
  </si>
  <si>
    <t xml:space="preserve">A change whose cause and solution are already known; no project needed</t>
  </si>
  <si>
    <t xml:space="preserve">N-08 Fast Track Routes</t>
  </si>
  <si>
    <t xml:space="preserve">Kaizen</t>
  </si>
  <si>
    <t xml:space="preserve">Kaizen / Mejora continua</t>
  </si>
  <si>
    <t xml:space="preserve">Continuous incremental improvement, usually by the people doing the work</t>
  </si>
  <si>
    <t xml:space="preserve">L-21 Kaizen Event</t>
  </si>
  <si>
    <t xml:space="preserve">Kaizen event</t>
  </si>
  <si>
    <t xml:space="preserve">Evento Kaizen</t>
  </si>
  <si>
    <t xml:space="preserve">Focused, full-time, cross-functional improvement over about a week</t>
  </si>
  <si>
    <t xml:space="preserve">Kanban</t>
  </si>
  <si>
    <t xml:space="preserve">A signal authorising production or movement, always tied to real consumption</t>
  </si>
  <si>
    <t xml:space="preserve">L-19 Kanban Pull Systems</t>
  </si>
  <si>
    <t xml:space="preserve">Kano model</t>
  </si>
  <si>
    <t xml:space="preserve">Modelo de Kano</t>
  </si>
  <si>
    <t xml:space="preserve">Classifies features as must-be, one-dimensional, attractive or indifferent</t>
  </si>
  <si>
    <t xml:space="preserve">H-04 Kano Model</t>
  </si>
  <si>
    <t xml:space="preserve">Kappa (Cohen's)</t>
  </si>
  <si>
    <t xml:space="preserve">Kappa de Cohen</t>
  </si>
  <si>
    <t xml:space="preserve">Agreement between appraisers beyond what chance alone would give</t>
  </si>
  <si>
    <t xml:space="preserve">KPIV</t>
  </si>
  <si>
    <t xml:space="preserve">Variable de entrada clave</t>
  </si>
  <si>
    <t xml:space="preserve">Key process input variable — an X the process consumes</t>
  </si>
  <si>
    <t xml:space="preserve">H-02 SIPOC</t>
  </si>
  <si>
    <t xml:space="preserve">KPOV</t>
  </si>
  <si>
    <t xml:space="preserve">Variable de salida clave</t>
  </si>
  <si>
    <t xml:space="preserve">Key process output variable — a Y the process produces</t>
  </si>
  <si>
    <t xml:space="preserve">Kruskal-Wallis test</t>
  </si>
  <si>
    <t xml:space="preserve">Prueba de Kruskal-Wallis</t>
  </si>
  <si>
    <t xml:space="preserve">Nonparametric comparison of three or more groups, using ranks</t>
  </si>
  <si>
    <t xml:space="preserve">E-31 Nonparametric Tests</t>
  </si>
  <si>
    <t xml:space="preserve">Tiempo de entrega</t>
  </si>
  <si>
    <t xml:space="preserve">Total elapsed time from order to delivery; dominated by waiting</t>
  </si>
  <si>
    <t xml:space="preserve">L-08 Littles Law and WIP</t>
  </si>
  <si>
    <t xml:space="preserve">Levene's test</t>
  </si>
  <si>
    <t xml:space="preserve">Prueba de Levene</t>
  </si>
  <si>
    <t xml:space="preserve">Tests equality of variances; far more robust to non-normality than the F test</t>
  </si>
  <si>
    <t xml:space="preserve">E-28 Variance Tests</t>
  </si>
  <si>
    <t xml:space="preserve">Line balancing</t>
  </si>
  <si>
    <t xml:space="preserve">Equilibrado de línea</t>
  </si>
  <si>
    <t xml:space="preserve">Distributing work between stations so none exceeds takt</t>
  </si>
  <si>
    <t xml:space="preserve">Linearity</t>
  </si>
  <si>
    <t xml:space="preserve">Linealidad</t>
  </si>
  <si>
    <t xml:space="preserve">Whether measurement bias stays constant across the measurement range</t>
  </si>
  <si>
    <t xml:space="preserve">Ley de Little</t>
  </si>
  <si>
    <t xml:space="preserve">Lead time equals work in process divided by throughput, in a stable system</t>
  </si>
  <si>
    <t xml:space="preserve">Logistic regression</t>
  </si>
  <si>
    <t xml:space="preserve">Regresión logística</t>
  </si>
  <si>
    <t xml:space="preserve">Regression where the response is binary rather than continuous</t>
  </si>
  <si>
    <t xml:space="preserve">E-39 Logistic Regression</t>
  </si>
  <si>
    <t xml:space="preserve">Main effect</t>
  </si>
  <si>
    <t xml:space="preserve">Efecto principal</t>
  </si>
  <si>
    <t xml:space="preserve">The average change in the response when a factor moves from low to high</t>
  </si>
  <si>
    <t xml:space="preserve">Mann-Whitney test</t>
  </si>
  <si>
    <t xml:space="preserve">Prueba de Mann-Whitney</t>
  </si>
  <si>
    <t xml:space="preserve">Nonparametric comparison of two groups, using ranks</t>
  </si>
  <si>
    <t xml:space="preserve">Master Black Belt</t>
  </si>
  <si>
    <t xml:space="preserve">Coaches Black Belts, owns the methodology and the training system</t>
  </si>
  <si>
    <t xml:space="preserve">Media</t>
  </si>
  <si>
    <t xml:space="preserve">The arithmetic average; the balance point of the data</t>
  </si>
  <si>
    <t xml:space="preserve">E-03 Descriptive Stats</t>
  </si>
  <si>
    <t xml:space="preserve">Mediana</t>
  </si>
  <si>
    <t xml:space="preserve">The middle value of ordered data; robust to outliers</t>
  </si>
  <si>
    <t xml:space="preserve">Micro-stop</t>
  </si>
  <si>
    <t xml:space="preserve">Microparada</t>
  </si>
  <si>
    <t xml:space="preserve">A stop under about five minutes; rarely logged and often the largest loss</t>
  </si>
  <si>
    <t xml:space="preserve">Mistake proofing</t>
  </si>
  <si>
    <t xml:space="preserve">A prueba de errores</t>
  </si>
  <si>
    <t xml:space="preserve">Designing so the error becomes impossible rather than merely discouraged</t>
  </si>
  <si>
    <t xml:space="preserve">L-17 Poka-Yoke</t>
  </si>
  <si>
    <t xml:space="preserve">Moda</t>
  </si>
  <si>
    <t xml:space="preserve">The most frequently occurring value</t>
  </si>
  <si>
    <t xml:space="preserve">MSA</t>
  </si>
  <si>
    <t xml:space="preserve">Análisis del sistema de medición</t>
  </si>
  <si>
    <t xml:space="preserve">Measurement system analysis: is the gauge good enough to trust?</t>
  </si>
  <si>
    <t xml:space="preserve">Tiempo medio entre fallos</t>
  </si>
  <si>
    <t xml:space="preserve">How long the equipment runs before it stops; improved by condition and design</t>
  </si>
  <si>
    <t xml:space="preserve">Tiempo medio de reparación</t>
  </si>
  <si>
    <t xml:space="preserve">How long it takes to get the equipment back; improved by spares and skill</t>
  </si>
  <si>
    <t xml:space="preserve">Muda</t>
  </si>
  <si>
    <t xml:space="preserve">Muda / Desperdicio</t>
  </si>
  <si>
    <t xml:space="preserve">Waste — activity the customer would not pay for</t>
  </si>
  <si>
    <t xml:space="preserve">L-01 Eight Wastes</t>
  </si>
  <si>
    <t xml:space="preserve">Multi-vari chart</t>
  </si>
  <si>
    <t xml:space="preserve">Gráfico multi-vari</t>
  </si>
  <si>
    <t xml:space="preserve">Displays several sources of variation at once before formal testing</t>
  </si>
  <si>
    <t xml:space="preserve">E-40 Multi-Vari Analysis</t>
  </si>
  <si>
    <t xml:space="preserve">Mura</t>
  </si>
  <si>
    <t xml:space="preserve">Mura / Irregularidad</t>
  </si>
  <si>
    <t xml:space="preserve">Unevenness in flow or demand; what heijunka removes</t>
  </si>
  <si>
    <t xml:space="preserve">Muri</t>
  </si>
  <si>
    <t xml:space="preserve">Muri / Sobrecarga</t>
  </si>
  <si>
    <t xml:space="preserve">Overburden of people or equipment beyond reasonable capacity</t>
  </si>
  <si>
    <t xml:space="preserve">Número de categorías distintas</t>
  </si>
  <si>
    <t xml:space="preserve">How many distinct groups the gauge can tell apart; must be at least 5</t>
  </si>
  <si>
    <t xml:space="preserve">Nonparametric test</t>
  </si>
  <si>
    <t xml:space="preserve">Prueba no paramétrica</t>
  </si>
  <si>
    <t xml:space="preserve">A test that does not assume a particular distribution, usually rank-based</t>
  </si>
  <si>
    <t xml:space="preserve">Normal distribution</t>
  </si>
  <si>
    <t xml:space="preserve">Distribución normal</t>
  </si>
  <si>
    <t xml:space="preserve">The symmetric bell curve defined by its mean and standard deviation</t>
  </si>
  <si>
    <t xml:space="preserve">E-07 Normal Distribution</t>
  </si>
  <si>
    <t xml:space="preserve">Normality test</t>
  </si>
  <si>
    <t xml:space="preserve">Prueba de normalidad</t>
  </si>
  <si>
    <t xml:space="preserve">Checks whether data is consistent with a normal distribution</t>
  </si>
  <si>
    <t xml:space="preserve">E-32 Normality Testing</t>
  </si>
  <si>
    <t xml:space="preserve">Gráfico np</t>
  </si>
  <si>
    <t xml:space="preserve">Control chart for the number of defective units, constant sample size</t>
  </si>
  <si>
    <t xml:space="preserve">Null hypothesis</t>
  </si>
  <si>
    <t xml:space="preserve">Hipótesis nula</t>
  </si>
  <si>
    <t xml:space="preserve">The default claim of no difference or no effect, written H0</t>
  </si>
  <si>
    <t xml:space="preserve">OCAP</t>
  </si>
  <si>
    <t xml:space="preserve">Plan de reacción</t>
  </si>
  <si>
    <t xml:space="preserve">Out-of-control action plan: exactly what to do when a chart signals</t>
  </si>
  <si>
    <t xml:space="preserve">Ocurrencia</t>
  </si>
  <si>
    <t xml:space="preserve">FMEA rating of how often the cause of a failure mode arises</t>
  </si>
  <si>
    <t xml:space="preserve">OEE / Eficiencia global del equipo</t>
  </si>
  <si>
    <t xml:space="preserve">Availability times performance times quality</t>
  </si>
  <si>
    <t xml:space="preserve">One-piece flow</t>
  </si>
  <si>
    <t xml:space="preserve">Flujo pieza a pieza</t>
  </si>
  <si>
    <t xml:space="preserve">Moving one unit at a time between steps, with no batching</t>
  </si>
  <si>
    <t xml:space="preserve">L-02 VSM Current State</t>
  </si>
  <si>
    <t xml:space="preserve">Definición operativa</t>
  </si>
  <si>
    <t xml:space="preserve">A description so unambiguous that two people classify identically</t>
  </si>
  <si>
    <t xml:space="preserve">Outlier</t>
  </si>
  <si>
    <t xml:space="preserve">Valor atípico</t>
  </si>
  <si>
    <t xml:space="preserve">A point beyond the fences; a candidate for investigation, not deletion</t>
  </si>
  <si>
    <t xml:space="preserve">Overproduction</t>
  </si>
  <si>
    <t xml:space="preserve">Sobreproducción</t>
  </si>
  <si>
    <t xml:space="preserve">Making more or earlier than needed; the waste that creates the other seven</t>
  </si>
  <si>
    <t xml:space="preserve">Gráfico p</t>
  </si>
  <si>
    <t xml:space="preserve">Control chart for the proportion defective, with varying sample size</t>
  </si>
  <si>
    <t xml:space="preserve">Valor p</t>
  </si>
  <si>
    <t xml:space="preserve">Probability of data at least this extreme if the null hypothesis were true</t>
  </si>
  <si>
    <t xml:space="preserve">E-18 The p-Value</t>
  </si>
  <si>
    <t xml:space="preserve">Proceso marcapasos</t>
  </si>
  <si>
    <t xml:space="preserve">The single point in the stream that is scheduled; everything else pulls or flows</t>
  </si>
  <si>
    <t xml:space="preserve">L-03 VSM Future State</t>
  </si>
  <si>
    <t xml:space="preserve">Prueba t pareada</t>
  </si>
  <si>
    <t xml:space="preserve">Tests the mean of the differences within naturally paired observations</t>
  </si>
  <si>
    <t xml:space="preserve">E-25 Paired t-Test</t>
  </si>
  <si>
    <t xml:space="preserve">Pareto analysis</t>
  </si>
  <si>
    <t xml:space="preserve">Análisis de Pareto</t>
  </si>
  <si>
    <t xml:space="preserve">Sorted categories with a cumulative line; separates vital few from useful many</t>
  </si>
  <si>
    <t xml:space="preserve">H-06 Pareto Analysis</t>
  </si>
  <si>
    <t xml:space="preserve">Eficiencia del ciclo de proceso</t>
  </si>
  <si>
    <t xml:space="preserve">Value-added time divided by total lead time</t>
  </si>
  <si>
    <t xml:space="preserve">PDCA</t>
  </si>
  <si>
    <t xml:space="preserve">PDCA / Planificar-Hacer-Verificar-Actuar</t>
  </si>
  <si>
    <t xml:space="preserve">The scientific method applied to improvement, as a repeating cycle</t>
  </si>
  <si>
    <t xml:space="preserve">L-23 PDCA</t>
  </si>
  <si>
    <t xml:space="preserve">Rendimiento</t>
  </si>
  <si>
    <t xml:space="preserve">Speed loss factor of OEE: actual output against the ideal rate during run time</t>
  </si>
  <si>
    <t xml:space="preserve">PERT</t>
  </si>
  <si>
    <t xml:space="preserve">Three-point estimating: (optimistic + 4 x most likely + pessimistic) / 6</t>
  </si>
  <si>
    <t xml:space="preserve">Pilot</t>
  </si>
  <si>
    <t xml:space="preserve">Piloto / Prueba piloto</t>
  </si>
  <si>
    <t xml:space="preserve">A small, measured trial before committing to a full roll-out</t>
  </si>
  <si>
    <t xml:space="preserve">Pitch / Incremento de liberación</t>
  </si>
  <si>
    <t xml:space="preserve">The smallest release increment, usually the pack-out quantity</t>
  </si>
  <si>
    <t xml:space="preserve">Poisson distribution</t>
  </si>
  <si>
    <t xml:space="preserve">Distribución de Poisson</t>
  </si>
  <si>
    <t xml:space="preserve">Counts of defects per unit when events are independent and rare</t>
  </si>
  <si>
    <t xml:space="preserve">E-11 Poisson Distribution</t>
  </si>
  <si>
    <t xml:space="preserve">Poka-yoke</t>
  </si>
  <si>
    <t xml:space="preserve">Poka-yoke / A prueba de errores</t>
  </si>
  <si>
    <t xml:space="preserve">A device that makes an error impossible or catches it immediately</t>
  </si>
  <si>
    <t xml:space="preserve">Potencia estadística</t>
  </si>
  <si>
    <t xml:space="preserve">Probability of detecting a real difference; 1 minus beta risk</t>
  </si>
  <si>
    <t xml:space="preserve">Ppk</t>
  </si>
  <si>
    <t xml:space="preserve">Actual performance capability, using the overall standard deviation</t>
  </si>
  <si>
    <t xml:space="preserve">Precision</t>
  </si>
  <si>
    <t xml:space="preserve">Precisión</t>
  </si>
  <si>
    <t xml:space="preserve">Closeness of repeated measurements to each other; repeatability plus reproducibility</t>
  </si>
  <si>
    <t xml:space="preserve">Prevention cost</t>
  </si>
  <si>
    <t xml:space="preserve">Coste de prevención</t>
  </si>
  <si>
    <t xml:space="preserve">Cost of stopping defects happening; the only category you want to rise</t>
  </si>
  <si>
    <t xml:space="preserve">Process map</t>
  </si>
  <si>
    <t xml:space="preserve">Mapa de proceso</t>
  </si>
  <si>
    <t xml:space="preserve">Step-level diagram of the process, ideally with owners and times</t>
  </si>
  <si>
    <t xml:space="preserve">L-04 Process Mapping</t>
  </si>
  <si>
    <t xml:space="preserve">Pugh matrix</t>
  </si>
  <si>
    <t xml:space="preserve">Matriz de Pugh</t>
  </si>
  <si>
    <t xml:space="preserve">Scores options against a datum using only +1, 0 and -1</t>
  </si>
  <si>
    <t xml:space="preserve">L-25 Solution Selection</t>
  </si>
  <si>
    <t xml:space="preserve">Pull system</t>
  </si>
  <si>
    <t xml:space="preserve">Sistema pull / de arrastre</t>
  </si>
  <si>
    <t xml:space="preserve">Producing only what the next process has actually taken</t>
  </si>
  <si>
    <t xml:space="preserve">Push system</t>
  </si>
  <si>
    <t xml:space="preserve">Sistema push / de empuje</t>
  </si>
  <si>
    <t xml:space="preserve">Producing to a forecast and hoping the next process wants it</t>
  </si>
  <si>
    <t xml:space="preserve">Calidad</t>
  </si>
  <si>
    <t xml:space="preserve">In OEE, the share of units that pass first time with no rework</t>
  </si>
  <si>
    <t xml:space="preserve">R chart</t>
  </si>
  <si>
    <t xml:space="preserve">Gráfico R</t>
  </si>
  <si>
    <t xml:space="preserve">Control chart of the subgroup range; monitors within-subgroup variation</t>
  </si>
  <si>
    <t xml:space="preserve">RACI</t>
  </si>
  <si>
    <t xml:space="preserve">Responsible, Accountable, Consulted, Informed — one A per deliverable</t>
  </si>
  <si>
    <t xml:space="preserve">G-04 RACI Matrix</t>
  </si>
  <si>
    <t xml:space="preserve">Randomisation</t>
  </si>
  <si>
    <t xml:space="preserve">Aleatorización</t>
  </si>
  <si>
    <t xml:space="preserve">Running experimental trials in random order to protect against lurking variables</t>
  </si>
  <si>
    <t xml:space="preserve">Rango / Recorrido</t>
  </si>
  <si>
    <t xml:space="preserve">Maximum minus minimum; uses only two observations</t>
  </si>
  <si>
    <t xml:space="preserve">Rational subgroup</t>
  </si>
  <si>
    <t xml:space="preserve">Subgrupo racional</t>
  </si>
  <si>
    <t xml:space="preserve">A sample chosen so that only common cause varies within it</t>
  </si>
  <si>
    <t xml:space="preserve">E-05 Sampling Subgroups</t>
  </si>
  <si>
    <t xml:space="preserve">What to do to the process AND to the product when a control signals</t>
  </si>
  <si>
    <t xml:space="preserve">Regression</t>
  </si>
  <si>
    <t xml:space="preserve">Regresión</t>
  </si>
  <si>
    <t xml:space="preserve">Fits an equation predicting a response from one or more predictors</t>
  </si>
  <si>
    <t xml:space="preserve">E-36 Simple Regression</t>
  </si>
  <si>
    <t xml:space="preserve">Repeatability</t>
  </si>
  <si>
    <t xml:space="preserve">Repetibilidad</t>
  </si>
  <si>
    <t xml:space="preserve">Variation when the same operator measures the same part repeatedly</t>
  </si>
  <si>
    <t xml:space="preserve">Replication</t>
  </si>
  <si>
    <t xml:space="preserve">Replicación</t>
  </si>
  <si>
    <t xml:space="preserve">In DOE, repeating trials; in projects, copying a solution to another line</t>
  </si>
  <si>
    <t xml:space="preserve">Reproducibility</t>
  </si>
  <si>
    <t xml:space="preserve">Reproducibilidad</t>
  </si>
  <si>
    <t xml:space="preserve">Variation between different operators measuring the same part</t>
  </si>
  <si>
    <t xml:space="preserve">Residuo</t>
  </si>
  <si>
    <t xml:space="preserve">Observed value minus fitted value; the part the model does not explain</t>
  </si>
  <si>
    <t xml:space="preserve">E-37 Residual Analysis</t>
  </si>
  <si>
    <t xml:space="preserve">Resolution (DOE)</t>
  </si>
  <si>
    <t xml:space="preserve">Resolución</t>
  </si>
  <si>
    <t xml:space="preserve">How badly effects are confounded in a fractional factorial design</t>
  </si>
  <si>
    <t xml:space="preserve">Response surface</t>
  </si>
  <si>
    <t xml:space="preserve">Superficie de respuesta</t>
  </si>
  <si>
    <t xml:space="preserve">Designs that model curvature to find an optimum setting</t>
  </si>
  <si>
    <t xml:space="preserve">Rework</t>
  </si>
  <si>
    <t xml:space="preserve">Retrabajo</t>
  </si>
  <si>
    <t xml:space="preserve">Correcting a defect; never value-added, and part of the hidden factory</t>
  </si>
  <si>
    <t xml:space="preserve">Risk register</t>
  </si>
  <si>
    <t xml:space="preserve">Registro de riesgos</t>
  </si>
  <si>
    <t xml:space="preserve">Scored project risks with a response, an owner and a residual score</t>
  </si>
  <si>
    <t xml:space="preserve">G-07 Risk Register</t>
  </si>
  <si>
    <t xml:space="preserve">Root cause</t>
  </si>
  <si>
    <t xml:space="preserve">Causa raíz</t>
  </si>
  <si>
    <t xml:space="preserve">A cause whose removal prevents recurrence, and which you can act on</t>
  </si>
  <si>
    <t xml:space="preserve">NPR / Número de prioridad de riesgo</t>
  </si>
  <si>
    <t xml:space="preserve">Severity x Occurrence x Detection; superseded by Action Priority</t>
  </si>
  <si>
    <t xml:space="preserve">Run chart</t>
  </si>
  <si>
    <t xml:space="preserve">Gráfico de tendencia</t>
  </si>
  <si>
    <t xml:space="preserve">Data in time order with the median; detects shifts and trends</t>
  </si>
  <si>
    <t xml:space="preserve">H-08 Run Chart</t>
  </si>
  <si>
    <t xml:space="preserve">Sample</t>
  </si>
  <si>
    <t xml:space="preserve">Muestra</t>
  </si>
  <si>
    <t xml:space="preserve">A subset of the population, used to infer something about the whole</t>
  </si>
  <si>
    <t xml:space="preserve">E-02 Population vs Sample</t>
  </si>
  <si>
    <t xml:space="preserve">Sampling error</t>
  </si>
  <si>
    <t xml:space="preserve">Error de muestreo</t>
  </si>
  <si>
    <t xml:space="preserve">The difference between a sample statistic and the population parameter</t>
  </si>
  <si>
    <t xml:space="preserve">SCAMPER</t>
  </si>
  <si>
    <t xml:space="preserve">Prompt list: substitute, combine, adapt, modify, put to other use, eliminate, reverse</t>
  </si>
  <si>
    <t xml:space="preserve">Scatter plot</t>
  </si>
  <si>
    <t xml:space="preserve">Diagrama de dispersión</t>
  </si>
  <si>
    <t xml:space="preserve">Plots two variables against each other to reveal a relationship</t>
  </si>
  <si>
    <t xml:space="preserve">Screening design</t>
  </si>
  <si>
    <t xml:space="preserve">Diseño de cribado</t>
  </si>
  <si>
    <t xml:space="preserve">A small design used to find which of many factors matter at all</t>
  </si>
  <si>
    <t xml:space="preserve">Severity</t>
  </si>
  <si>
    <t xml:space="preserve">Severidad</t>
  </si>
  <si>
    <t xml:space="preserve">FMEA rating of the consequence of the failure; only design change reduces it</t>
  </si>
  <si>
    <t xml:space="preserve">Nivel sigma</t>
  </si>
  <si>
    <t xml:space="preserve">Capability expressed as a sigma value; state whether the 1.5 shift is included</t>
  </si>
  <si>
    <t xml:space="preserve">Suppliers, Inputs, Process, Outputs, Customers — a high-level scope map</t>
  </si>
  <si>
    <t xml:space="preserve">Six Sigma</t>
  </si>
  <si>
    <t xml:space="preserve">Seis Sigma</t>
  </si>
  <si>
    <t xml:space="preserve">Data-driven methodology for reducing variation and defects</t>
  </si>
  <si>
    <t xml:space="preserve">SMED / Cambio rápido</t>
  </si>
  <si>
    <t xml:space="preserve">Single Minute Exchange of Die: separate, convert and streamline changeover work</t>
  </si>
  <si>
    <t xml:space="preserve">Soft benefit</t>
  </si>
  <si>
    <t xml:space="preserve">Beneficio blando</t>
  </si>
  <si>
    <t xml:space="preserve">Spaghetti diagram</t>
  </si>
  <si>
    <t xml:space="preserve">Diagrama de espagueti</t>
  </si>
  <si>
    <t xml:space="preserve">Drawing of the path a person or material travels in an area</t>
  </si>
  <si>
    <t xml:space="preserve">L-05 Spaghetti Diagram</t>
  </si>
  <si>
    <t xml:space="preserve">SPC</t>
  </si>
  <si>
    <t xml:space="preserve">CEP / Control estadístico de procesos</t>
  </si>
  <si>
    <t xml:space="preserve">Using control charts to distinguish common from special cause over time</t>
  </si>
  <si>
    <t xml:space="preserve">Special cause</t>
  </si>
  <si>
    <t xml:space="preserve">Causa especial</t>
  </si>
  <si>
    <t xml:space="preserve">Variation from a specific identifiable source; the thing charts detect</t>
  </si>
  <si>
    <t xml:space="preserve">Specification limit</t>
  </si>
  <si>
    <t xml:space="preserve">Límite de especificación</t>
  </si>
  <si>
    <t xml:space="preserve">Voice of the customer; never computed from the process data</t>
  </si>
  <si>
    <t xml:space="preserve">Parte interesada</t>
  </si>
  <si>
    <t xml:space="preserve">Anyone who can affect the project or is affected by it</t>
  </si>
  <si>
    <t xml:space="preserve">G-03 Stakeholder Analysis</t>
  </si>
  <si>
    <t xml:space="preserve">Desviación estándar</t>
  </si>
  <si>
    <t xml:space="preserve">The typical distance of an observation from the mean</t>
  </si>
  <si>
    <t xml:space="preserve">Standard work</t>
  </si>
  <si>
    <t xml:space="preserve">Trabajo estandarizado</t>
  </si>
  <si>
    <t xml:space="preserve">The current best known method: takt, sequence and standard WIP</t>
  </si>
  <si>
    <t xml:space="preserve">L-14 Standard Work</t>
  </si>
  <si>
    <t xml:space="preserve">Statistical significance</t>
  </si>
  <si>
    <t xml:space="preserve">Significancia estadística</t>
  </si>
  <si>
    <t xml:space="preserve">The result is unlikely to be chance; says nothing about whether it matters</t>
  </si>
  <si>
    <t xml:space="preserve">E-21 Statistical vs Practical</t>
  </si>
  <si>
    <t xml:space="preserve">Estratificación</t>
  </si>
  <si>
    <t xml:space="preserve">Splitting data by a factor to see whether it is one population or several</t>
  </si>
  <si>
    <t xml:space="preserve">H-09 Stratification</t>
  </si>
  <si>
    <t xml:space="preserve">Supermarket</t>
  </si>
  <si>
    <t xml:space="preserve">Supermercado</t>
  </si>
  <si>
    <t xml:space="preserve">A controlled inventory buffer replenished by a pull signal</t>
  </si>
  <si>
    <t xml:space="preserve">Sustainment</t>
  </si>
  <si>
    <t xml:space="preserve">Sostenimiento</t>
  </si>
  <si>
    <t xml:space="preserve">Evidence at 30, 90 and 180 days that the gain is still there</t>
  </si>
  <si>
    <t xml:space="preserve">SWIP</t>
  </si>
  <si>
    <t xml:space="preserve">Inventario estándar en proceso</t>
  </si>
  <si>
    <t xml:space="preserve">The units that must be in the cell for the standard sequence to run</t>
  </si>
  <si>
    <t xml:space="preserve">t-distribution</t>
  </si>
  <si>
    <t xml:space="preserve">Distribución t</t>
  </si>
  <si>
    <t xml:space="preserve">Like the normal but with heavier tails; used when sigma is estimated</t>
  </si>
  <si>
    <t xml:space="preserve">Tiempo takt</t>
  </si>
  <si>
    <t xml:space="preserve">Available time divided by customer demand; the pace the process must hold</t>
  </si>
  <si>
    <t xml:space="preserve">OEE multiplied by the share of calendar time the equipment is scheduled</t>
  </si>
  <si>
    <t xml:space="preserve">Theory of Constraints</t>
  </si>
  <si>
    <t xml:space="preserve">Teoría de las restricciones</t>
  </si>
  <si>
    <t xml:space="preserve">A line runs at the pace of its slowest effective station</t>
  </si>
  <si>
    <t xml:space="preserve">Throughput</t>
  </si>
  <si>
    <t xml:space="preserve">Rendimiento / Caudal</t>
  </si>
  <si>
    <t xml:space="preserve">Units actually leaving the process per unit of time</t>
  </si>
  <si>
    <t xml:space="preserve">Tollgate</t>
  </si>
  <si>
    <t xml:space="preserve">Puerta de fase</t>
  </si>
  <si>
    <t xml:space="preserve">A formal review that must be passed before the next DMAIC phase begins</t>
  </si>
  <si>
    <t xml:space="preserve">N-07 Tollgates</t>
  </si>
  <si>
    <t xml:space="preserve">TPM</t>
  </si>
  <si>
    <t xml:space="preserve">TPM / Mantenimiento productivo total</t>
  </si>
  <si>
    <t xml:space="preserve">Equipment care as a system, with the operator as the first line</t>
  </si>
  <si>
    <t xml:space="preserve">Trend</t>
  </si>
  <si>
    <t xml:space="preserve">Tendencia</t>
  </si>
  <si>
    <t xml:space="preserve">Six or more consecutive points moving in the same direction</t>
  </si>
  <si>
    <t xml:space="preserve">Pairwise comparison after ANOVA, controlling the family-wise error rate</t>
  </si>
  <si>
    <t xml:space="preserve">Type I error</t>
  </si>
  <si>
    <t xml:space="preserve">Error tipo I</t>
  </si>
  <si>
    <t xml:space="preserve">Rejecting a true null hypothesis; a false alarm, controlled by alpha</t>
  </si>
  <si>
    <t xml:space="preserve">Type II error</t>
  </si>
  <si>
    <t xml:space="preserve">Error tipo II</t>
  </si>
  <si>
    <t xml:space="preserve">Failing to reject a false null hypothesis; a missed signal, controlled by beta</t>
  </si>
  <si>
    <t xml:space="preserve">Gráfico u</t>
  </si>
  <si>
    <t xml:space="preserve">Control chart for defects per unit with a varying area of opportunity</t>
  </si>
  <si>
    <t xml:space="preserve">Value added</t>
  </si>
  <si>
    <t xml:space="preserve">Valor añadido</t>
  </si>
  <si>
    <t xml:space="preserve">Work the customer would pay for, that changes the product, done right first time</t>
  </si>
  <si>
    <t xml:space="preserve">Value stream</t>
  </si>
  <si>
    <t xml:space="preserve">Cadena de valor</t>
  </si>
  <si>
    <t xml:space="preserve">All the steps, both value-added and not, that deliver a product family</t>
  </si>
  <si>
    <t xml:space="preserve">Value stream map</t>
  </si>
  <si>
    <t xml:space="preserve">Mapa de la cadena de valor</t>
  </si>
  <si>
    <t xml:space="preserve">Map of material and information flow with the time each consumes</t>
  </si>
  <si>
    <t xml:space="preserve">Variable data</t>
  </si>
  <si>
    <t xml:space="preserve">Datos por variables</t>
  </si>
  <si>
    <t xml:space="preserve">Continuous measured data; carries far more information per observation</t>
  </si>
  <si>
    <t xml:space="preserve">Varianza</t>
  </si>
  <si>
    <t xml:space="preserve">The square of the standard deviation; variances add, standard deviations do not</t>
  </si>
  <si>
    <t xml:space="preserve">Variation</t>
  </si>
  <si>
    <t xml:space="preserve">Variación</t>
  </si>
  <si>
    <t xml:space="preserve">The differences between things that should be the same; the enemy of quality</t>
  </si>
  <si>
    <t xml:space="preserve">FIV / Factor de inflación de la varianza</t>
  </si>
  <si>
    <t xml:space="preserve">Detects multicollinearity between predictors; above 5-10 is a problem</t>
  </si>
  <si>
    <t xml:space="preserve">E-38 Multiple Regression</t>
  </si>
  <si>
    <t xml:space="preserve">Visual management</t>
  </si>
  <si>
    <t xml:space="preserve">Gestión visual</t>
  </si>
  <si>
    <t xml:space="preserve">Making the state of the process obvious without asking anyone</t>
  </si>
  <si>
    <t xml:space="preserve">L-13 Visual Management</t>
  </si>
  <si>
    <t xml:space="preserve">VOC</t>
  </si>
  <si>
    <t xml:space="preserve">Voz del cliente</t>
  </si>
  <si>
    <t xml:space="preserve">What the customer actually says, before it is translated into a CTQ</t>
  </si>
  <si>
    <t xml:space="preserve">Voice of the process</t>
  </si>
  <si>
    <t xml:space="preserve">Voz del proceso</t>
  </si>
  <si>
    <t xml:space="preserve">What the control limits say the process can actually deliver</t>
  </si>
  <si>
    <t xml:space="preserve">Waste</t>
  </si>
  <si>
    <t xml:space="preserve">Desperdicio</t>
  </si>
  <si>
    <t xml:space="preserve">Any activity that consumes resource without adding value</t>
  </si>
  <si>
    <t xml:space="preserve">Welch's t-test</t>
  </si>
  <si>
    <t xml:space="preserve">Prueba t de Welch</t>
  </si>
  <si>
    <t xml:space="preserve">Two-sample t-test that does not assume equal variances; the modern default</t>
  </si>
  <si>
    <t xml:space="preserve">E-24 2-Sample t-Test</t>
  </si>
  <si>
    <t xml:space="preserve">Western Electric rules</t>
  </si>
  <si>
    <t xml:space="preserve">Reglas de Western Electric</t>
  </si>
  <si>
    <t xml:space="preserve">Pattern rules for detecting special cause beyond a single point outside limits</t>
  </si>
  <si>
    <t xml:space="preserve">E-56 WE and Nelson Rules</t>
  </si>
  <si>
    <t xml:space="preserve">WIP</t>
  </si>
  <si>
    <t xml:space="preserve">Inventario en proceso</t>
  </si>
  <si>
    <t xml:space="preserve">Work in process: everything between the start and end of the scope</t>
  </si>
  <si>
    <t xml:space="preserve">Xbar chart</t>
  </si>
  <si>
    <t xml:space="preserve">Gráfico X-barra</t>
  </si>
  <si>
    <t xml:space="preserve">Control chart of subgroup means; monitors the process centre</t>
  </si>
  <si>
    <t xml:space="preserve">Yamazumi</t>
  </si>
  <si>
    <t xml:space="preserve">Stacked bar chart of work content per station against takt</t>
  </si>
  <si>
    <t xml:space="preserve">Share of units that come out acceptable</t>
  </si>
  <si>
    <t xml:space="preserve">Z score</t>
  </si>
  <si>
    <t xml:space="preserve">Puntuación Z</t>
  </si>
  <si>
    <t xml:space="preserve">How many standard deviations an observation lies from the mean</t>
  </si>
  <si>
    <t xml:space="preserve">Total defect probability converted back into a single sigma value</t>
  </si>
  <si>
    <t xml:space="preserve">Zero defects</t>
  </si>
  <si>
    <t xml:space="preserve">Cero defectos</t>
  </si>
  <si>
    <t xml:space="preserve">A goal, not a statistical claim; used to set direction rather than a target</t>
  </si>
  <si>
    <t xml:space="preserve">Terms in the glossary</t>
  </si>
  <si>
    <t xml:space="preserve">Every term links to the sheet that applies it</t>
  </si>
  <si>
    <t xml:space="preserve">N-03  Master Index by DMAIC Phase</t>
  </si>
  <si>
    <t xml:space="preserve">N-04  Index by Type of Question</t>
  </si>
  <si>
    <t xml:space="preserve">U-06 — Universal Sample Size Calculator</t>
  </si>
  <si>
    <t xml:space="preserve">Phase: TRANSVERSAL   |   Alpha, power, the baseline standard deviation and the difference worth detecting   |   Sample size for six common situations, plus a power sanity check</t>
  </si>
  <si>
    <t xml:space="preserve">One sheet that answers 'how many do I need?' for the six situations that come up in a packaging project, driven by a single set of alpha and power inputs at the top.</t>
  </si>
  <si>
    <t xml:space="preserve">Three numbers decide every sample size: how much risk of a false alarm you accept (alpha), how much risk of missing a real difference you accept (beta, or its complement power), and how small a difference you need to be able to detect. The third is the one teams skip, and it is the one that does most of the work — halving the difference you want to detect quadruples the sample size.</t>
  </si>
  <si>
    <t xml:space="preserve">The last block runs the calculation backwards: given the sample you actually have, what is the smallest difference you could detect? That question is worth asking before collecting data, because an underpowered study produces 'not significant', which gets read as 'no difference', which kills a good change.</t>
  </si>
  <si>
    <t xml:space="preserve">Shared inputs — set these once, every calculator below uses them</t>
  </si>
  <si>
    <t xml:space="preserve">Alpha (significance level)</t>
  </si>
  <si>
    <t xml:space="preserve">Risk of a false alarm; 0.05 is the usual default</t>
  </si>
  <si>
    <t xml:space="preserve">Power (1 - beta)</t>
  </si>
  <si>
    <t xml:space="preserve">Chance of detecting a real difference; 0.80 or 0.90</t>
  </si>
  <si>
    <t xml:space="preserve">Z for alpha/2 (two-sided)</t>
  </si>
  <si>
    <t xml:space="preserve">1.96 at alpha = 0.05</t>
  </si>
  <si>
    <t xml:space="preserve">Z for alpha (one-sided)</t>
  </si>
  <si>
    <t xml:space="preserve">1.645 at alpha = 0.05</t>
  </si>
  <si>
    <t xml:space="preserve">1.282 at power = 0.90</t>
  </si>
  <si>
    <t xml:space="preserve">Case 1 — comparing two means (the most common case in a project)</t>
  </si>
  <si>
    <t xml:space="preserve">Standard deviation (from the baseline)</t>
  </si>
  <si>
    <t xml:space="preserve">Use the baseline SD, not a guess</t>
  </si>
  <si>
    <t xml:space="preserve">Smallest difference worth detecting</t>
  </si>
  <si>
    <t xml:space="preserve">Decide this BEFORE the study, from what would change a decision</t>
  </si>
  <si>
    <t xml:space="preserve">per group</t>
  </si>
  <si>
    <t xml:space="preserve">Total sample size</t>
  </si>
  <si>
    <t xml:space="preserve">total</t>
  </si>
  <si>
    <t xml:space="preserve">Effect size being detected (Cohen's d)</t>
  </si>
  <si>
    <t xml:space="preserve">Case 2 — one mean against a target</t>
  </si>
  <si>
    <t xml:space="preserve">Difference from the target worth detecting</t>
  </si>
  <si>
    <t xml:space="preserve">observations</t>
  </si>
  <si>
    <t xml:space="preserve">Half of the two-sample case, as you would expect</t>
  </si>
  <si>
    <t xml:space="preserve">Case 3 — estimating a mean to a stated margin of error</t>
  </si>
  <si>
    <t xml:space="preserve">Margin of error wanted</t>
  </si>
  <si>
    <t xml:space="preserve">Half-width of the confidence interval</t>
  </si>
  <si>
    <t xml:space="preserve">No power term: this is estimation, not a test</t>
  </si>
  <si>
    <t xml:space="preserve">Case 4 — estimating a proportion</t>
  </si>
  <si>
    <t xml:space="preserve">Expected proportion</t>
  </si>
  <si>
    <t xml:space="preserve">Use 0.5 if you have no idea — it maximises the sample size</t>
  </si>
  <si>
    <t xml:space="preserve">Absolute, not relative</t>
  </si>
  <si>
    <t xml:space="preserve">Check: n x p</t>
  </si>
  <si>
    <t xml:space="preserve">Should be at least 5 for the normal approximation</t>
  </si>
  <si>
    <t xml:space="preserve">Check: n x (1-p)</t>
  </si>
  <si>
    <t xml:space="preserve">Should be at least 5</t>
  </si>
  <si>
    <t xml:space="preserve">Approximation valid?</t>
  </si>
  <si>
    <t xml:space="preserve">Case 5 — comparing two proportions</t>
  </si>
  <si>
    <t xml:space="preserve">Proportion in group 1</t>
  </si>
  <si>
    <t xml:space="preserve">Baseline defect rate</t>
  </si>
  <si>
    <t xml:space="preserve">Proportion in group 2</t>
  </si>
  <si>
    <t xml:space="preserve">The rate you want to be able to detect</t>
  </si>
  <si>
    <t xml:space="preserve">Average proportion</t>
  </si>
  <si>
    <t xml:space="preserve">Case 6 — capability study and control chart start-up</t>
  </si>
  <si>
    <t xml:space="preserve">Recommended minimum</t>
  </si>
  <si>
    <t xml:space="preserve">Preferred</t>
  </si>
  <si>
    <t xml:space="preserve">Capability study (Cp, Cpk)</t>
  </si>
  <si>
    <t xml:space="preserve">30 individual readings</t>
  </si>
  <si>
    <t xml:space="preserve">50-100, across shifts and lots</t>
  </si>
  <si>
    <t xml:space="preserve">Fewer than 30 gives an unstable sigma estimate</t>
  </si>
  <si>
    <t xml:space="preserve">Control chart start-up (Xbar-R)</t>
  </si>
  <si>
    <t xml:space="preserve">20 subgroups</t>
  </si>
  <si>
    <t xml:space="preserve">25 subgroups</t>
  </si>
  <si>
    <t xml:space="preserve">Limits computed on fewer than 20 subgroups move as data arrives</t>
  </si>
  <si>
    <t xml:space="preserve">Control chart start-up (I-MR)</t>
  </si>
  <si>
    <t xml:space="preserve">20 individuals</t>
  </si>
  <si>
    <t xml:space="preserve">25-30</t>
  </si>
  <si>
    <t xml:space="preserve">Same reasoning, one point at a time</t>
  </si>
  <si>
    <t xml:space="preserve">Gage R&amp;R (crossed)</t>
  </si>
  <si>
    <t xml:space="preserve">10 x 3 x 3</t>
  </si>
  <si>
    <t xml:space="preserve">Parts must span the real range of the process</t>
  </si>
  <si>
    <t xml:space="preserve">Attribute agreement analysis</t>
  </si>
  <si>
    <t xml:space="preserve">30 parts x 3 appraisers x 2 trials</t>
  </si>
  <si>
    <t xml:space="preserve">50 parts</t>
  </si>
  <si>
    <t xml:space="preserve">Include borderline parts deliberately</t>
  </si>
  <si>
    <t xml:space="preserve">Process baseline</t>
  </si>
  <si>
    <t xml:space="preserve">One month, all shifts</t>
  </si>
  <si>
    <t xml:space="preserve">Three months</t>
  </si>
  <si>
    <t xml:space="preserve">Must cover the sources of variation you intend to stratify by</t>
  </si>
  <si>
    <t xml:space="preserve">Sanity check — what your current sample size can actually detect</t>
  </si>
  <si>
    <t xml:space="preserve">Sample size you actually have, per group</t>
  </si>
  <si>
    <t xml:space="preserve">Smallest difference this n can detect</t>
  </si>
  <si>
    <t xml:space="preserve">At the alpha and power set at the top</t>
  </si>
  <si>
    <t xml:space="preserve">As an effect size</t>
  </si>
  <si>
    <t xml:space="preserve">An underpowered study is worse than no study, because 'not significant' will be read as 'no difference' and a good change will be abandoned. Decide the sample size before collecting, not after looking at the result.</t>
  </si>
  <si>
    <t xml:space="preserve">E-19  Type I, Type II Error and Power</t>
  </si>
  <si>
    <t xml:space="preserve">U-07 — Example Data Bank (PET, Kegs, Lab, Safety)</t>
  </si>
  <si>
    <t xml:space="preserve">Phase: TRANSVERSAL   |   Six realistic datasets with known, deliberate features   |   Data to practise on, and to verify a chart or test you have built</t>
  </si>
  <si>
    <t xml:space="preserve">Six realistic datasets from the packaging environment, each with a known feature planted in it, so you can practise a technique and check that your implementation detects what it should.</t>
  </si>
  <si>
    <t xml:space="preserve">Dataset 1 has a genuine shift at subgroups 11 and 12; an Xbar-R chart built correctly will flag it.</t>
  </si>
  <si>
    <t xml:space="preserve">Dataset 2 differs between operators in both mean and variance, so it exercises the Welch t-test and the variance test together. Dataset 3 has a special cause on day 16 that a p chart should catch.</t>
  </si>
  <si>
    <t xml:space="preserve">Datasets 4, 5 and 6 support the before/after comparison, the regression and the Pareto respectively.</t>
  </si>
  <si>
    <t xml:space="preserve">Using data with a known answer is the only reliable way to test a calculation you have just built. A formula that runs without error and a formula that is correct are different things.</t>
  </si>
  <si>
    <t xml:space="preserve">Dataset 1 — Fill volume, 500 ml PET line, 25 subgroups of 5 (use with E-50, E-57)</t>
  </si>
  <si>
    <t xml:space="preserve">Average range</t>
  </si>
  <si>
    <t xml:space="preserve">Overall SD</t>
  </si>
  <si>
    <t xml:space="preserve">Subgroups 11 and 12 contain a deliberate shift — the charts on E-50 should flag it</t>
  </si>
  <si>
    <t xml:space="preserve">Dataset 2 — Cap application torque, Nm, two operators, 20 readings each (use with E-24, E-28)</t>
  </si>
  <si>
    <t xml:space="preserve">Operator A (Nm)</t>
  </si>
  <si>
    <t xml:space="preserve">Operator B (Nm)</t>
  </si>
  <si>
    <t xml:space="preserve">Operator A</t>
  </si>
  <si>
    <t xml:space="preserve">Operator B</t>
  </si>
  <si>
    <t xml:space="preserve">p-value, 2-sample t (unequal var)</t>
  </si>
  <si>
    <t xml:space="preserve">p-value, F test on variances</t>
  </si>
  <si>
    <t xml:space="preserve">See E-28</t>
  </si>
  <si>
    <t xml:space="preserve">Dataset 3 — Attribute data: FBI rejects by shift over 20 days (use with E-52, H-06, H-09)</t>
  </si>
  <si>
    <t xml:space="preserve">Bottles inspected</t>
  </si>
  <si>
    <t xml:space="preserve">Rejects</t>
  </si>
  <si>
    <t xml:space="preserve">Proportion defective</t>
  </si>
  <si>
    <t xml:space="preserve">Total inspected</t>
  </si>
  <si>
    <t xml:space="preserve">Total rejects</t>
  </si>
  <si>
    <t xml:space="preserve">Overall p-bar</t>
  </si>
  <si>
    <t xml:space="preserve">Centre line of a p chart</t>
  </si>
  <si>
    <t xml:space="preserve">Average sample size</t>
  </si>
  <si>
    <t xml:space="preserve">Sample size varies, so p chart limits vary too</t>
  </si>
  <si>
    <t xml:space="preserve">UCL at the average n</t>
  </si>
  <si>
    <t xml:space="preserve">See E-52</t>
  </si>
  <si>
    <t xml:space="preserve">LCL at the average n</t>
  </si>
  <si>
    <t xml:space="preserve">Days above the UCL</t>
  </si>
  <si>
    <t xml:space="preserve">Day 16 is a deliberate special cause</t>
  </si>
  <si>
    <t xml:space="preserve">Dataset 4 — Changeover times before and after SMED, minutes (use with H-08, L-26)</t>
  </si>
  <si>
    <t xml:space="preserve">Before SMED (min)</t>
  </si>
  <si>
    <t xml:space="preserve">After SMED (min)</t>
  </si>
  <si>
    <t xml:space="preserve">p-value, Welch t-test</t>
  </si>
  <si>
    <t xml:space="preserve">Should be vanishingly small</t>
  </si>
  <si>
    <t xml:space="preserve">Dataset 5 — Preform weight against bottle wall thickness (use with E-34, E-36)</t>
  </si>
  <si>
    <t xml:space="preserve">Preform weight (g)</t>
  </si>
  <si>
    <t xml:space="preserve">Correlation r</t>
  </si>
  <si>
    <t xml:space="preserve">See E-34</t>
  </si>
  <si>
    <t xml:space="preserve">Share of variation explained</t>
  </si>
  <si>
    <t xml:space="preserve">mm of wall per gram of preform</t>
  </si>
  <si>
    <t xml:space="preserve">Typical prediction error</t>
  </si>
  <si>
    <t xml:space="preserve">Dataset 6 — Safety observations by category, 12 months (use with H-06)</t>
  </si>
  <si>
    <t xml:space="preserve">Safety observation category</t>
  </si>
  <si>
    <t xml:space="preserve">Slips, trips and falls</t>
  </si>
  <si>
    <t xml:space="preserve">Manual handling</t>
  </si>
  <si>
    <t xml:space="preserve">Cuts from broken glass or PET</t>
  </si>
  <si>
    <t xml:space="preserve">Struck by moving equipment</t>
  </si>
  <si>
    <t xml:space="preserve">Caught in machinery</t>
  </si>
  <si>
    <t xml:space="preserve">Chemical contact (CIP)</t>
  </si>
  <si>
    <t xml:space="preserve">Noise exposure</t>
  </si>
  <si>
    <t xml:space="preserve">Hot surface contact</t>
  </si>
  <si>
    <t xml:space="preserve">These datasets are deliberately imperfect. Dataset 1 contains a shift at subgroups 11 and 12; dataset 3 contains a special cause on day 16; dataset 2 has both a mean difference and a variance difference between operators. Use them to check that a chart or a test you have built actually detects what it is supposed to detect.</t>
  </si>
  <si>
    <t xml:space="preserve">U-08 — Exam Questions: Foundations and Distributions</t>
  </si>
  <si>
    <t xml:space="preserve">Phase: TRANSVERSAL   |   40 multiple-choice questions with four options each   |   Self-scoring against a hidden answer key</t>
  </si>
  <si>
    <t xml:space="preserve">Forty exam-style questions on data types, sampling, distributions, estimation, error types and measurement system analysis — the foundations that everything later depends on.</t>
  </si>
  <si>
    <t xml:space="preserve">Each question names the sheet that covers the topic, so a wrong answer converts directly into a page to read rather than a vague sense of weakness.</t>
  </si>
  <si>
    <t xml:space="preserve">The pass standard used here is 80%, which is broadly consistent with the ASQ and IASSC Black Belt examinations. Below 70% on this bank, work the foundation sheets before attempting U-09.</t>
  </si>
  <si>
    <t xml:space="preserve">Foundations, data types, distributions, sampling and MSA</t>
  </si>
  <si>
    <t xml:space="preserve">Type A, B, C or D in the yellow column. The answer key is in column N and the explanation in column O, both written in white font on a white background — the columns are NOT hidden, so selecting a cell or widening the column reveals the text. Score yourself in the block below.</t>
  </si>
  <si>
    <t xml:space="preserve">Your answer</t>
  </si>
  <si>
    <t xml:space="preserve">Topic sheet</t>
  </si>
  <si>
    <t xml:space="preserve">WHY  →  select the cell to read the white text</t>
  </si>
  <si>
    <t xml:space="preserve">A bottle either passes or fails the fill-level check. What kind of data is that?</t>
  </si>
  <si>
    <t xml:space="preserve">Pass/fail is counted, not measured, so it is attribute data and carries far less information per unit than the actual fill volume.</t>
  </si>
  <si>
    <t xml:space="preserve">Which data type gives you the most information per observation, for the same effort?</t>
  </si>
  <si>
    <t xml:space="preserve">A measurement tells you how far from target you are; a pass/fail only tells you which side of a line you fell.</t>
  </si>
  <si>
    <t xml:space="preserve">Fill volume in millilitres is measured on which scale?</t>
  </si>
  <si>
    <t xml:space="preserve">It has a true zero and equal intervals, so ratios are meaningful — 400 ml really is twice 200 ml.</t>
  </si>
  <si>
    <t xml:space="preserve">A parameter describes a population. What describes a sample?</t>
  </si>
  <si>
    <t xml:space="preserve">A constant</t>
  </si>
  <si>
    <t xml:space="preserve">A variable</t>
  </si>
  <si>
    <t xml:space="preserve">A parameter</t>
  </si>
  <si>
    <t xml:space="preserve">A statistic</t>
  </si>
  <si>
    <t xml:space="preserve">Statistics are computed from samples and estimate parameters; the whole of inference is about that gap.</t>
  </si>
  <si>
    <t xml:space="preserve">Sampling error is best described as:</t>
  </si>
  <si>
    <t xml:space="preserve">Bias in the measurement gauge</t>
  </si>
  <si>
    <t xml:space="preserve">The variation between operators</t>
  </si>
  <si>
    <t xml:space="preserve">A mistake made while sampling</t>
  </si>
  <si>
    <t xml:space="preserve">Sampling error is not a mistake — it is the natural difference that arises because you measured part of the population, not all of it.</t>
  </si>
  <si>
    <t xml:space="preserve">Which measure of centre is least affected by an outlier?</t>
  </si>
  <si>
    <t xml:space="preserve">The median depends only on the middle position, so a single extreme value moves it very little.</t>
  </si>
  <si>
    <t xml:space="preserve">Why does the sample variance divide by n - 1 rather than n?</t>
  </si>
  <si>
    <t xml:space="preserve">To correct for outliers</t>
  </si>
  <si>
    <t xml:space="preserve">To make the number larger</t>
  </si>
  <si>
    <t xml:space="preserve">Because one degree of freedom is used estimating the mean</t>
  </si>
  <si>
    <t xml:space="preserve">Convention only</t>
  </si>
  <si>
    <t xml:space="preserve">The deviations are taken from the sample mean, which was itself estimated from the data, so only n-1 of them are free.</t>
  </si>
  <si>
    <t xml:space="preserve">A distribution has a long right tail. Its skewness is:</t>
  </si>
  <si>
    <t xml:space="preserve">Undefined</t>
  </si>
  <si>
    <t xml:space="preserve">Negative</t>
  </si>
  <si>
    <t xml:space="preserve">E-04 Skewness Kurtosis</t>
  </si>
  <si>
    <t xml:space="preserve">Skewness takes the sign of the longer tail; a right tail gives positive skew, and the mean sits above the median.</t>
  </si>
  <si>
    <t xml:space="preserve">In a right-skewed distribution, which is usually true?</t>
  </si>
  <si>
    <t xml:space="preserve">Mean &gt; median</t>
  </si>
  <si>
    <t xml:space="preserve">Median &gt; mode &gt; mean</t>
  </si>
  <si>
    <t xml:space="preserve">Mean &lt; median</t>
  </si>
  <si>
    <t xml:space="preserve">Mean = median</t>
  </si>
  <si>
    <t xml:space="preserve">The long right tail pulls the mean upwards while the median stays near the bulk of the data.</t>
  </si>
  <si>
    <t xml:space="preserve">What is the purpose of rational subgrouping?</t>
  </si>
  <si>
    <t xml:space="preserve">To make subgroups as large as possible</t>
  </si>
  <si>
    <t xml:space="preserve">To ensure only common cause varies WITHIN a subgroup</t>
  </si>
  <si>
    <t xml:space="preserve">To reduce the number of samples</t>
  </si>
  <si>
    <t xml:space="preserve">To make the data normal</t>
  </si>
  <si>
    <t xml:space="preserve">Subgroups are chosen so that special causes appear BETWEEN subgroups, which is exactly what the chart is designed to detect.</t>
  </si>
  <si>
    <t xml:space="preserve">You sample five consecutive bottles from one filling valve every hour. What have you built into the subgroup?</t>
  </si>
  <si>
    <t xml:space="preserve">Shift variation</t>
  </si>
  <si>
    <t xml:space="preserve">All sources of variation</t>
  </si>
  <si>
    <t xml:space="preserve">Only that valve's variation, excluding valve-to-valve</t>
  </si>
  <si>
    <t xml:space="preserve">Operator variation</t>
  </si>
  <si>
    <t xml:space="preserve">Consecutive bottles from one valve capture only that valve's short-term variation, so valve-to-valve differences will appear as between-subgroup signal.</t>
  </si>
  <si>
    <t xml:space="preserve">An operational definition exists to:</t>
  </si>
  <si>
    <t xml:space="preserve">Define the specification</t>
  </si>
  <si>
    <t xml:space="preserve">Set the sample size</t>
  </si>
  <si>
    <t xml:space="preserve">Satisfy the auditor</t>
  </si>
  <si>
    <t xml:space="preserve">Make two people classify the same item identically</t>
  </si>
  <si>
    <t xml:space="preserve">If two trained people can classify the same 20 items differently, the data records the disagreement rather than the process.</t>
  </si>
  <si>
    <t xml:space="preserve">About what percentage of a normal distribution lies within plus or minus two standard deviations?</t>
  </si>
  <si>
    <t xml:space="preserve">99.7%</t>
  </si>
  <si>
    <t xml:space="preserve">99.99%</t>
  </si>
  <si>
    <t xml:space="preserve">68%</t>
  </si>
  <si>
    <t xml:space="preserve">The classic 68-95-99.7 rule: one sigma 68%, two sigma 95%, three sigma 99.7%.</t>
  </si>
  <si>
    <t xml:space="preserve">A Z score of -1.5 means the observation is:</t>
  </si>
  <si>
    <t xml:space="preserve">1.5 units below the mean</t>
  </si>
  <si>
    <t xml:space="preserve">1.5 standard deviations below the mean</t>
  </si>
  <si>
    <t xml:space="preserve">15% below the mean</t>
  </si>
  <si>
    <t xml:space="preserve">Below the lower specification limit</t>
  </si>
  <si>
    <t xml:space="preserve">Z is measured in standard deviations, which is what makes it comparable across different characteristics and units.</t>
  </si>
  <si>
    <t xml:space="preserve">The Central Limit Theorem says that as sample size increases:</t>
  </si>
  <si>
    <t xml:space="preserve">Outliers disappear</t>
  </si>
  <si>
    <t xml:space="preserve">The data becomes normal</t>
  </si>
  <si>
    <t xml:space="preserve">The distribution of SAMPLE MEANS approaches normal</t>
  </si>
  <si>
    <t xml:space="preserve">The standard deviation shrinks to zero</t>
  </si>
  <si>
    <t xml:space="preserve">The raw data keeps whatever shape it has; it is the sampling distribution of the mean that becomes normal.</t>
  </si>
  <si>
    <t xml:space="preserve">If sigma is 6 and n is 9, what is the standard error of the mean?</t>
  </si>
  <si>
    <t xml:space="preserve">0.67</t>
  </si>
  <si>
    <t xml:space="preserve">E-14 Standard Error</t>
  </si>
  <si>
    <t xml:space="preserve">SE = sigma / SQRT(n) = 6 / 3 = 2. Quadrupling n halves the standard error.</t>
  </si>
  <si>
    <t xml:space="preserve">To halve the standard error of the mean you must:</t>
  </si>
  <si>
    <t xml:space="preserve">Quadruple the sample size</t>
  </si>
  <si>
    <t xml:space="preserve">Halve the standard deviation</t>
  </si>
  <si>
    <t xml:space="preserve">Halve the sample size</t>
  </si>
  <si>
    <t xml:space="preserve">Double the sample size</t>
  </si>
  <si>
    <t xml:space="preserve">SE depends on the square root of n, so a factor of two in SE costs a factor of four in sample size.</t>
  </si>
  <si>
    <t xml:space="preserve">The t distribution differs from the normal distribution mainly because it:</t>
  </si>
  <si>
    <t xml:space="preserve">Is skewed</t>
  </si>
  <si>
    <t xml:space="preserve">Has heavier tails</t>
  </si>
  <si>
    <t xml:space="preserve">Has a different mean</t>
  </si>
  <si>
    <t xml:space="preserve">Cannot be negative</t>
  </si>
  <si>
    <t xml:space="preserve">The heavier tails account for the extra uncertainty from estimating sigma from the sample rather than knowing it.</t>
  </si>
  <si>
    <t xml:space="preserve">As degrees of freedom increase, the t distribution:</t>
  </si>
  <si>
    <t xml:space="preserve">Widens</t>
  </si>
  <si>
    <t xml:space="preserve">Becomes more skewed</t>
  </si>
  <si>
    <t xml:space="preserve">Approaches the standard normal</t>
  </si>
  <si>
    <t xml:space="preserve">Becomes uniform</t>
  </si>
  <si>
    <t xml:space="preserve">By about 30 degrees of freedom the two are practically indistinguishable for most purposes.</t>
  </si>
  <si>
    <t xml:space="preserve">Which distribution models the number of DEFECTIVE UNITS in a fixed sample?</t>
  </si>
  <si>
    <t xml:space="preserve">Exponential</t>
  </si>
  <si>
    <t xml:space="preserve">Poisson</t>
  </si>
  <si>
    <t xml:space="preserve">Binomial</t>
  </si>
  <si>
    <t xml:space="preserve">Binomial counts units that either pass or fail in n independent trials with constant probability.</t>
  </si>
  <si>
    <t xml:space="preserve">Which distribution models the number of DEFECTS per unit?</t>
  </si>
  <si>
    <t xml:space="preserve">Poisson counts events in an area of opportunity, and a single unit can carry several defects.</t>
  </si>
  <si>
    <t xml:space="preserve">For a Poisson distribution, the variance is:</t>
  </si>
  <si>
    <t xml:space="preserve">Independent of the mean</t>
  </si>
  <si>
    <t xml:space="preserve">Equal to the mean</t>
  </si>
  <si>
    <t xml:space="preserve">The square of the mean</t>
  </si>
  <si>
    <t xml:space="preserve">Always 1</t>
  </si>
  <si>
    <t xml:space="preserve">Mean and variance are both lambda, which is why overdispersion is a signal that the Poisson assumption has failed.</t>
  </si>
  <si>
    <t xml:space="preserve">Which distribution is most commonly used to model time to failure?</t>
  </si>
  <si>
    <t xml:space="preserve">Hypergeometric</t>
  </si>
  <si>
    <t xml:space="preserve">Uniform</t>
  </si>
  <si>
    <t xml:space="preserve">E-12 Weibull Expon Lognorm</t>
  </si>
  <si>
    <t xml:space="preserve">Weibull's shape parameter lets it represent infant mortality, random failure and wear-out with one family.</t>
  </si>
  <si>
    <t xml:space="preserve">A 95% confidence interval for the mean means:</t>
  </si>
  <si>
    <t xml:space="preserve">There is a 95% chance the mean is inside this one</t>
  </si>
  <si>
    <t xml:space="preserve">The process is 95% capable</t>
  </si>
  <si>
    <t xml:space="preserve">95% of the data lies inside it</t>
  </si>
  <si>
    <t xml:space="preserve">95% of intervals built this way would contain the true mean</t>
  </si>
  <si>
    <t xml:space="preserve">The confidence is a property of the procedure across repeated sampling, not a probability about this particular interval.</t>
  </si>
  <si>
    <t xml:space="preserve">Which makes a confidence interval narrower?</t>
  </si>
  <si>
    <t xml:space="preserve">A larger sample</t>
  </si>
  <si>
    <t xml:space="preserve">More variation</t>
  </si>
  <si>
    <t xml:space="preserve">A smaller sample</t>
  </si>
  <si>
    <t xml:space="preserve">A higher confidence level</t>
  </si>
  <si>
    <t xml:space="preserve">The interval width scales with sigma/SQRT(n), so more data narrows it; higher confidence widens it.</t>
  </si>
  <si>
    <t xml:space="preserve">The confidence interval for a standard deviation is asymmetric because:</t>
  </si>
  <si>
    <t xml:space="preserve">The data is skewed</t>
  </si>
  <si>
    <t xml:space="preserve">The chi-square distribution is asymmetric</t>
  </si>
  <si>
    <t xml:space="preserve">The sample is small</t>
  </si>
  <si>
    <t xml:space="preserve">Of a rounding convention</t>
  </si>
  <si>
    <t xml:space="preserve">E-16 CI Proportion StdDev</t>
  </si>
  <si>
    <t xml:space="preserve">It is built from chi-square, which is itself asymmetric, so the interval is not centred on s.</t>
  </si>
  <si>
    <t xml:space="preserve">Alpha risk is the probability of:</t>
  </si>
  <si>
    <t xml:space="preserve">Measurement error</t>
  </si>
  <si>
    <t xml:space="preserve">Missing a real difference</t>
  </si>
  <si>
    <t xml:space="preserve">Rejecting a true null hypothesis</t>
  </si>
  <si>
    <t xml:space="preserve">Choosing the wrong test</t>
  </si>
  <si>
    <t xml:space="preserve">Alpha is the false alarm rate, and it is the risk you set deliberately before running the test.</t>
  </si>
  <si>
    <t xml:space="preserve">Statistical power is:</t>
  </si>
  <si>
    <t xml:space="preserve">The p-value</t>
  </si>
  <si>
    <t xml:space="preserve">The sample size</t>
  </si>
  <si>
    <t xml:space="preserve">1 - alpha</t>
  </si>
  <si>
    <t xml:space="preserve">1 - beta</t>
  </si>
  <si>
    <t xml:space="preserve">Power is the probability of detecting a difference that really exists, and it is driven by n, the effect size and alpha.</t>
  </si>
  <si>
    <t xml:space="preserve">The p-value is the probability that:</t>
  </si>
  <si>
    <t xml:space="preserve">The data is at least this extreme IF the null were true</t>
  </si>
  <si>
    <t xml:space="preserve">The alternative hypothesis is true</t>
  </si>
  <si>
    <t xml:space="preserve">You made a Type I error</t>
  </si>
  <si>
    <t xml:space="preserve">The null hypothesis is true</t>
  </si>
  <si>
    <t xml:space="preserve">It is a statement about the data given the hypothesis, never about the hypothesis given the data.</t>
  </si>
  <si>
    <t xml:space="preserve">A p-value of 0.03 with alpha at 0.05 means:</t>
  </si>
  <si>
    <t xml:space="preserve">The effect is large</t>
  </si>
  <si>
    <t xml:space="preserve">Reject the null hypothesis</t>
  </si>
  <si>
    <t xml:space="preserve">Accept the null hypothesis</t>
  </si>
  <si>
    <t xml:space="preserve">The test is invalid</t>
  </si>
  <si>
    <t xml:space="preserve">It says the result is unlikely under the null. It says nothing at all about whether the difference matters.</t>
  </si>
  <si>
    <t xml:space="preserve">A result is statistically significant but the difference is 0.2 ml on a 500 ml fill. This is an example of:</t>
  </si>
  <si>
    <t xml:space="preserve">Measurement bias</t>
  </si>
  <si>
    <t xml:space="preserve">A Type I error</t>
  </si>
  <si>
    <t xml:space="preserve">A statistically significant but practically meaningless result</t>
  </si>
  <si>
    <t xml:space="preserve">Low power</t>
  </si>
  <si>
    <t xml:space="preserve">Large samples make tiny differences significant. Always report the effect size alongside the p-value.</t>
  </si>
  <si>
    <t xml:space="preserve">Increasing the sample size in a hypothesis test:</t>
  </si>
  <si>
    <t xml:space="preserve">Reduces the effect size</t>
  </si>
  <si>
    <t xml:space="preserve">Has no effect</t>
  </si>
  <si>
    <t xml:space="preserve">Increases alpha</t>
  </si>
  <si>
    <t xml:space="preserve">Increases power</t>
  </si>
  <si>
    <t xml:space="preserve">E-20 Sample Size</t>
  </si>
  <si>
    <t xml:space="preserve">More data reduces the standard error, so smaller real differences become detectable.</t>
  </si>
  <si>
    <t xml:space="preserve">If you halve the difference you want to detect, the required sample size:</t>
  </si>
  <si>
    <t xml:space="preserve">Quadruples</t>
  </si>
  <si>
    <t xml:space="preserve">Halves</t>
  </si>
  <si>
    <t xml:space="preserve">Stays the same</t>
  </si>
  <si>
    <t xml:space="preserve">Doubles</t>
  </si>
  <si>
    <t xml:space="preserve">Sample size scales with 1/delta squared, which is why deciding the meaningful difference early matters so much.</t>
  </si>
  <si>
    <t xml:space="preserve">Repeatability in a Gage R&amp;R refers to variation:</t>
  </si>
  <si>
    <t xml:space="preserve">Between operators</t>
  </si>
  <si>
    <t xml:space="preserve">Within one operator measuring the same part repeatedly</t>
  </si>
  <si>
    <t xml:space="preserve">Between parts</t>
  </si>
  <si>
    <t xml:space="preserve">Between shifts</t>
  </si>
  <si>
    <t xml:space="preserve">Repeatability is equipment variation — the same person, the same part, the same gauge.</t>
  </si>
  <si>
    <t xml:space="preserve">Reproducibility refers to variation:</t>
  </si>
  <si>
    <t xml:space="preserve">Over time</t>
  </si>
  <si>
    <t xml:space="preserve">Within one operator</t>
  </si>
  <si>
    <t xml:space="preserve">Between different operators measuring the same part</t>
  </si>
  <si>
    <t xml:space="preserve">Reproducibility is appraiser variation, and it usually points at method or training rather than at the gauge.</t>
  </si>
  <si>
    <t xml:space="preserve">A Gage R&amp;R gives %GRR of 24% of tolerance. The usual verdict is:</t>
  </si>
  <si>
    <t xml:space="preserve">Unacceptable</t>
  </si>
  <si>
    <t xml:space="preserve">Cannot be judged</t>
  </si>
  <si>
    <t xml:space="preserve">Marginal — may be acceptable depending on the application and cost</t>
  </si>
  <si>
    <t xml:space="preserve">AIAG guidance: under 10% acceptable, 10-30% conditionally acceptable, above 30% unacceptable.</t>
  </si>
  <si>
    <t xml:space="preserve">The number of distinct categories (ndc) should be at least:</t>
  </si>
  <si>
    <t xml:space="preserve">Below 5 the gauge cannot reliably distinguish parts, and it will be unable to support a capability study.</t>
  </si>
  <si>
    <t xml:space="preserve">Bias in a measurement system is:</t>
  </si>
  <si>
    <t xml:space="preserve">Random scatter</t>
  </si>
  <si>
    <t xml:space="preserve">A systematic difference between the average measurement and the true value</t>
  </si>
  <si>
    <t xml:space="preserve">Operator disagreement</t>
  </si>
  <si>
    <t xml:space="preserve">Drift over time</t>
  </si>
  <si>
    <t xml:space="preserve">Bias shifts every reading in the same direction, so it cannot be reduced by averaging more measurements.</t>
  </si>
  <si>
    <t xml:space="preserve">Linearity in MSA describes:</t>
  </si>
  <si>
    <t xml:space="preserve">The correlation coefficient</t>
  </si>
  <si>
    <t xml:space="preserve">Whether the response is a straight line</t>
  </si>
  <si>
    <t xml:space="preserve">Whether bias stays constant across the measurement range</t>
  </si>
  <si>
    <t xml:space="preserve">Whether the data is normal</t>
  </si>
  <si>
    <t xml:space="preserve">A gauge can be accurate at 500 ml and biased at 1500 ml; linearity is the test for exactly that.</t>
  </si>
  <si>
    <t xml:space="preserve">Cohen's Kappa is used to assess:</t>
  </si>
  <si>
    <t xml:space="preserve">Process capability</t>
  </si>
  <si>
    <t xml:space="preserve">Correlation between two variables</t>
  </si>
  <si>
    <t xml:space="preserve">Continuous measurement precision</t>
  </si>
  <si>
    <t xml:space="preserve">Agreement between appraisers beyond chance</t>
  </si>
  <si>
    <t xml:space="preserve">Kappa corrects raw agreement for the agreement you would expect from guessing; above about 0.75 is usually considered good.</t>
  </si>
  <si>
    <t xml:space="preserve">Score yourself — type your answers in the yellow column, then reveal column N</t>
  </si>
  <si>
    <t xml:space="preserve">Questions in this bank</t>
  </si>
  <si>
    <t xml:space="preserve">Questions you have answered</t>
  </si>
  <si>
    <t xml:space="preserve">Yellow column</t>
  </si>
  <si>
    <t xml:space="preserve">Correct</t>
  </si>
  <si>
    <t xml:space="preserve">Compares your answer with the hidden key</t>
  </si>
  <si>
    <t xml:space="preserve">Of the questions you attempted</t>
  </si>
  <si>
    <t xml:space="preserve">Answer key distribution A</t>
  </si>
  <si>
    <t xml:space="preserve">The key is spread evenly on purpose</t>
  </si>
  <si>
    <t xml:space="preserve">Answer key distribution B</t>
  </si>
  <si>
    <t xml:space="preserve">Answer key distribution C</t>
  </si>
  <si>
    <t xml:space="preserve">Answer key distribution D</t>
  </si>
  <si>
    <t xml:space="preserve">U-09  Exam Bank: Inference</t>
  </si>
  <si>
    <t xml:space="preserve">U-09 — Exam Questions: Inference and Hypothesis Testing</t>
  </si>
  <si>
    <t xml:space="preserve">Forty questions on hypothesis testing, confidence intervals, ANOVA, nonparametric alternatives, correlation and regression — the analytical core of the Black Belt body of knowledge.</t>
  </si>
  <si>
    <t xml:space="preserve">This is the bank where most candidates lose marks, and almost always on the same three things: what a p-value actually means, why you never accept the null hypothesis, and which test belongs to which combination of data types. The test selector on N-05 is worth memorising.</t>
  </si>
  <si>
    <t xml:space="preserve">Inference, hypothesis testing, ANOVA and regression</t>
  </si>
  <si>
    <t xml:space="preserve">The null hypothesis in a 1-sample t-test against a target of 500 ml is:</t>
  </si>
  <si>
    <t xml:space="preserve">The mean equals 500</t>
  </si>
  <si>
    <t xml:space="preserve">The data is normal</t>
  </si>
  <si>
    <t xml:space="preserve">The variance is zero</t>
  </si>
  <si>
    <t xml:space="preserve">The mean is not 500</t>
  </si>
  <si>
    <t xml:space="preserve">E-23 1-Sample t-Test</t>
  </si>
  <si>
    <t xml:space="preserve">The null always states no difference or no effect; the test asks whether the data contradicts it.</t>
  </si>
  <si>
    <t xml:space="preserve">You never 'accept' the null hypothesis because:</t>
  </si>
  <si>
    <t xml:space="preserve">It is always false</t>
  </si>
  <si>
    <t xml:space="preserve">Failing to reject is not the same as proving it true</t>
  </si>
  <si>
    <t xml:space="preserve">Alpha is never zero</t>
  </si>
  <si>
    <t xml:space="preserve">The sample is always biased</t>
  </si>
  <si>
    <t xml:space="preserve">Absence of evidence is not evidence of absence — with a small sample you may simply lack the power to detect a real difference.</t>
  </si>
  <si>
    <t xml:space="preserve">Which test compares one sample mean against a known target?</t>
  </si>
  <si>
    <t xml:space="preserve">2-sample t-test</t>
  </si>
  <si>
    <t xml:space="preserve">1-sample t-test</t>
  </si>
  <si>
    <t xml:space="preserve">One group, one target, continuous data, sigma estimated from the sample.</t>
  </si>
  <si>
    <t xml:space="preserve">Which test compares the means of two independent groups?</t>
  </si>
  <si>
    <t xml:space="preserve">Two independent groups of continuous data; use the Welch version by default.</t>
  </si>
  <si>
    <t xml:space="preserve">Why is Welch's t-test the modern default over the pooled version?</t>
  </si>
  <si>
    <t xml:space="preserve">It does not assume equal variances and loses almost nothing when they are equal</t>
  </si>
  <si>
    <t xml:space="preserve">It has more power always</t>
  </si>
  <si>
    <t xml:space="preserve">It works on attribute data</t>
  </si>
  <si>
    <t xml:space="preserve">It is simpler</t>
  </si>
  <si>
    <t xml:space="preserve">Testing for equal variances first and then choosing inflates the error rate; Welch avoids the choice entirely.</t>
  </si>
  <si>
    <t xml:space="preserve">Welch's degrees of freedom are usually non-integer because:</t>
  </si>
  <si>
    <t xml:space="preserve">Of a rounding error</t>
  </si>
  <si>
    <t xml:space="preserve">The Satterthwaite approximation produces a fractional value</t>
  </si>
  <si>
    <t xml:space="preserve">The sample sizes differ</t>
  </si>
  <si>
    <t xml:space="preserve">Satterthwaite combines two variance estimates, and the resulting effective degrees of freedom is rarely a whole number.</t>
  </si>
  <si>
    <t xml:space="preserve">Measuring the same 20 bottles before and after a filler adjustment calls for:</t>
  </si>
  <si>
    <t xml:space="preserve">The observations are naturally paired, so testing the differences removes the bottle-to-bottle variation entirely.</t>
  </si>
  <si>
    <t xml:space="preserve">The main advantage of a paired design is:</t>
  </si>
  <si>
    <t xml:space="preserve">It works with attribute data</t>
  </si>
  <si>
    <t xml:space="preserve">It avoids the normality assumption</t>
  </si>
  <si>
    <t xml:space="preserve">It needs fewer assumptions</t>
  </si>
  <si>
    <t xml:space="preserve">It removes the between-unit variation from the comparison</t>
  </si>
  <si>
    <t xml:space="preserve">By analysing differences within pairs, the between-unit variability cancels and the test gains power.</t>
  </si>
  <si>
    <t xml:space="preserve">ANOVA compares three or more means by comparing:</t>
  </si>
  <si>
    <t xml:space="preserve">Between-group variation with within-group variation</t>
  </si>
  <si>
    <t xml:space="preserve">Medians</t>
  </si>
  <si>
    <t xml:space="preserve">Ranges</t>
  </si>
  <si>
    <t xml:space="preserve">Each pair in turn</t>
  </si>
  <si>
    <t xml:space="preserve">The F statistic is the ratio of the two, which is the same intuition as the stratification ratio on H-09.</t>
  </si>
  <si>
    <t xml:space="preserve">Why not just run three t-tests instead of one ANOVA on three groups?</t>
  </si>
  <si>
    <t xml:space="preserve">t-tests are less accurate</t>
  </si>
  <si>
    <t xml:space="preserve">The family-wise error rate inflates with multiple comparisons</t>
  </si>
  <si>
    <t xml:space="preserve">t-tests need more data</t>
  </si>
  <si>
    <t xml:space="preserve">ANOVA is faster</t>
  </si>
  <si>
    <t xml:space="preserve">Three tests at alpha 0.05 give roughly a 14% chance of at least one false positive, not 5%.</t>
  </si>
  <si>
    <t xml:space="preserve">A significant ANOVA tells you:</t>
  </si>
  <si>
    <t xml:space="preserve">The size of the difference</t>
  </si>
  <si>
    <t xml:space="preserve">Which groups differ</t>
  </si>
  <si>
    <t xml:space="preserve">That at least one group differs from the others</t>
  </si>
  <si>
    <t xml:space="preserve">That all groups differ</t>
  </si>
  <si>
    <t xml:space="preserve">ANOVA is an omnibus test; a post-hoc procedure such as Tukey HSD is needed to say which pairs differ.</t>
  </si>
  <si>
    <t xml:space="preserve">Tukey HSD is used to:</t>
  </si>
  <si>
    <t xml:space="preserve">Test variances</t>
  </si>
  <si>
    <t xml:space="preserve">Estimate sample size</t>
  </si>
  <si>
    <t xml:space="preserve">Test normality</t>
  </si>
  <si>
    <t xml:space="preserve">Make pairwise comparisons after ANOVA while controlling the error rate</t>
  </si>
  <si>
    <t xml:space="preserve">It adjusts for the number of comparisons so the family-wise error rate stays at alpha.</t>
  </si>
  <si>
    <t xml:space="preserve">The main assumption of classical ANOVA, besides independence and normality, is:</t>
  </si>
  <si>
    <t xml:space="preserve">Equal variances across groups</t>
  </si>
  <si>
    <t xml:space="preserve">Zero outliers</t>
  </si>
  <si>
    <t xml:space="preserve">Balanced design</t>
  </si>
  <si>
    <t xml:space="preserve">Equal sample sizes</t>
  </si>
  <si>
    <t xml:space="preserve">Homogeneity of variance; when it fails, use Welch ANOVA or a nonparametric alternative.</t>
  </si>
  <si>
    <t xml:space="preserve">Which test is preferred for comparing variances when normality is doubtful?</t>
  </si>
  <si>
    <t xml:space="preserve">Levene's or Brown-Forsythe test</t>
  </si>
  <si>
    <t xml:space="preserve">Bartlett's test</t>
  </si>
  <si>
    <t xml:space="preserve">The F and Bartlett tests are very sensitive to non-normality; Levene's test on absolute deviations is far more robust.</t>
  </si>
  <si>
    <t xml:space="preserve">Which test compares an observed proportion against a target proportion?</t>
  </si>
  <si>
    <t xml:space="preserve">1-proportion test</t>
  </si>
  <si>
    <t xml:space="preserve">Chi-square goodness of fit</t>
  </si>
  <si>
    <t xml:space="preserve">E-29 Proportion Tests</t>
  </si>
  <si>
    <t xml:space="preserve">Attribute data, one group, one target — with the usual np &gt;= 5 and n(1-p) &gt;= 5 check.</t>
  </si>
  <si>
    <t xml:space="preserve">The chi-square test of independence requires that:</t>
  </si>
  <si>
    <t xml:space="preserve">Samples are paired</t>
  </si>
  <si>
    <t xml:space="preserve">Variances are equal</t>
  </si>
  <si>
    <t xml:space="preserve">Data is continuous</t>
  </si>
  <si>
    <t xml:space="preserve">Expected counts are generally at least 5</t>
  </si>
  <si>
    <t xml:space="preserve">With small expected counts the chi-square approximation fails; combine categories or use Fisher's exact test.</t>
  </si>
  <si>
    <t xml:space="preserve">Degrees of freedom for a 4 x 3 contingency table are:</t>
  </si>
  <si>
    <t xml:space="preserve">11</t>
  </si>
  <si>
    <t xml:space="preserve">(rows - 1) x (columns - 1) = 3 x 2 = 6.</t>
  </si>
  <si>
    <t xml:space="preserve">Which is the nonparametric alternative to the 2-sample t-test?</t>
  </si>
  <si>
    <t xml:space="preserve">Wilcoxon signed rank</t>
  </si>
  <si>
    <t xml:space="preserve">Mann-Whitney compares two independent groups using ranks rather than raw values.</t>
  </si>
  <si>
    <t xml:space="preserve">Which is the nonparametric alternative to one-way ANOVA?</t>
  </si>
  <si>
    <t xml:space="preserve">Friedman</t>
  </si>
  <si>
    <t xml:space="preserve">Mood's median</t>
  </si>
  <si>
    <t xml:space="preserve">Kruskal-Wallis extends the rank-based approach to three or more groups.</t>
  </si>
  <si>
    <t xml:space="preserve">The main cost of using a nonparametric test when the data really is normal is:</t>
  </si>
  <si>
    <t xml:space="preserve">Wider confidence intervals only</t>
  </si>
  <si>
    <t xml:space="preserve">Higher alpha</t>
  </si>
  <si>
    <t xml:space="preserve">Somewhat lower power</t>
  </si>
  <si>
    <t xml:space="preserve">Rank-based tests discard some information, so they need slightly more data to detect the same difference.</t>
  </si>
  <si>
    <t xml:space="preserve">In a normality test, a p-value of 0.20 means:</t>
  </si>
  <si>
    <t xml:space="preserve">There is no evidence against normality</t>
  </si>
  <si>
    <t xml:space="preserve">The data is non-normal</t>
  </si>
  <si>
    <t xml:space="preserve">The test failed</t>
  </si>
  <si>
    <t xml:space="preserve">The data is definitely normal</t>
  </si>
  <si>
    <t xml:space="preserve">You never prove normality; you fail to find evidence against it, which with a small sample is easy.</t>
  </si>
  <si>
    <t xml:space="preserve">A normal probability plot with points curving away from the line at both ends suggests:</t>
  </si>
  <si>
    <t xml:space="preserve">Heavy tails or outliers</t>
  </si>
  <si>
    <t xml:space="preserve">A shift in the mean</t>
  </si>
  <si>
    <t xml:space="preserve">Autocorrelation</t>
  </si>
  <si>
    <t xml:space="preserve">Systematic departure at the extremes is the classic signature of heavier tails than the normal.</t>
  </si>
  <si>
    <t xml:space="preserve">With a very large sample, a normality test tends to:</t>
  </si>
  <si>
    <t xml:space="preserve">Give the same answer as with small n</t>
  </si>
  <si>
    <t xml:space="preserve">Always pass</t>
  </si>
  <si>
    <t xml:space="preserve">Reject normality for trivial departures</t>
  </si>
  <si>
    <t xml:space="preserve">Become unreliable</t>
  </si>
  <si>
    <t xml:space="preserve">Power rises with n, so tiny and practically irrelevant departures become statistically significant. Look at the plot.</t>
  </si>
  <si>
    <t xml:space="preserve">The first thing to do when data fails a normality test is:</t>
  </si>
  <si>
    <t xml:space="preserve">Use a nonparametric test</t>
  </si>
  <si>
    <t xml:space="preserve">Collect more data</t>
  </si>
  <si>
    <t xml:space="preserve">Transform it immediately</t>
  </si>
  <si>
    <t xml:space="preserve">Look at the histogram and ask whether it is one population</t>
  </si>
  <si>
    <t xml:space="preserve">Non-normality is very often two populations mixed together, and stratification fixes the real problem.</t>
  </si>
  <si>
    <t xml:space="preserve">The Box-Cox transformation searches for:</t>
  </si>
  <si>
    <t xml:space="preserve">The lambda power that makes the data most normal</t>
  </si>
  <si>
    <t xml:space="preserve">The optimal control limits</t>
  </si>
  <si>
    <t xml:space="preserve">The best distribution family</t>
  </si>
  <si>
    <t xml:space="preserve">The best sample size</t>
  </si>
  <si>
    <t xml:space="preserve">It tries a grid of powers and selects the one that maximises normality, with lambda 0 meaning a log transform.</t>
  </si>
  <si>
    <t xml:space="preserve">A correlation coefficient of -0.85 indicates:</t>
  </si>
  <si>
    <t xml:space="preserve">A weak relationship</t>
  </si>
  <si>
    <t xml:space="preserve">A strong negative linear relationship</t>
  </si>
  <si>
    <t xml:space="preserve">No relationship</t>
  </si>
  <si>
    <t xml:space="preserve">A causal relationship</t>
  </si>
  <si>
    <t xml:space="preserve">The sign is direction and the magnitude is strength; correlation says nothing about causation.</t>
  </si>
  <si>
    <t xml:space="preserve">Correlation does not imply causation mainly because:</t>
  </si>
  <si>
    <t xml:space="preserve">Correlation is nonparametric</t>
  </si>
  <si>
    <t xml:space="preserve">Correlation is unreliable</t>
  </si>
  <si>
    <t xml:space="preserve">A lurking variable may drive both</t>
  </si>
  <si>
    <t xml:space="preserve">The sample is too small</t>
  </si>
  <si>
    <t xml:space="preserve">E-35 Correlation vs Causation</t>
  </si>
  <si>
    <t xml:space="preserve">Confounding, reverse causation and coincidence all produce correlation without any causal link.</t>
  </si>
  <si>
    <t xml:space="preserve">R squared of 0.64 in a simple regression means:</t>
  </si>
  <si>
    <t xml:space="preserve">The correlation is 0.64</t>
  </si>
  <si>
    <t xml:space="preserve">The model is 64% accurate</t>
  </si>
  <si>
    <t xml:space="preserve">The slope is 0.64</t>
  </si>
  <si>
    <t xml:space="preserve">64% of the variation in Y is explained by the model</t>
  </si>
  <si>
    <t xml:space="preserve">R squared is the share of variation explained; the correlation here would be 0.8.</t>
  </si>
  <si>
    <t xml:space="preserve">A residual is:</t>
  </si>
  <si>
    <t xml:space="preserve">Observed value minus fitted value</t>
  </si>
  <si>
    <t xml:space="preserve">The slope of the model</t>
  </si>
  <si>
    <t xml:space="preserve">The variance of Y</t>
  </si>
  <si>
    <t xml:space="preserve">The error in the measurement</t>
  </si>
  <si>
    <t xml:space="preserve">Residuals are what the model failed to explain, and their pattern is where most model diagnosis lives.</t>
  </si>
  <si>
    <t xml:space="preserve">A funnel shape in the residuals versus fitted plot indicates:</t>
  </si>
  <si>
    <t xml:space="preserve">Non-normality</t>
  </si>
  <si>
    <t xml:space="preserve">Non-constant variance (heteroscedasticity)</t>
  </si>
  <si>
    <t xml:space="preserve">A missing intercept</t>
  </si>
  <si>
    <t xml:space="preserve">Spread growing with the fitted value violates the constant-variance assumption and usually calls for a transformation.</t>
  </si>
  <si>
    <t xml:space="preserve">Residuals showing a clear pattern against observation order suggests:</t>
  </si>
  <si>
    <t xml:space="preserve">Non-constant variance</t>
  </si>
  <si>
    <t xml:space="preserve">Autocorrelation or a time-related effect that is missing from the model</t>
  </si>
  <si>
    <t xml:space="preserve">Multicollinearity</t>
  </si>
  <si>
    <t xml:space="preserve">Time order should look random; structure means something changed over time that the model does not include.</t>
  </si>
  <si>
    <t xml:space="preserve">A VIF of 12 for a predictor indicates:</t>
  </si>
  <si>
    <t xml:space="preserve">A poor fit</t>
  </si>
  <si>
    <t xml:space="preserve">An outlier</t>
  </si>
  <si>
    <t xml:space="preserve">A strong effect</t>
  </si>
  <si>
    <t xml:space="preserve">Severe multicollinearity with other predictors</t>
  </si>
  <si>
    <t xml:space="preserve">VIF above 5 to 10 means the predictor is largely explained by the others, and its coefficient is unstable.</t>
  </si>
  <si>
    <t xml:space="preserve">Adding predictors to a regression always:</t>
  </si>
  <si>
    <t xml:space="preserve">Increases R squared, whether or not they help</t>
  </si>
  <si>
    <t xml:space="preserve">Reduces the residual</t>
  </si>
  <si>
    <t xml:space="preserve">Improves prediction</t>
  </si>
  <si>
    <t xml:space="preserve">Improves the model</t>
  </si>
  <si>
    <t xml:space="preserve">R squared never falls when a predictor is added; adjusted R squared penalises useless ones, which is why it is preferred.</t>
  </si>
  <si>
    <t xml:space="preserve">Logistic regression is used when:</t>
  </si>
  <si>
    <t xml:space="preserve">Predictors are categorical</t>
  </si>
  <si>
    <t xml:space="preserve">The RESPONSE is binary</t>
  </si>
  <si>
    <t xml:space="preserve">There is one predictor</t>
  </si>
  <si>
    <t xml:space="preserve">It models the log-odds of a binary outcome, such as pass/fail or leak/no leak.</t>
  </si>
  <si>
    <t xml:space="preserve">A multi-vari chart is used to:</t>
  </si>
  <si>
    <t xml:space="preserve">Set control limits</t>
  </si>
  <si>
    <t xml:space="preserve">Test a hypothesis formally</t>
  </si>
  <si>
    <t xml:space="preserve">Display several sources of variation at once before formal testing</t>
  </si>
  <si>
    <t xml:space="preserve">Compute capability</t>
  </si>
  <si>
    <t xml:space="preserve">It is a graphical screening tool that shows which family of variation dominates before you commit to a test.</t>
  </si>
  <si>
    <t xml:space="preserve">A confidence interval for the difference of two means that includes zero implies:</t>
  </si>
  <si>
    <t xml:space="preserve">The variances differ</t>
  </si>
  <si>
    <t xml:space="preserve">The means are equal</t>
  </si>
  <si>
    <t xml:space="preserve">No significant difference at that confidence level</t>
  </si>
  <si>
    <t xml:space="preserve">Containing zero is equivalent to failing to reject the null at the corresponding alpha.</t>
  </si>
  <si>
    <t xml:space="preserve">Which of these does NOT increase statistical power?</t>
  </si>
  <si>
    <t xml:space="preserve">A smaller alpha</t>
  </si>
  <si>
    <t xml:space="preserve">Less variation</t>
  </si>
  <si>
    <t xml:space="preserve">A larger true effect</t>
  </si>
  <si>
    <t xml:space="preserve">Reducing alpha makes rejection harder, so power falls; the other three all increase it.</t>
  </si>
  <si>
    <t xml:space="preserve">A test at alpha 0.05 is repeated on 20 independent datasets where the null is true. Expected false positives:</t>
  </si>
  <si>
    <t xml:space="preserve">20 x 0.05 = 1. This is the multiple comparisons problem in its simplest form.</t>
  </si>
  <si>
    <t xml:space="preserve">Which test would you use to compare defect rates across four shifts?</t>
  </si>
  <si>
    <t xml:space="preserve">Chi-square test of independence</t>
  </si>
  <si>
    <t xml:space="preserve">Counts across categories call for chi-square; ANOVA is for continuous responses.</t>
  </si>
  <si>
    <t xml:space="preserve">Before comparing two means, the most useful first step is:</t>
  </si>
  <si>
    <t xml:space="preserve">Test for normality</t>
  </si>
  <si>
    <t xml:space="preserve">Compute the sample size</t>
  </si>
  <si>
    <t xml:space="preserve">Run the t-test</t>
  </si>
  <si>
    <t xml:space="preserve">Plot the data and check for two populations, outliers and shape</t>
  </si>
  <si>
    <t xml:space="preserve">Almost every failed comparison traces to something a histogram or box plot would have shown in seconds.</t>
  </si>
  <si>
    <t xml:space="preserve">U-08  Exam Bank: Foundations</t>
  </si>
  <si>
    <t xml:space="preserve">U-10  Exam Bank: Advanced</t>
  </si>
  <si>
    <t xml:space="preserve">N-05  Statistical Test Selector</t>
  </si>
  <si>
    <t xml:space="preserve">U-10 — Exam Questions: Regression, DOE, SPC, Lean</t>
  </si>
  <si>
    <t xml:space="preserve">Forty questions on design of experiments, statistical process control, capability, Lean tools, FMEA and project management — the Improve and Control half of the syllabus.</t>
  </si>
  <si>
    <t xml:space="preserve">The recurring themes are worth noting because they recur in the examination too: control limits are not specification limits, capability requires stability first, Severity cannot be reduced by inspection, and only the constraint sets the output of a line.</t>
  </si>
  <si>
    <t xml:space="preserve">DOE, SPC, capability, Lean tools and project management</t>
  </si>
  <si>
    <t xml:space="preserve">The main reason to run a designed experiment rather than change one factor at a time is:</t>
  </si>
  <si>
    <t xml:space="preserve">It estimates interactions, which OFAT cannot</t>
  </si>
  <si>
    <t xml:space="preserve">It needs less data</t>
  </si>
  <si>
    <t xml:space="preserve">It avoids statistics</t>
  </si>
  <si>
    <t xml:space="preserve">It is faster</t>
  </si>
  <si>
    <t xml:space="preserve">One-factor-at-a-time cannot detect that the effect of one factor depends on the level of another.</t>
  </si>
  <si>
    <t xml:space="preserve">Randomising the run order of an experiment protects against:</t>
  </si>
  <si>
    <t xml:space="preserve">Lurking variables that drift with time</t>
  </si>
  <si>
    <t xml:space="preserve">If temperature drifts through the day and runs are in a systematic order, the drift is confounded with a factor.</t>
  </si>
  <si>
    <t xml:space="preserve">A full factorial with 4 factors at 2 levels requires how many runs, without replication?</t>
  </si>
  <si>
    <t xml:space="preserve">32</t>
  </si>
  <si>
    <t xml:space="preserve">24</t>
  </si>
  <si>
    <t xml:space="preserve">2^4 = 16 runs, which estimates all main effects and all interactions.</t>
  </si>
  <si>
    <t xml:space="preserve">An interaction between blow pressure and oven temperature means:</t>
  </si>
  <si>
    <t xml:space="preserve">They are correlated</t>
  </si>
  <si>
    <t xml:space="preserve">One causes the other</t>
  </si>
  <si>
    <t xml:space="preserve">Both affect the response</t>
  </si>
  <si>
    <t xml:space="preserve">The effect of pressure depends on the temperature level</t>
  </si>
  <si>
    <t xml:space="preserve">Interaction is about conditional effects, and it is the reason OFAT experiments find the wrong optimum.</t>
  </si>
  <si>
    <t xml:space="preserve">In a 2^(4-1) fractional factorial, the number of runs is:</t>
  </si>
  <si>
    <t xml:space="preserve">2^3 = 8 runs — half the full design, at the cost of confounding effects with each other.</t>
  </si>
  <si>
    <t xml:space="preserve">Design resolution IV means:</t>
  </si>
  <si>
    <t xml:space="preserve">No confounding at all</t>
  </si>
  <si>
    <t xml:space="preserve">Main effects are clear of two-factor interactions, but two-factor interactions are confounded with each other</t>
  </si>
  <si>
    <t xml:space="preserve">Main effects are confounded with each other</t>
  </si>
  <si>
    <t xml:space="preserve">Only three-factor interactions are confounded</t>
  </si>
  <si>
    <t xml:space="preserve">Resolution IV protects main effects but leaves two-factor interactions tangled together.</t>
  </si>
  <si>
    <t xml:space="preserve">The defining relation of a fractional factorial tells you:</t>
  </si>
  <si>
    <t xml:space="preserve">The optimum settings</t>
  </si>
  <si>
    <t xml:space="preserve">The number of runs</t>
  </si>
  <si>
    <t xml:space="preserve">The alias structure — which effects are confounded</t>
  </si>
  <si>
    <t xml:space="preserve">The response equation</t>
  </si>
  <si>
    <t xml:space="preserve">Multiplying through the defining relation generates the complete alias structure of the design.</t>
  </si>
  <si>
    <t xml:space="preserve">Centre points are added to a factorial design mainly to:</t>
  </si>
  <si>
    <t xml:space="preserve">Randomise the design</t>
  </si>
  <si>
    <t xml:space="preserve">Estimate interactions</t>
  </si>
  <si>
    <t xml:space="preserve">Increase the sample size</t>
  </si>
  <si>
    <t xml:space="preserve">Detect curvature in the response</t>
  </si>
  <si>
    <t xml:space="preserve">A two-level design fits only straight lines; centre points reveal whether the true response is curved.</t>
  </si>
  <si>
    <t xml:space="preserve">If centre points show significant curvature, the next step is:</t>
  </si>
  <si>
    <t xml:space="preserve">Augment to a response surface design</t>
  </si>
  <si>
    <t xml:space="preserve">Add more factors</t>
  </si>
  <si>
    <t xml:space="preserve">Reduce the levels</t>
  </si>
  <si>
    <t xml:space="preserve">Ignore it</t>
  </si>
  <si>
    <t xml:space="preserve">Curvature means a linear model is inadequate; a response surface design can model the optimum.</t>
  </si>
  <si>
    <t xml:space="preserve">A screening design is used when:</t>
  </si>
  <si>
    <t xml:space="preserve">You have two factors</t>
  </si>
  <si>
    <t xml:space="preserve">You have many candidate factors and need to find the vital few</t>
  </si>
  <si>
    <t xml:space="preserve">You need an optimum</t>
  </si>
  <si>
    <t xml:space="preserve">The response is binary</t>
  </si>
  <si>
    <t xml:space="preserve">Screening designs trade resolution for economy, identifying which factors matter before optimising.</t>
  </si>
  <si>
    <t xml:space="preserve">Control limits are calculated from:</t>
  </si>
  <si>
    <t xml:space="preserve">The target</t>
  </si>
  <si>
    <t xml:space="preserve">The specification</t>
  </si>
  <si>
    <t xml:space="preserve">The process data itself</t>
  </si>
  <si>
    <t xml:space="preserve">The customer requirement</t>
  </si>
  <si>
    <t xml:space="preserve">Control limits are the voice of the process; specification limits are the voice of the customer. They are never the same thing.</t>
  </si>
  <si>
    <t xml:space="preserve">Putting specification limits on a control chart is wrong because:</t>
  </si>
  <si>
    <t xml:space="preserve">They change too often</t>
  </si>
  <si>
    <t xml:space="preserve">It breaks the chart</t>
  </si>
  <si>
    <t xml:space="preserve">They are too wide</t>
  </si>
  <si>
    <t xml:space="preserve">It confuses the voice of the customer with the voice of the process</t>
  </si>
  <si>
    <t xml:space="preserve">The chart's job is to detect change in the process, which has nothing to do with where the customer set the tolerance.</t>
  </si>
  <si>
    <t xml:space="preserve">Reacting to a point that is inside the control limits as though it were a special cause is:</t>
  </si>
  <si>
    <t xml:space="preserve">Tampering, which increases variation</t>
  </si>
  <si>
    <t xml:space="preserve">Required by the standard</t>
  </si>
  <si>
    <t xml:space="preserve">Necessary for capability</t>
  </si>
  <si>
    <t xml:space="preserve">Good practice</t>
  </si>
  <si>
    <t xml:space="preserve">Deming's funnel experiment: adjusting for common-cause variation makes the output worse, not better.</t>
  </si>
  <si>
    <t xml:space="preserve">Which chart is right for a single measurement taken every hour?</t>
  </si>
  <si>
    <t xml:space="preserve">I-MR</t>
  </si>
  <si>
    <t xml:space="preserve">Individuals and moving range is designed for one observation at a time.</t>
  </si>
  <si>
    <t xml:space="preserve">Which chart is right for subgroups of five measurements?</t>
  </si>
  <si>
    <t xml:space="preserve">Xbar-R is standard for subgroups up to about 9; above that Xbar-S is preferred.</t>
  </si>
  <si>
    <t xml:space="preserve">Xbar-S is preferred over Xbar-R when:</t>
  </si>
  <si>
    <t xml:space="preserve">The sample size varies</t>
  </si>
  <si>
    <t xml:space="preserve">The data is attribute</t>
  </si>
  <si>
    <t xml:space="preserve">The subgroup size is larger than about 9</t>
  </si>
  <si>
    <t xml:space="preserve">The range uses only two observations, so it loses efficiency as the subgroup grows.</t>
  </si>
  <si>
    <t xml:space="preserve">Which chart tracks the PROPORTION of defective units with a varying sample size?</t>
  </si>
  <si>
    <t xml:space="preserve">p charts handle varying n, and their control limits vary with it.</t>
  </si>
  <si>
    <t xml:space="preserve">Which chart tracks defects per unit when the area of opportunity varies?</t>
  </si>
  <si>
    <t xml:space="preserve">u charts normalise counts by the area of opportunity; c charts assume it is constant.</t>
  </si>
  <si>
    <t xml:space="preserve">Laney p' and u' charts exist to handle:</t>
  </si>
  <si>
    <t xml:space="preserve">Missing data</t>
  </si>
  <si>
    <t xml:space="preserve">Small samples</t>
  </si>
  <si>
    <t xml:space="preserve">Overdispersion when very large samples make ordinary limits far too tight</t>
  </si>
  <si>
    <t xml:space="preserve">Non-normal data</t>
  </si>
  <si>
    <t xml:space="preserve">With huge subgroups the binomial or Poisson limits become unrealistically narrow and everything looks out of control.</t>
  </si>
  <si>
    <t xml:space="preserve">CUSUM and EWMA charts are better than Shewhart charts at detecting:</t>
  </si>
  <si>
    <t xml:space="preserve">Outliers</t>
  </si>
  <si>
    <t xml:space="preserve">Large sudden shifts</t>
  </si>
  <si>
    <t xml:space="preserve">Small sustained shifts</t>
  </si>
  <si>
    <t xml:space="preserve">They accumulate information across points, which is what makes them sensitive to persistent small drift.</t>
  </si>
  <si>
    <t xml:space="preserve">Nelson rule 1 flags:</t>
  </si>
  <si>
    <t xml:space="preserve">One point beyond three sigma</t>
  </si>
  <si>
    <t xml:space="preserve">A trend of six</t>
  </si>
  <si>
    <t xml:space="preserve">Two of three beyond two sigma</t>
  </si>
  <si>
    <t xml:space="preserve">Seven points on one side</t>
  </si>
  <si>
    <t xml:space="preserve">Rule 1 is the single point outside the control limits — the classic special-cause signal.</t>
  </si>
  <si>
    <t xml:space="preserve">Adding many pattern rules to a control chart:</t>
  </si>
  <si>
    <t xml:space="preserve">Always improves detection</t>
  </si>
  <si>
    <t xml:space="preserve">Increases the false alarm rate</t>
  </si>
  <si>
    <t xml:space="preserve">Reduces sensitivity</t>
  </si>
  <si>
    <t xml:space="preserve">Each rule carries its own false alarm probability, and they accumulate. Use a considered subset.</t>
  </si>
  <si>
    <t xml:space="preserve">Cp measures:</t>
  </si>
  <si>
    <t xml:space="preserve">The defect rate</t>
  </si>
  <si>
    <t xml:space="preserve">Actual performance</t>
  </si>
  <si>
    <t xml:space="preserve">Potential capability, ignoring centring</t>
  </si>
  <si>
    <t xml:space="preserve">Long-term capability</t>
  </si>
  <si>
    <t xml:space="preserve">Cp compares the specification width to the process spread and says nothing about where the process sits.</t>
  </si>
  <si>
    <t xml:space="preserve">A process has Cp of 1.8 and Cpk of 0.9. This means:</t>
  </si>
  <si>
    <t xml:space="preserve">The measurement system is poor</t>
  </si>
  <si>
    <t xml:space="preserve">The process is capable</t>
  </si>
  <si>
    <t xml:space="preserve">The spread is fine but the process is badly off centre</t>
  </si>
  <si>
    <t xml:space="preserve">A large gap between Cp and Cpk is the signature of a centring problem, which is usually the cheapest to fix.</t>
  </si>
  <si>
    <t xml:space="preserve">A large gap between Cpk and Ppk indicates:</t>
  </si>
  <si>
    <t xml:space="preserve">Between-subgroup variation that the within-subgroup sigma does not capture</t>
  </si>
  <si>
    <t xml:space="preserve">Too small a sample</t>
  </si>
  <si>
    <t xml:space="preserve">A measurement problem</t>
  </si>
  <si>
    <t xml:space="preserve">Cpk uses within-subgroup sigma and Ppk uses overall sigma; the gap is shift and drift between subgroups.</t>
  </si>
  <si>
    <t xml:space="preserve">Capability indices should only be computed once:</t>
  </si>
  <si>
    <t xml:space="preserve">The sample exceeds 100</t>
  </si>
  <si>
    <t xml:space="preserve">The process has been shown to be stable on a control chart</t>
  </si>
  <si>
    <t xml:space="preserve">The data is transformed</t>
  </si>
  <si>
    <t xml:space="preserve">The specification is agreed</t>
  </si>
  <si>
    <t xml:space="preserve">Capability assumes the estimated sigma describes a predictable process; on an unstable process the number is fiction.</t>
  </si>
  <si>
    <t xml:space="preserve">Cpm differs from Cpk because it:</t>
  </si>
  <si>
    <t xml:space="preserve">Requires normality</t>
  </si>
  <si>
    <t xml:space="preserve">Uses the overall sigma</t>
  </si>
  <si>
    <t xml:space="preserve">Penalises deviation from the TARGET, not just from the nearest limit</t>
  </si>
  <si>
    <t xml:space="preserve">Ignores the specification</t>
  </si>
  <si>
    <t xml:space="preserve">Cpm includes the squared distance from target in its denominator, so being off target costs even inside the spec.</t>
  </si>
  <si>
    <t xml:space="preserve">For clearly non-normal data, capability should be computed by:</t>
  </si>
  <si>
    <t xml:space="preserve">Using Cp only</t>
  </si>
  <si>
    <t xml:space="preserve">Increasing the sample size</t>
  </si>
  <si>
    <t xml:space="preserve">Ignoring the shape</t>
  </si>
  <si>
    <t xml:space="preserve">Fitting an appropriate distribution or transforming, then using percentiles</t>
  </si>
  <si>
    <t xml:space="preserve">E-58 Non-Normal Capability</t>
  </si>
  <si>
    <t xml:space="preserve">Normal-based Cpk on skewed data can be wrong by a wide margin in either direction.</t>
  </si>
  <si>
    <t xml:space="preserve">The eight wastes are usually remembered as:</t>
  </si>
  <si>
    <t xml:space="preserve">DOWNTIME</t>
  </si>
  <si>
    <t xml:space="preserve">Defects, Overproduction, Waiting, Non-utilised talent, Transport, Inventory, Motion, Extra processing.</t>
  </si>
  <si>
    <t xml:space="preserve">Overproduction is called the worst waste because:</t>
  </si>
  <si>
    <t xml:space="preserve">It costs the most</t>
  </si>
  <si>
    <t xml:space="preserve">It generates the other seven</t>
  </si>
  <si>
    <t xml:space="preserve">It is the most visible</t>
  </si>
  <si>
    <t xml:space="preserve">It is the hardest to fix</t>
  </si>
  <si>
    <t xml:space="preserve">Producing early creates inventory, transport, motion, and hides defects by delaying their detection.</t>
  </si>
  <si>
    <t xml:space="preserve">Takt time is calculated as:</t>
  </si>
  <si>
    <t xml:space="preserve">Work content / stations</t>
  </si>
  <si>
    <t xml:space="preserve">Cycle time / uptime</t>
  </si>
  <si>
    <t xml:space="preserve">Available working time / customer demand</t>
  </si>
  <si>
    <t xml:space="preserve">Takt is set by the customer, not by the process, and it changes whenever demand changes.</t>
  </si>
  <si>
    <t xml:space="preserve">Little's Law states that:</t>
  </si>
  <si>
    <t xml:space="preserve">WIP = lead time / throughput</t>
  </si>
  <si>
    <t xml:space="preserve">Throughput = WIP x lead time</t>
  </si>
  <si>
    <t xml:space="preserve">Lead time = WIP x throughput</t>
  </si>
  <si>
    <t xml:space="preserve">Lead time = WIP / throughput</t>
  </si>
  <si>
    <t xml:space="preserve">It holds for any stable system over a long enough period, regardless of the processing order.</t>
  </si>
  <si>
    <t xml:space="preserve">An hour lost at a non-constraint station typically costs the plant:</t>
  </si>
  <si>
    <t xml:space="preserve">Nothing, if it stays within that station's spare capacity</t>
  </si>
  <si>
    <t xml:space="preserve">Half as much</t>
  </si>
  <si>
    <t xml:space="preserve">More than at the constraint</t>
  </si>
  <si>
    <t xml:space="preserve">The same as at the constraint</t>
  </si>
  <si>
    <t xml:space="preserve">Only the constraint sets system output; time lost elsewhere is absorbed by spare capacity and the buffer.</t>
  </si>
  <si>
    <t xml:space="preserve">OEE is the product of:</t>
  </si>
  <si>
    <t xml:space="preserve">Availability, Performance, Yield</t>
  </si>
  <si>
    <t xml:space="preserve">Availability, Performance, Quality</t>
  </si>
  <si>
    <t xml:space="preserve">Uptime, Speed, Output</t>
  </si>
  <si>
    <t xml:space="preserve">Quality, Cost, Delivery</t>
  </si>
  <si>
    <t xml:space="preserve">Three independent loss factors multiplied together; 90% x 95% x 99% is already only 85%.</t>
  </si>
  <si>
    <t xml:space="preserve">Moving unplanned breakdowns out of planned production time:</t>
  </si>
  <si>
    <t xml:space="preserve">Improves the quality factor</t>
  </si>
  <si>
    <t xml:space="preserve">Correctly reflects reality</t>
  </si>
  <si>
    <t xml:space="preserve">Inflates availability and destroys the usefulness of OEE</t>
  </si>
  <si>
    <t xml:space="preserve">Is required by the standard</t>
  </si>
  <si>
    <t xml:space="preserve">Only genuinely planned shutdown belongs outside the denominator; manipulating it removes the incentive to improve.</t>
  </si>
  <si>
    <t xml:space="preserve">The first stage of SMED is to:</t>
  </si>
  <si>
    <t xml:space="preserve">Eliminate adjustment</t>
  </si>
  <si>
    <t xml:space="preserve">Standardise the changeover</t>
  </si>
  <si>
    <t xml:space="preserve">Buy quick-release clamps</t>
  </si>
  <si>
    <t xml:space="preserve">Separate internal from external work</t>
  </si>
  <si>
    <t xml:space="preserve">Stage 1 changes nothing physical and typically recovers 30-50% of the stop, which is why it must come first.</t>
  </si>
  <si>
    <t xml:space="preserve">MTBF measures how often equipment stops; MTTR measures:</t>
  </si>
  <si>
    <t xml:space="preserve">How long it takes to get it back</t>
  </si>
  <si>
    <t xml:space="preserve">How many failures occur</t>
  </si>
  <si>
    <t xml:space="preserve">The cost of failure</t>
  </si>
  <si>
    <t xml:space="preserve">How badly it fails</t>
  </si>
  <si>
    <t xml:space="preserve">MTBF is improved by condition and design; MTTR by spares, access, skills and escalation.</t>
  </si>
  <si>
    <t xml:space="preserve">The strongest form of poka-yoke is:</t>
  </si>
  <si>
    <t xml:space="preserve">Detection with automatic reject</t>
  </si>
  <si>
    <t xml:space="preserve">Elimination — making the error physically impossible</t>
  </si>
  <si>
    <t xml:space="preserve">A checklist</t>
  </si>
  <si>
    <t xml:space="preserve">A warning light</t>
  </si>
  <si>
    <t xml:space="preserve">Warnings depend on human attention, which is the very thing that failed in the first place.</t>
  </si>
  <si>
    <t xml:space="preserve">In AIAG-VDA 2019 FMEA, Action Priority replaced RPN because:</t>
  </si>
  <si>
    <t xml:space="preserve">AP is easier</t>
  </si>
  <si>
    <t xml:space="preserve">RPN was too slow to compute</t>
  </si>
  <si>
    <t xml:space="preserve">Multiplying three ordinal scales produces a meaningless ranking</t>
  </si>
  <si>
    <t xml:space="preserve">RPN ignored detection</t>
  </si>
  <si>
    <t xml:space="preserve">RPN ranks S=9,O=2,D=2 (36) below S=3,O=4,D=4 (48), which is the wrong answer.</t>
  </si>
  <si>
    <t xml:space="preserve">Severity in an FMEA can only be reduced by:</t>
  </si>
  <si>
    <t xml:space="preserve">Operator training</t>
  </si>
  <si>
    <t xml:space="preserve">Better inspection</t>
  </si>
  <si>
    <t xml:space="preserve">More frequent audits</t>
  </si>
  <si>
    <t xml:space="preserve">Changing the design or the process so the consequence no longer occurs</t>
  </si>
  <si>
    <t xml:space="preserve">Detection controls change how likely you are to catch the failure, never how bad it is when it happens.</t>
  </si>
  <si>
    <t xml:space="preserve">N-06  Index by Problem Archetype</t>
  </si>
</sst>
</file>

<file path=xl/styles.xml><?xml version="1.0" encoding="utf-8"?>
<styleSheet xmlns="http://schemas.openxmlformats.org/spreadsheetml/2006/main">
  <numFmts count="19">
    <numFmt numFmtId="164" formatCode="General"/>
    <numFmt numFmtId="165" formatCode="0%"/>
    <numFmt numFmtId="166" formatCode="0"/>
    <numFmt numFmtId="167" formatCode="0.0"/>
    <numFmt numFmtId="168" formatCode="0.00"/>
    <numFmt numFmtId="169" formatCode="0.000"/>
    <numFmt numFmtId="170" formatCode="0.0000"/>
    <numFmt numFmtId="171" formatCode="0.00%"/>
    <numFmt numFmtId="172" formatCode="#,##0"/>
    <numFmt numFmtId="173" formatCode="0.000%"/>
    <numFmt numFmtId="174" formatCode="0.0000000"/>
    <numFmt numFmtId="175" formatCode="0.0%"/>
    <numFmt numFmtId="176" formatCode="0.00000"/>
    <numFmt numFmtId="177" formatCode="0.000000"/>
    <numFmt numFmtId="178" formatCode="0.00000000"/>
    <numFmt numFmtId="179" formatCode="yyyy\-mm\-dd"/>
    <numFmt numFmtId="180" formatCode="\+0;\-0;0"/>
    <numFmt numFmtId="181" formatCode="#,##0.00"/>
    <numFmt numFmtId="182" formatCode="\+0.00;\-0.00;0.00"/>
  </numFmts>
  <fonts count="40">
    <font>
      <sz val="11"/>
      <color theme="1"/>
      <name val="Calibri"/>
      <family val="2"/>
      <charset val="1"/>
    </font>
    <font>
      <sz val="10"/>
      <name val="Arial"/>
      <family val="0"/>
    </font>
    <font>
      <sz val="10"/>
      <name val="Arial"/>
      <family val="0"/>
    </font>
    <font>
      <sz val="10"/>
      <name val="Arial"/>
      <family val="0"/>
    </font>
    <font>
      <sz val="8"/>
      <color rgb="FFFFFFFF"/>
      <name val="Arial"/>
      <family val="2"/>
      <charset val="1"/>
    </font>
    <font>
      <b val="true"/>
      <sz val="14"/>
      <color rgb="FFFFFFFF"/>
      <name val="Arial"/>
      <family val="2"/>
      <charset val="1"/>
    </font>
    <font>
      <b val="true"/>
      <sz val="9"/>
      <color rgb="FFFFFFFF"/>
      <name val="Arial"/>
      <family val="2"/>
      <charset val="1"/>
    </font>
    <font>
      <b val="true"/>
      <u val="single"/>
      <sz val="10"/>
      <color rgb="FF2E75B6"/>
      <name val="Arial"/>
      <family val="2"/>
      <charset val="1"/>
    </font>
    <font>
      <i val="true"/>
      <sz val="9"/>
      <color rgb="FF595959"/>
      <name val="Arial"/>
      <family val="2"/>
      <charset val="1"/>
    </font>
    <font>
      <b val="true"/>
      <sz val="11"/>
      <color rgb="FFFFFFFF"/>
      <name val="Arial"/>
      <family val="2"/>
      <charset val="1"/>
    </font>
    <font>
      <sz val="10"/>
      <color rgb="FF333333"/>
      <name val="Arial"/>
      <family val="2"/>
      <charset val="1"/>
    </font>
    <font>
      <b val="true"/>
      <sz val="10"/>
      <color rgb="FF333333"/>
      <name val="Arial"/>
      <family val="2"/>
      <charset val="1"/>
    </font>
    <font>
      <b val="true"/>
      <sz val="10"/>
      <color rgb="FFFFFFFF"/>
      <name val="Arial"/>
      <family val="2"/>
      <charset val="1"/>
    </font>
    <font>
      <sz val="10"/>
      <color rgb="FF333333"/>
      <name val="Arial"/>
      <family val="0"/>
      <charset val="1"/>
    </font>
    <font>
      <b val="true"/>
      <sz val="10"/>
      <color rgb="FF1F4E79"/>
      <name val="Arial"/>
      <family val="2"/>
      <charset val="1"/>
    </font>
    <font>
      <i val="true"/>
      <u val="single"/>
      <sz val="9"/>
      <color rgb="FF2E75B6"/>
      <name val="Arial"/>
      <family val="2"/>
      <charset val="1"/>
    </font>
    <font>
      <u val="single"/>
      <sz val="10"/>
      <color rgb="FF2E75B6"/>
      <name val="Arial"/>
      <family val="2"/>
      <charset val="1"/>
    </font>
    <font>
      <b val="true"/>
      <sz val="11"/>
      <color rgb="FF333333"/>
      <name val="Arial"/>
      <family val="2"/>
      <charset val="1"/>
    </font>
    <font>
      <b val="true"/>
      <sz val="10"/>
      <color rgb="FFC00000"/>
      <name val="Arial"/>
      <family val="2"/>
      <charset val="1"/>
    </font>
    <font>
      <sz val="10"/>
      <color rgb="FF333333"/>
      <name val="Consolas"/>
      <family val="2"/>
      <charset val="1"/>
    </font>
    <font>
      <i val="true"/>
      <sz val="9"/>
      <color rgb="FFBFBFBF"/>
      <name val="Arial"/>
      <family val="2"/>
      <charset val="1"/>
    </font>
    <font>
      <sz val="10"/>
      <color rgb="FFFFFFFF"/>
      <name val="Arial"/>
      <family val="2"/>
      <charset val="1"/>
    </font>
    <font>
      <b val="true"/>
      <sz val="18"/>
      <color rgb="FF000000"/>
      <name val="Calibri"/>
      <family val="2"/>
    </font>
    <font>
      <sz val="10"/>
      <color rgb="FF000000"/>
      <name val="Calibri"/>
      <family val="2"/>
    </font>
    <font>
      <b val="true"/>
      <sz val="10"/>
      <color rgb="FF000000"/>
      <name val="Calibri"/>
      <family val="2"/>
    </font>
    <font>
      <b val="true"/>
      <sz val="11"/>
      <color rgb="FFFFFFFF"/>
      <name val="Arial"/>
      <family val="0"/>
      <charset val="1"/>
    </font>
    <font>
      <b val="true"/>
      <sz val="10"/>
      <color rgb="FF1F4E79"/>
      <name val="Arial"/>
      <family val="0"/>
      <charset val="1"/>
    </font>
    <font>
      <b val="true"/>
      <sz val="10"/>
      <color rgb="FFFFFFFF"/>
      <name val="Arial"/>
      <family val="0"/>
      <charset val="1"/>
    </font>
    <font>
      <u val="single"/>
      <sz val="10"/>
      <color rgb="FF2E75B6"/>
      <name val="Arial"/>
      <family val="0"/>
      <charset val="1"/>
    </font>
    <font>
      <b val="true"/>
      <sz val="10"/>
      <color rgb="FF333333"/>
      <name val="Arial"/>
      <family val="0"/>
      <charset val="1"/>
    </font>
    <font>
      <b val="true"/>
      <sz val="11"/>
      <color rgb="FF333333"/>
      <name val="Arial"/>
      <family val="0"/>
      <charset val="1"/>
    </font>
    <font>
      <sz val="9"/>
      <color rgb="FFBFBFBF"/>
      <name val="Arial"/>
      <family val="0"/>
      <charset val="1"/>
    </font>
    <font>
      <sz val="10"/>
      <color rgb="FFFFFFFF"/>
      <name val="Arial"/>
      <family val="0"/>
      <charset val="1"/>
    </font>
    <font>
      <i val="true"/>
      <sz val="9"/>
      <color rgb="FF595959"/>
      <name val="Arial"/>
      <family val="0"/>
      <charset val="1"/>
    </font>
    <font>
      <sz val="8"/>
      <color rgb="FFFFFFFF"/>
      <name val="Arial"/>
      <family val="0"/>
      <charset val="1"/>
    </font>
    <font>
      <b val="true"/>
      <sz val="14"/>
      <color rgb="FFFFFFFF"/>
      <name val="Arial"/>
      <family val="0"/>
      <charset val="1"/>
    </font>
    <font>
      <b val="true"/>
      <sz val="9"/>
      <color rgb="FFFFFFFF"/>
      <name val="Arial"/>
      <family val="0"/>
      <charset val="1"/>
    </font>
    <font>
      <b val="true"/>
      <sz val="10"/>
      <color rgb="FF2E75B6"/>
      <name val="Arial"/>
      <family val="0"/>
      <charset val="1"/>
    </font>
    <font>
      <sz val="9"/>
      <color rgb="FF595959"/>
      <name val="Arial"/>
      <family val="0"/>
      <charset val="1"/>
    </font>
    <font>
      <sz val="10"/>
      <color rgb="FFBFBFBF"/>
      <name val="Arial"/>
      <family val="0"/>
      <charset val="1"/>
    </font>
  </fonts>
  <fills count="13">
    <fill>
      <patternFill patternType="none"/>
    </fill>
    <fill>
      <patternFill patternType="gray125"/>
    </fill>
    <fill>
      <patternFill patternType="solid">
        <fgColor rgb="FF1F4E79"/>
        <bgColor rgb="FF003366"/>
      </patternFill>
    </fill>
    <fill>
      <patternFill patternType="solid">
        <fgColor rgb="FF808080"/>
        <bgColor rgb="FF8064A2"/>
      </patternFill>
    </fill>
    <fill>
      <patternFill patternType="solid">
        <fgColor rgb="FF2E75B6"/>
        <bgColor rgb="FF4472C4"/>
      </patternFill>
    </fill>
    <fill>
      <patternFill patternType="solid">
        <fgColor rgb="FFFFF2CC"/>
        <bgColor rgb="FFFCE4E4"/>
      </patternFill>
    </fill>
    <fill>
      <patternFill patternType="solid">
        <fgColor rgb="FFE2EFDA"/>
        <bgColor rgb="FFFFF2CC"/>
      </patternFill>
    </fill>
    <fill>
      <patternFill patternType="solid">
        <fgColor rgb="FF00B050"/>
        <bgColor rgb="FF008080"/>
      </patternFill>
    </fill>
    <fill>
      <patternFill patternType="solid">
        <fgColor rgb="FFFFC000"/>
        <bgColor rgb="FFFFFF00"/>
      </patternFill>
    </fill>
    <fill>
      <patternFill patternType="solid">
        <fgColor rgb="FFFCE4E4"/>
        <bgColor rgb="FFFFF2CC"/>
      </patternFill>
    </fill>
    <fill>
      <patternFill patternType="solid">
        <fgColor rgb="FFED7D31"/>
        <bgColor rgb="FFFF8080"/>
      </patternFill>
    </fill>
    <fill>
      <patternFill patternType="solid">
        <fgColor rgb="FF7030A0"/>
        <bgColor rgb="FF800080"/>
      </patternFill>
    </fill>
    <fill>
      <patternFill patternType="solid">
        <fgColor rgb="FF4472C4"/>
        <bgColor rgb="FF2E75B6"/>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8F00"/>
      </left>
      <right style="thin">
        <color rgb="FFBF8F00"/>
      </right>
      <top style="thin">
        <color rgb="FFBF8F00"/>
      </top>
      <bottom style="thin">
        <color rgb="FFBF8F00"/>
      </bottom>
      <diagonal/>
    </border>
    <border diagonalUp="false" diagonalDown="false">
      <left style="thin">
        <color rgb="FF548235"/>
      </left>
      <right style="thin">
        <color rgb="FF548235"/>
      </right>
      <top style="thin">
        <color rgb="FF548235"/>
      </top>
      <bottom style="thin">
        <color rgb="FF548235"/>
      </bottom>
      <diagonal/>
    </border>
    <border diagonalUp="false" diagonalDown="false">
      <left style="thin">
        <color rgb="FFC00000"/>
      </left>
      <right style="thin">
        <color rgb="FFC00000"/>
      </right>
      <top style="thin">
        <color rgb="FFC00000"/>
      </top>
      <bottom style="thin">
        <color rgb="FFC0000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false" applyAlignment="true" applyProtection="false">
      <alignment horizontal="left" vertical="center" textRotation="0" wrapText="false" indent="1"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14" fillId="5" borderId="2" xfId="0" applyFont="true" applyBorder="true" applyAlignment="true" applyProtection="false">
      <alignment horizontal="left" vertical="center" textRotation="0" wrapText="false" indent="1" shrinkToFit="false"/>
      <protection locked="true" hidden="false"/>
    </xf>
    <xf numFmtId="164" fontId="0" fillId="5" borderId="2" xfId="0" applyFont="false" applyBorder="true" applyAlignment="true" applyProtection="false">
      <alignment horizontal="general" vertical="bottom" textRotation="0" wrapText="false" indent="0" shrinkToFit="false"/>
      <protection locked="true" hidden="false"/>
    </xf>
    <xf numFmtId="164" fontId="14" fillId="5" borderId="2" xfId="0" applyFont="true" applyBorder="true" applyAlignment="true" applyProtection="false">
      <alignment horizontal="center" vertical="center" textRotation="0" wrapText="false" indent="0" shrinkToFit="false"/>
      <protection locked="true" hidden="false"/>
    </xf>
    <xf numFmtId="164" fontId="14" fillId="5" borderId="2"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12" fillId="4" borderId="0" xfId="0" applyFont="true" applyBorder="false" applyAlignment="true" applyProtection="false">
      <alignment horizontal="left" vertical="center" textRotation="0" wrapText="false" indent="1"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3" shrinkToFit="false"/>
      <protection locked="true" hidden="false"/>
    </xf>
    <xf numFmtId="164" fontId="10" fillId="0" borderId="0" xfId="0" applyFont="true" applyBorder="false" applyAlignment="true" applyProtection="false">
      <alignment horizontal="left" vertical="center" textRotation="0" wrapText="false" indent="6" shrinkToFit="false"/>
      <protection locked="true" hidden="false"/>
    </xf>
    <xf numFmtId="164" fontId="10" fillId="0" borderId="0" xfId="0" applyFont="true" applyBorder="true" applyAlignment="true" applyProtection="false">
      <alignment horizontal="left" vertical="center" textRotation="0" wrapText="true" indent="6"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0" fillId="6" borderId="3" xfId="0" applyFont="true" applyBorder="true" applyAlignment="true" applyProtection="false">
      <alignment horizontal="center" vertical="center" textRotation="0" wrapText="false" indent="0" shrinkToFit="false"/>
      <protection locked="true" hidden="false"/>
    </xf>
    <xf numFmtId="164" fontId="17" fillId="6" borderId="3" xfId="0" applyFont="true" applyBorder="true" applyAlignment="true" applyProtection="false">
      <alignment horizontal="left" vertical="center" textRotation="0" wrapText="false" indent="1" shrinkToFit="false"/>
      <protection locked="true" hidden="false"/>
    </xf>
    <xf numFmtId="165" fontId="10" fillId="6" borderId="3" xfId="0" applyFont="true" applyBorder="true" applyAlignment="true" applyProtection="false">
      <alignment horizontal="center" vertical="center" textRotation="0" wrapText="false" indent="0" shrinkToFit="false"/>
      <protection locked="true" hidden="false"/>
    </xf>
    <xf numFmtId="166" fontId="10" fillId="6" borderId="3"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6" fillId="7"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4" fontId="18" fillId="0" borderId="0"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7" fillId="6" borderId="3" xfId="0" applyFont="true" applyBorder="true" applyAlignment="true" applyProtection="false">
      <alignment horizontal="left" vertical="center" textRotation="0" wrapText="true" indent="1"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4" fillId="5" borderId="2" xfId="0" applyFont="true" applyBorder="true" applyAlignment="true" applyProtection="false">
      <alignment horizontal="center" vertical="center" textRotation="0" wrapText="false" indent="0" shrinkToFit="false"/>
      <protection locked="true" hidden="false"/>
    </xf>
    <xf numFmtId="168" fontId="14" fillId="5" borderId="2" xfId="0" applyFont="true" applyBorder="true" applyAlignment="true" applyProtection="false">
      <alignment horizontal="center" vertical="center" textRotation="0" wrapText="false" indent="0" shrinkToFit="false"/>
      <protection locked="true" hidden="false"/>
    </xf>
    <xf numFmtId="165" fontId="14" fillId="5" borderId="2" xfId="0" applyFont="true" applyBorder="true" applyAlignment="true" applyProtection="false">
      <alignment horizontal="center" vertical="center" textRotation="0" wrapText="false" indent="0" shrinkToFit="false"/>
      <protection locked="true" hidden="false"/>
    </xf>
    <xf numFmtId="169" fontId="10" fillId="6" borderId="3" xfId="0" applyFont="true" applyBorder="true" applyAlignment="true" applyProtection="false">
      <alignment horizontal="center" vertical="center" textRotation="0" wrapText="false" indent="0" shrinkToFit="false"/>
      <protection locked="true" hidden="false"/>
    </xf>
    <xf numFmtId="168" fontId="10" fillId="6" borderId="3" xfId="0" applyFont="true" applyBorder="true" applyAlignment="true" applyProtection="false">
      <alignment horizontal="center" vertical="center" textRotation="0" wrapText="false" indent="0" shrinkToFit="false"/>
      <protection locked="true" hidden="false"/>
    </xf>
    <xf numFmtId="166" fontId="14" fillId="5" borderId="2" xfId="0" applyFont="true" applyBorder="true" applyAlignment="true" applyProtection="false">
      <alignment horizontal="center" vertical="center" textRotation="0" wrapText="false" indent="0" shrinkToFit="false"/>
      <protection locked="true" hidden="false"/>
    </xf>
    <xf numFmtId="170" fontId="10" fillId="6" borderId="3" xfId="0" applyFont="true" applyBorder="true" applyAlignment="true" applyProtection="false">
      <alignment horizontal="center" vertical="center" textRotation="0" wrapText="false" indent="0" shrinkToFit="false"/>
      <protection locked="true" hidden="false"/>
    </xf>
    <xf numFmtId="167" fontId="10" fillId="6" borderId="3" xfId="0" applyFont="true" applyBorder="true" applyAlignment="true" applyProtection="false">
      <alignment horizontal="center" vertical="center" textRotation="0" wrapText="false" indent="0" shrinkToFit="false"/>
      <protection locked="true" hidden="false"/>
    </xf>
    <xf numFmtId="171" fontId="10" fillId="6" borderId="3" xfId="0" applyFont="true" applyBorder="true" applyAlignment="true" applyProtection="false">
      <alignment horizontal="center" vertical="center" textRotation="0" wrapText="false" indent="0" shrinkToFit="false"/>
      <protection locked="true" hidden="false"/>
    </xf>
    <xf numFmtId="172" fontId="14" fillId="5" borderId="2" xfId="0" applyFont="true" applyBorder="true" applyAlignment="true" applyProtection="false">
      <alignment horizontal="center" vertical="center" textRotation="0" wrapText="false" indent="0" shrinkToFit="false"/>
      <protection locked="true" hidden="false"/>
    </xf>
    <xf numFmtId="172" fontId="10" fillId="6" borderId="3" xfId="0" applyFont="true" applyBorder="true" applyAlignment="true" applyProtection="false">
      <alignment horizontal="center" vertical="center" textRotation="0" wrapText="false" indent="0" shrinkToFit="false"/>
      <protection locked="true" hidden="false"/>
    </xf>
    <xf numFmtId="173" fontId="10" fillId="6" borderId="3" xfId="0" applyFont="true" applyBorder="true" applyAlignment="true" applyProtection="false">
      <alignment horizontal="center" vertical="center" textRotation="0" wrapText="false" indent="0" shrinkToFit="false"/>
      <protection locked="true" hidden="false"/>
    </xf>
    <xf numFmtId="174" fontId="10" fillId="6" borderId="3"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general" vertical="bottom" textRotation="0" wrapText="true" indent="0" shrinkToFit="false"/>
      <protection locked="true" hidden="false"/>
    </xf>
    <xf numFmtId="166" fontId="10" fillId="6" borderId="3" xfId="0" applyFont="true" applyBorder="true" applyAlignment="true" applyProtection="false">
      <alignment horizontal="center" vertical="center" textRotation="0" wrapText="true" indent="0" shrinkToFit="false"/>
      <protection locked="true" hidden="false"/>
    </xf>
    <xf numFmtId="169" fontId="14" fillId="5" borderId="2" xfId="0" applyFont="true" applyBorder="true" applyAlignment="true" applyProtection="false">
      <alignment horizontal="center" vertical="center" textRotation="0" wrapText="false" indent="0" shrinkToFit="false"/>
      <protection locked="true" hidden="false"/>
    </xf>
    <xf numFmtId="175" fontId="10" fillId="6" borderId="3" xfId="0" applyFont="true" applyBorder="true" applyAlignment="true" applyProtection="false">
      <alignment horizontal="center" vertical="center" textRotation="0" wrapText="false" indent="0" shrinkToFit="false"/>
      <protection locked="true" hidden="false"/>
    </xf>
    <xf numFmtId="176" fontId="10" fillId="6" borderId="3"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6" fillId="8" borderId="0" xfId="0" applyFont="true" applyBorder="false" applyAlignment="true" applyProtection="false">
      <alignment horizontal="center" vertical="center" textRotation="0" wrapText="false" indent="0" shrinkToFit="false"/>
      <protection locked="true" hidden="false"/>
    </xf>
    <xf numFmtId="164" fontId="10" fillId="6" borderId="3"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8" fillId="9" borderId="4" xfId="0" applyFont="true" applyBorder="true" applyAlignment="true" applyProtection="false">
      <alignment horizontal="left" vertical="center" textRotation="0" wrapText="false" indent="0" shrinkToFit="false"/>
      <protection locked="true" hidden="false"/>
    </xf>
    <xf numFmtId="164" fontId="0" fillId="9" borderId="4"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3"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8" fontId="14" fillId="5" borderId="2"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70" fontId="10" fillId="6" borderId="3" xfId="0" applyFont="true" applyBorder="true" applyAlignment="true" applyProtection="false">
      <alignment horizontal="center" vertical="center" textRotation="0" wrapText="true" indent="0" shrinkToFit="false"/>
      <protection locked="true" hidden="false"/>
    </xf>
    <xf numFmtId="170" fontId="14" fillId="5" borderId="2" xfId="0" applyFont="true" applyBorder="true" applyAlignment="true" applyProtection="false">
      <alignment horizontal="center" vertical="center" textRotation="0" wrapText="false" indent="0" shrinkToFit="false"/>
      <protection locked="true" hidden="false"/>
    </xf>
    <xf numFmtId="177" fontId="10" fillId="6" borderId="3"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1" fillId="5" borderId="2" xfId="0" applyFont="true" applyBorder="true" applyAlignment="true" applyProtection="false">
      <alignment horizontal="center" vertical="center" textRotation="0" wrapText="false" indent="0" shrinkToFit="false"/>
      <protection locked="true" hidden="false"/>
    </xf>
    <xf numFmtId="170" fontId="14" fillId="5" borderId="2" xfId="0" applyFont="true" applyBorder="true" applyAlignment="true" applyProtection="false">
      <alignment horizontal="center" vertical="center" textRotation="0" wrapText="true" indent="0" shrinkToFit="false"/>
      <protection locked="true" hidden="false"/>
    </xf>
    <xf numFmtId="178" fontId="10" fillId="6" borderId="3" xfId="0" applyFont="true" applyBorder="true" applyAlignment="true" applyProtection="false">
      <alignment horizontal="center" vertical="center" textRotation="0" wrapText="false" indent="0" shrinkToFit="false"/>
      <protection locked="true" hidden="false"/>
    </xf>
    <xf numFmtId="175" fontId="14" fillId="5" borderId="2" xfId="0" applyFont="true" applyBorder="true" applyAlignment="true" applyProtection="false">
      <alignment horizontal="center" vertical="center" textRotation="0" wrapText="false" indent="0" shrinkToFit="false"/>
      <protection locked="true" hidden="false"/>
    </xf>
    <xf numFmtId="164" fontId="6" fillId="1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25" fillId="2"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26" fillId="0" borderId="0" xfId="0" applyFont="true" applyBorder="true" applyAlignment="true" applyProtection="false">
      <alignment horizontal="general" vertical="bottom" textRotation="0" wrapText="true" indent="0" shrinkToFit="false"/>
      <protection locked="true" hidden="false"/>
    </xf>
    <xf numFmtId="164" fontId="27" fillId="4" borderId="1" xfId="0" applyFont="true" applyBorder="true" applyAlignment="true" applyProtection="false">
      <alignment horizontal="general" vertical="center" textRotation="0" wrapText="true" indent="0" shrinkToFit="false"/>
      <protection locked="true" hidden="false"/>
    </xf>
    <xf numFmtId="164" fontId="28" fillId="0" borderId="1" xfId="0" applyFont="true" applyBorder="true" applyAlignment="tru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26" fillId="5" borderId="0" xfId="0" applyFont="true" applyBorder="false" applyAlignment="true" applyProtection="false">
      <alignment horizontal="general" vertical="bottom" textRotation="0" wrapText="false" indent="0" shrinkToFit="false"/>
      <protection locked="true" hidden="false"/>
    </xf>
    <xf numFmtId="164" fontId="29" fillId="6" borderId="0" xfId="0" applyFont="true" applyBorder="true" applyAlignment="true" applyProtection="false">
      <alignment horizontal="general" vertical="bottom" textRotation="0" wrapText="true" indent="0" shrinkToFit="false"/>
      <protection locked="true" hidden="false"/>
    </xf>
    <xf numFmtId="166" fontId="26" fillId="5" borderId="2" xfId="0" applyFont="true" applyBorder="true" applyAlignment="true" applyProtection="false">
      <alignment horizontal="center" vertical="bottom" textRotation="0" wrapText="false" indent="0" shrinkToFit="false"/>
      <protection locked="true" hidden="false"/>
    </xf>
    <xf numFmtId="164" fontId="26" fillId="5" borderId="2" xfId="0" applyFont="true" applyBorder="true" applyAlignment="true" applyProtection="false">
      <alignment horizontal="center" vertical="bottom" textRotation="0" wrapText="false" indent="0" shrinkToFit="false"/>
      <protection locked="true" hidden="false"/>
    </xf>
    <xf numFmtId="164" fontId="13" fillId="6" borderId="3" xfId="0" applyFont="true" applyBorder="true" applyAlignment="true" applyProtection="false">
      <alignment horizontal="left" vertical="bottom" textRotation="0" wrapText="true" indent="0" shrinkToFit="false"/>
      <protection locked="true" hidden="false"/>
    </xf>
    <xf numFmtId="164" fontId="30" fillId="6" borderId="3"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6" fontId="13" fillId="6" borderId="3" xfId="0" applyFont="true" applyBorder="true" applyAlignment="true" applyProtection="false">
      <alignment horizontal="center" vertical="bottom" textRotation="0" wrapText="false" indent="0" shrinkToFit="false"/>
      <protection locked="true" hidden="false"/>
    </xf>
    <xf numFmtId="169" fontId="26" fillId="5" borderId="2" xfId="0" applyFont="true" applyBorder="true" applyAlignment="true" applyProtection="false">
      <alignment horizontal="center" vertical="bottom" textRotation="0" wrapText="true" indent="0" shrinkToFit="false"/>
      <protection locked="true" hidden="false"/>
    </xf>
    <xf numFmtId="170" fontId="13" fillId="6" borderId="3" xfId="0" applyFont="true" applyBorder="true" applyAlignment="true" applyProtection="false">
      <alignment horizontal="center" vertical="bottom" textRotation="0" wrapText="false" indent="0" shrinkToFit="false"/>
      <protection locked="true" hidden="false"/>
    </xf>
    <xf numFmtId="177" fontId="13" fillId="6" borderId="3" xfId="0" applyFont="true" applyBorder="true" applyAlignment="true" applyProtection="false">
      <alignment horizontal="center" vertical="bottom" textRotation="0" wrapText="false" indent="0" shrinkToFit="false"/>
      <protection locked="true" hidden="false"/>
    </xf>
    <xf numFmtId="175" fontId="13" fillId="6" borderId="3" xfId="0" applyFont="true" applyBorder="true" applyAlignment="true" applyProtection="false">
      <alignment horizontal="center" vertical="bottom" textRotation="0" wrapText="false" indent="0" shrinkToFit="false"/>
      <protection locked="true" hidden="false"/>
    </xf>
    <xf numFmtId="169" fontId="13" fillId="6" borderId="3" xfId="0" applyFont="true" applyBorder="true" applyAlignment="true" applyProtection="false">
      <alignment horizontal="center" vertical="bottom" textRotation="0" wrapText="false" indent="0" shrinkToFit="false"/>
      <protection locked="true" hidden="false"/>
    </xf>
    <xf numFmtId="164" fontId="33" fillId="0" borderId="0" xfId="0" applyFont="true" applyBorder="true" applyAlignment="true" applyProtection="false">
      <alignment horizontal="general" vertical="top" textRotation="0" wrapText="true" indent="0" shrinkToFit="false"/>
      <protection locked="true" hidden="false"/>
    </xf>
    <xf numFmtId="168" fontId="26" fillId="5" borderId="2" xfId="0" applyFont="true" applyBorder="true" applyAlignment="true" applyProtection="false">
      <alignment horizontal="center" vertical="bottom" textRotation="0" wrapText="false" indent="0" shrinkToFit="false"/>
      <protection locked="true" hidden="false"/>
    </xf>
    <xf numFmtId="164" fontId="13" fillId="6" borderId="3" xfId="0" applyFont="true" applyBorder="true" applyAlignment="true" applyProtection="false">
      <alignment horizontal="left" vertical="bottom" textRotation="0" wrapText="false" indent="0" shrinkToFit="false"/>
      <protection locked="true" hidden="false"/>
    </xf>
    <xf numFmtId="168" fontId="13" fillId="6" borderId="3" xfId="0" applyFont="true" applyBorder="true" applyAlignment="true" applyProtection="false">
      <alignment horizontal="center" vertical="bottom" textRotation="0" wrapText="false" indent="0" shrinkToFit="false"/>
      <protection locked="true" hidden="false"/>
    </xf>
    <xf numFmtId="164" fontId="13" fillId="6" borderId="3" xfId="0" applyFont="true" applyBorder="true" applyAlignment="true" applyProtection="false">
      <alignment horizontal="center" vertical="bottom" textRotation="0" wrapText="false" indent="0" shrinkToFit="false"/>
      <protection locked="true" hidden="false"/>
    </xf>
    <xf numFmtId="174" fontId="13" fillId="6" borderId="3" xfId="0" applyFont="true" applyBorder="true" applyAlignment="true" applyProtection="false">
      <alignment horizontal="center" vertical="bottom" textRotation="0" wrapText="false" indent="0" shrinkToFit="false"/>
      <protection locked="true" hidden="false"/>
    </xf>
    <xf numFmtId="169" fontId="26" fillId="5" borderId="2" xfId="0" applyFont="true" applyBorder="true" applyAlignment="true" applyProtection="false">
      <alignment horizontal="center" vertical="bottom" textRotation="0" wrapText="false" indent="0" shrinkToFit="false"/>
      <protection locked="true" hidden="false"/>
    </xf>
    <xf numFmtId="168" fontId="13" fillId="6" borderId="3" xfId="0" applyFont="true" applyBorder="true" applyAlignment="true" applyProtection="false">
      <alignment horizontal="center" vertical="bottom" textRotation="0" wrapText="true" indent="0" shrinkToFit="false"/>
      <protection locked="true" hidden="false"/>
    </xf>
    <xf numFmtId="170" fontId="13" fillId="6" borderId="3" xfId="0" applyFont="true" applyBorder="true" applyAlignment="true" applyProtection="false">
      <alignment horizontal="general" vertical="bottom" textRotation="0" wrapText="false" indent="0" shrinkToFit="false"/>
      <protection locked="true" hidden="false"/>
    </xf>
    <xf numFmtId="167" fontId="26" fillId="5" borderId="2" xfId="0" applyFont="true" applyBorder="true" applyAlignment="true" applyProtection="false">
      <alignment horizontal="center" vertical="bottom" textRotation="0" wrapText="false" indent="0" shrinkToFit="false"/>
      <protection locked="true" hidden="false"/>
    </xf>
    <xf numFmtId="164" fontId="27" fillId="4" borderId="1" xfId="0" applyFont="true" applyBorder="tru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center" vertical="center" textRotation="0" wrapText="false" indent="0" shrinkToFit="false"/>
      <protection locked="true" hidden="false"/>
    </xf>
    <xf numFmtId="167" fontId="13" fillId="6" borderId="3" xfId="0" applyFont="true" applyBorder="true" applyAlignment="true" applyProtection="false">
      <alignment horizontal="center" vertical="bottom" textRotation="0" wrapText="false" indent="0" shrinkToFit="false"/>
      <protection locked="true" hidden="false"/>
    </xf>
    <xf numFmtId="176" fontId="13" fillId="6" borderId="3" xfId="0" applyFont="true" applyBorder="true" applyAlignment="true" applyProtection="false">
      <alignment horizontal="center" vertical="bottom" textRotation="0" wrapText="false" indent="0" shrinkToFit="false"/>
      <protection locked="true" hidden="false"/>
    </xf>
    <xf numFmtId="170" fontId="13" fillId="6" borderId="3" xfId="0" applyFont="true" applyBorder="true" applyAlignment="true" applyProtection="false">
      <alignment horizontal="center" vertical="bottom" textRotation="0" wrapText="true" indent="0" shrinkToFit="false"/>
      <protection locked="true" hidden="false"/>
    </xf>
    <xf numFmtId="167" fontId="13" fillId="6" borderId="3" xfId="0" applyFont="true" applyBorder="true" applyAlignment="true" applyProtection="false">
      <alignment horizontal="center" vertical="bottom" textRotation="0" wrapText="true" indent="0" shrinkToFit="false"/>
      <protection locked="true" hidden="false"/>
    </xf>
    <xf numFmtId="171" fontId="26" fillId="5" borderId="2" xfId="0" applyFont="true" applyBorder="true" applyAlignment="true" applyProtection="false">
      <alignment horizontal="center"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true" applyAlignment="true" applyProtection="false">
      <alignment horizontal="left" vertical="center" textRotation="0" wrapText="false" indent="0" shrinkToFit="false"/>
      <protection locked="true" hidden="false"/>
    </xf>
    <xf numFmtId="164" fontId="36" fillId="8" borderId="0" xfId="0" applyFont="true" applyBorder="fals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left" vertical="center" textRotation="0" wrapText="false" indent="0" shrinkToFit="false"/>
      <protection locked="true" hidden="false"/>
    </xf>
    <xf numFmtId="164" fontId="38" fillId="0" borderId="0" xfId="0" applyFont="true" applyBorder="true" applyAlignment="true" applyProtection="false">
      <alignment horizontal="left" vertical="center" textRotation="0" wrapText="true" indent="0" shrinkToFit="false"/>
      <protection locked="true" hidden="false"/>
    </xf>
    <xf numFmtId="164" fontId="27" fillId="4" borderId="1" xfId="0" applyFont="true" applyBorder="true" applyAlignment="true" applyProtection="false">
      <alignment horizontal="center" vertical="center" textRotation="0" wrapText="true" indent="0" shrinkToFit="false"/>
      <protection locked="true" hidden="false"/>
    </xf>
    <xf numFmtId="164" fontId="28" fillId="0" borderId="1" xfId="0" applyFont="true" applyBorder="true" applyAlignment="true" applyProtection="false">
      <alignment horizontal="general" vertical="top" textRotation="0" wrapText="true" indent="0" shrinkToFit="false"/>
      <protection locked="true" hidden="false"/>
    </xf>
    <xf numFmtId="164" fontId="29" fillId="6" borderId="0" xfId="0" applyFont="true" applyBorder="false" applyAlignment="true" applyProtection="false">
      <alignment horizontal="general" vertical="bottom" textRotation="0" wrapText="false" indent="0" shrinkToFit="false"/>
      <protection locked="true" hidden="false"/>
    </xf>
    <xf numFmtId="166" fontId="26" fillId="5" borderId="2" xfId="0" applyFont="true" applyBorder="true" applyAlignment="true" applyProtection="false">
      <alignment horizontal="general" vertical="top" textRotation="0" wrapText="true" indent="0" shrinkToFit="false"/>
      <protection locked="true" hidden="false"/>
    </xf>
    <xf numFmtId="168" fontId="26" fillId="5" borderId="2" xfId="0" applyFont="true" applyBorder="true" applyAlignment="true" applyProtection="false">
      <alignment horizontal="general" vertical="top" textRotation="0" wrapText="true" indent="0" shrinkToFit="false"/>
      <protection locked="true" hidden="false"/>
    </xf>
    <xf numFmtId="167" fontId="26" fillId="5" borderId="2" xfId="0" applyFont="true" applyBorder="true" applyAlignment="true" applyProtection="false">
      <alignment horizontal="general" vertical="top" textRotation="0" wrapText="true" indent="0" shrinkToFit="false"/>
      <protection locked="true" hidden="false"/>
    </xf>
    <xf numFmtId="167" fontId="13" fillId="6" borderId="3" xfId="0" applyFont="true" applyBorder="true" applyAlignment="true" applyProtection="false">
      <alignment horizontal="general" vertical="top" textRotation="0" wrapText="true" indent="0" shrinkToFit="false"/>
      <protection locked="true" hidden="false"/>
    </xf>
    <xf numFmtId="172" fontId="13" fillId="6" borderId="3" xfId="0" applyFont="true" applyBorder="true" applyAlignment="true" applyProtection="false">
      <alignment horizontal="general" vertical="top" textRotation="0" wrapText="true" indent="0" shrinkToFit="false"/>
      <protection locked="true" hidden="false"/>
    </xf>
    <xf numFmtId="175" fontId="13" fillId="6" borderId="3" xfId="0" applyFont="true" applyBorder="true" applyAlignment="true" applyProtection="false">
      <alignment horizontal="general" vertical="top" textRotation="0" wrapText="true" indent="0" shrinkToFit="false"/>
      <protection locked="true" hidden="false"/>
    </xf>
    <xf numFmtId="166" fontId="13" fillId="6" borderId="3" xfId="0" applyFont="true" applyBorder="true" applyAlignment="true" applyProtection="false">
      <alignment horizontal="general" vertical="top" textRotation="0" wrapText="tru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7" fontId="29" fillId="6" borderId="3" xfId="0" applyFont="true" applyBorder="true" applyAlignment="true" applyProtection="false">
      <alignment horizontal="general" vertical="top" textRotation="0" wrapText="true" indent="0" shrinkToFit="false"/>
      <protection locked="true" hidden="false"/>
    </xf>
    <xf numFmtId="172" fontId="29" fillId="6" borderId="3" xfId="0" applyFont="true" applyBorder="true" applyAlignment="true" applyProtection="false">
      <alignment horizontal="general" vertical="top" textRotation="0" wrapText="true" indent="0" shrinkToFit="false"/>
      <protection locked="true" hidden="false"/>
    </xf>
    <xf numFmtId="175" fontId="29" fillId="6" borderId="3" xfId="0" applyFont="true" applyBorder="true" applyAlignment="true" applyProtection="false">
      <alignment horizontal="general" vertical="top" textRotation="0" wrapText="true" indent="0" shrinkToFit="false"/>
      <protection locked="true" hidden="false"/>
    </xf>
    <xf numFmtId="164" fontId="13" fillId="6" borderId="3" xfId="0" applyFont="true" applyBorder="true" applyAlignment="true" applyProtection="false">
      <alignment horizontal="general" vertical="top" textRotation="0" wrapText="true" indent="0" shrinkToFit="false"/>
      <protection locked="true" hidden="false"/>
    </xf>
    <xf numFmtId="164" fontId="30" fillId="6" borderId="3" xfId="0" applyFont="true" applyBorder="true" applyAlignment="true" applyProtection="false">
      <alignment horizontal="general" vertical="top" textRotation="0" wrapText="tru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4" fontId="36" fillId="7" borderId="0" xfId="0" applyFont="true" applyBorder="false" applyAlignment="true" applyProtection="false">
      <alignment horizontal="center" vertical="center" textRotation="0" wrapText="false" indent="0" shrinkToFit="false"/>
      <protection locked="true" hidden="false"/>
    </xf>
    <xf numFmtId="172" fontId="26" fillId="5" borderId="2" xfId="0" applyFont="true" applyBorder="true" applyAlignment="true" applyProtection="false">
      <alignment horizontal="general" vertical="top" textRotation="0" wrapText="true" indent="0" shrinkToFit="false"/>
      <protection locked="true" hidden="false"/>
    </xf>
    <xf numFmtId="168" fontId="13" fillId="6" borderId="3" xfId="0" applyFont="true" applyBorder="true" applyAlignment="true" applyProtection="false">
      <alignment horizontal="general" vertical="top" textRotation="0" wrapText="true" indent="0" shrinkToFit="false"/>
      <protection locked="true" hidden="false"/>
    </xf>
    <xf numFmtId="165" fontId="26" fillId="5" borderId="2" xfId="0" applyFont="true" applyBorder="true" applyAlignment="true" applyProtection="false">
      <alignment horizontal="general" vertical="top" textRotation="0" wrapText="true" indent="0" shrinkToFit="false"/>
      <protection locked="true" hidden="false"/>
    </xf>
    <xf numFmtId="169" fontId="13" fillId="6" borderId="3" xfId="0" applyFont="true" applyBorder="true" applyAlignment="true" applyProtection="false">
      <alignment horizontal="general" vertical="top" textRotation="0" wrapText="true" indent="0" shrinkToFit="false"/>
      <protection locked="true" hidden="false"/>
    </xf>
    <xf numFmtId="164" fontId="26" fillId="5" borderId="2" xfId="0" applyFont="true" applyBorder="true" applyAlignment="true" applyProtection="false">
      <alignment horizontal="general" vertical="top" textRotation="0" wrapText="true" indent="0" shrinkToFit="false"/>
      <protection locked="true" hidden="false"/>
    </xf>
    <xf numFmtId="173" fontId="13" fillId="6" borderId="3" xfId="0" applyFont="true" applyBorder="true" applyAlignment="true" applyProtection="false">
      <alignment horizontal="general" vertical="top" textRotation="0" wrapText="true" indent="0" shrinkToFit="false"/>
      <protection locked="true" hidden="false"/>
    </xf>
    <xf numFmtId="164" fontId="36" fillId="10" borderId="0" xfId="0" applyFont="true" applyBorder="false" applyAlignment="true" applyProtection="false">
      <alignment horizontal="center" vertical="center" textRotation="0" wrapText="false" indent="0" shrinkToFit="false"/>
      <protection locked="true" hidden="false"/>
    </xf>
    <xf numFmtId="179" fontId="26" fillId="5" borderId="2" xfId="0" applyFont="true" applyBorder="true" applyAlignment="true" applyProtection="false">
      <alignment horizontal="general" vertical="top" textRotation="0" wrapText="true" indent="0" shrinkToFit="false"/>
      <protection locked="true" hidden="false"/>
    </xf>
    <xf numFmtId="169" fontId="26" fillId="5" borderId="2" xfId="0" applyFont="true" applyBorder="true" applyAlignment="true" applyProtection="false">
      <alignment horizontal="general" vertical="top" textRotation="0" wrapText="true" indent="0" shrinkToFit="false"/>
      <protection locked="true" hidden="false"/>
    </xf>
    <xf numFmtId="164" fontId="38" fillId="0" borderId="0"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true" applyProtection="false">
      <alignment horizontal="general" vertical="bottom" textRotation="0" wrapText="true" indent="0" shrinkToFit="false"/>
      <protection locked="true" hidden="false"/>
    </xf>
    <xf numFmtId="165" fontId="13" fillId="6" borderId="3" xfId="0" applyFont="true" applyBorder="true" applyAlignment="true" applyProtection="false">
      <alignment horizontal="general" vertical="top" textRotation="0" wrapText="true" indent="0" shrinkToFit="false"/>
      <protection locked="true" hidden="false"/>
    </xf>
    <xf numFmtId="166" fontId="29" fillId="6" borderId="3" xfId="0" applyFont="true" applyBorder="true" applyAlignment="true" applyProtection="false">
      <alignment horizontal="general" vertical="top" textRotation="0" wrapText="true" indent="0" shrinkToFit="false"/>
      <protection locked="true" hidden="false"/>
    </xf>
    <xf numFmtId="165" fontId="29" fillId="6" borderId="3" xfId="0" applyFont="true" applyBorder="true" applyAlignment="true" applyProtection="false">
      <alignment horizontal="general" vertical="top" textRotation="0" wrapText="true" indent="0" shrinkToFit="false"/>
      <protection locked="true" hidden="false"/>
    </xf>
    <xf numFmtId="164" fontId="29" fillId="6" borderId="3" xfId="0" applyFont="true" applyBorder="true" applyAlignment="true" applyProtection="false">
      <alignment horizontal="general" vertical="top" textRotation="0" wrapText="true" indent="0" shrinkToFit="false"/>
      <protection locked="true" hidden="false"/>
    </xf>
    <xf numFmtId="180" fontId="13" fillId="6" borderId="3" xfId="0" applyFont="true" applyBorder="true" applyAlignment="true" applyProtection="false">
      <alignment horizontal="general" vertical="top" textRotation="0" wrapText="true" indent="0" shrinkToFit="false"/>
      <protection locked="true" hidden="false"/>
    </xf>
    <xf numFmtId="164" fontId="36" fillId="11" borderId="0" xfId="0" applyFont="true" applyBorder="false" applyAlignment="true" applyProtection="false">
      <alignment horizontal="center" vertical="center" textRotation="0" wrapText="false" indent="0" shrinkToFit="false"/>
      <protection locked="true" hidden="false"/>
    </xf>
    <xf numFmtId="170" fontId="26" fillId="5" borderId="2" xfId="0" applyFont="true" applyBorder="true" applyAlignment="true" applyProtection="false">
      <alignment horizontal="general" vertical="top" textRotation="0" wrapText="true" indent="0" shrinkToFit="false"/>
      <protection locked="true" hidden="false"/>
    </xf>
    <xf numFmtId="175" fontId="26" fillId="5" borderId="2" xfId="0" applyFont="true" applyBorder="true" applyAlignment="true" applyProtection="false">
      <alignment horizontal="general" vertical="top" textRotation="0" wrapText="true" indent="0" shrinkToFit="false"/>
      <protection locked="true" hidden="false"/>
    </xf>
    <xf numFmtId="180" fontId="26" fillId="5" borderId="2" xfId="0" applyFont="true" applyBorder="true" applyAlignment="true" applyProtection="false">
      <alignment horizontal="general" vertical="top" textRotation="0" wrapText="true" indent="0" shrinkToFit="false"/>
      <protection locked="true" hidden="false"/>
    </xf>
    <xf numFmtId="180" fontId="29" fillId="6" borderId="3" xfId="0" applyFont="true" applyBorder="true" applyAlignment="true" applyProtection="false">
      <alignment horizontal="general" vertical="top" textRotation="0" wrapText="true" indent="0" shrinkToFit="false"/>
      <protection locked="true" hidden="false"/>
    </xf>
    <xf numFmtId="176" fontId="13" fillId="6" borderId="3" xfId="0" applyFont="true" applyBorder="true" applyAlignment="true" applyProtection="false">
      <alignment horizontal="general" vertical="top" textRotation="0" wrapText="true" indent="0" shrinkToFit="false"/>
      <protection locked="true" hidden="false"/>
    </xf>
    <xf numFmtId="164" fontId="36" fillId="12" borderId="0" xfId="0" applyFont="true" applyBorder="fals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81" fontId="13" fillId="6" borderId="3" xfId="0" applyFont="true" applyBorder="true" applyAlignment="true" applyProtection="false">
      <alignment horizontal="general" vertical="top" textRotation="0" wrapText="true" indent="0" shrinkToFit="false"/>
      <protection locked="true" hidden="false"/>
    </xf>
    <xf numFmtId="181" fontId="29" fillId="6" borderId="3" xfId="0" applyFont="true" applyBorder="true" applyAlignment="true" applyProtection="false">
      <alignment horizontal="general" vertical="top" textRotation="0" wrapText="true" indent="0" shrinkToFit="false"/>
      <protection locked="true" hidden="false"/>
    </xf>
    <xf numFmtId="182" fontId="13" fillId="6" borderId="3" xfId="0" applyFont="true" applyBorder="true" applyAlignment="true" applyProtection="false">
      <alignment horizontal="general" vertical="top" textRotation="0" wrapText="true" indent="0" shrinkToFit="false"/>
      <protection locked="true" hidden="false"/>
    </xf>
    <xf numFmtId="164" fontId="39" fillId="0" borderId="0" xfId="0" applyFont="true" applyBorder="true" applyAlignment="true" applyProtection="false">
      <alignment horizontal="general" vertical="bottom" textRotation="0" wrapText="true" indent="0" shrinkToFit="false"/>
      <protection locked="true" hidden="false"/>
    </xf>
    <xf numFmtId="164" fontId="32" fillId="0" borderId="0" xfId="0" applyFont="true" applyBorder="true" applyAlignment="true" applyProtection="false">
      <alignment horizontal="general" vertical="top" textRotation="0" wrapText="true" indent="0" shrinkToFit="false"/>
      <protection locked="true" hidden="false"/>
    </xf>
    <xf numFmtId="164" fontId="36" fillId="3" borderId="0" xfId="0" applyFont="true" applyBorder="false" applyAlignment="true" applyProtection="false">
      <alignment horizontal="center" vertical="center" textRotation="0" wrapText="false" indent="0" shrinkToFit="false"/>
      <protection locked="true" hidden="false"/>
    </xf>
    <xf numFmtId="179" fontId="13" fillId="6" borderId="3" xfId="0" applyFont="true" applyBorder="true" applyAlignment="true" applyProtection="false">
      <alignment horizontal="general" vertical="top" textRotation="0" wrapText="true" indent="0" shrinkToFit="false"/>
      <protection locked="true" hidden="false"/>
    </xf>
    <xf numFmtId="170" fontId="13" fillId="6" borderId="3" xfId="0" applyFont="true" applyBorder="true" applyAlignment="true" applyProtection="false">
      <alignment horizontal="general" vertical="top" textRotation="0" wrapText="true" indent="0" shrinkToFit="false"/>
      <protection locked="true" hidden="false"/>
    </xf>
    <xf numFmtId="177" fontId="13" fillId="6" borderId="3" xfId="0" applyFont="true" applyBorder="true" applyAlignment="true" applyProtection="false">
      <alignment horizontal="general" vertical="top" textRotation="0" wrapText="true" indent="0" shrinkToFit="false"/>
      <protection locked="true" hidden="false"/>
    </xf>
    <xf numFmtId="169" fontId="29" fillId="6" borderId="3"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E75B6"/>
          <bgColor rgb="FF000000"/>
        </patternFill>
      </fill>
    </dxf>
    <dxf>
      <fill>
        <patternFill patternType="solid">
          <bgColor rgb="FF000000"/>
        </patternFill>
      </fill>
    </dxf>
    <dxf>
      <fill>
        <patternFill patternType="solid">
          <fgColor rgb="FF333333"/>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4F81BD"/>
      <rgbColor rgb="FFBFBFBF"/>
      <rgbColor rgb="FF808080"/>
      <rgbColor rgb="FF9999FF"/>
      <rgbColor rgb="FF7030A0"/>
      <rgbColor rgb="FFFFF2CC"/>
      <rgbColor rgb="FFCCFFFF"/>
      <rgbColor rgb="FF660066"/>
      <rgbColor rgb="FFFF8080"/>
      <rgbColor rgb="FF2E75B6"/>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4472C4"/>
      <rgbColor rgb="FF4BACC6"/>
      <rgbColor rgb="FF9BBB59"/>
      <rgbColor rgb="FFFFC000"/>
      <rgbColor rgb="FFBF8F00"/>
      <rgbColor rgb="FFED7D31"/>
      <rgbColor rgb="FF8064A2"/>
      <rgbColor rgb="FFB3B3B3"/>
      <rgbColor rgb="FF003366"/>
      <rgbColor rgb="FF00B050"/>
      <rgbColor rgb="FF003300"/>
      <rgbColor rgb="FF595959"/>
      <rgbColor rgb="FF993300"/>
      <rgbColor rgb="FFC0504D"/>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Fill volume distribution</a:t>
            </a:r>
          </a:p>
        </c:rich>
      </c:tx>
      <c:overlay val="0"/>
      <c:spPr>
        <a:noFill/>
        <a:ln w="0">
          <a:noFill/>
        </a:ln>
      </c:spPr>
    </c:title>
    <c:autoTitleDeleted val="0"/>
    <c:plotArea>
      <c:barChart>
        <c:barDir val="col"/>
        <c:grouping val="clustered"/>
        <c:varyColors val="0"/>
        <c:ser>
          <c:idx val="0"/>
          <c:order val="0"/>
          <c:tx>
            <c:strRef>
              <c:f>'E-03 Descriptive Stats'!$E$91</c:f>
              <c:strCache>
                <c:ptCount val="1"/>
                <c:pt idx="0">
                  <c:v>Count</c:v>
                </c:pt>
              </c:strCache>
            </c:strRef>
          </c:tx>
          <c:spPr>
            <a:solidFill>
              <a:srgbClr val="4F81BD"/>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'E-03 Descriptive Stats'!$B$92:$B$99</c:f>
              <c:strCache>
                <c:ptCount val="8"/>
                <c:pt idx="0">
                  <c:v>498.5 - 499.0</c:v>
                </c:pt>
                <c:pt idx="1">
                  <c:v>499.0 - 499.5</c:v>
                </c:pt>
                <c:pt idx="2">
                  <c:v>499.5 - 499.9</c:v>
                </c:pt>
                <c:pt idx="3">
                  <c:v>499.9 - 500.4</c:v>
                </c:pt>
                <c:pt idx="4">
                  <c:v>500.4 - 500.9</c:v>
                </c:pt>
                <c:pt idx="5">
                  <c:v>500.9 - 501.4</c:v>
                </c:pt>
                <c:pt idx="6">
                  <c:v>501.4 - 501.8</c:v>
                </c:pt>
                <c:pt idx="7">
                  <c:v>501.8 - 502.3</c:v>
                </c:pt>
              </c:strCache>
            </c:strRef>
          </c:cat>
          <c:val>
            <c:numRef>
              <c:f>'E-03 Descriptive Stats'!$E$92:$E$99</c:f>
              <c:numCache>
                <c:formatCode>0</c:formatCode>
                <c:ptCount val="8"/>
                <c:pt idx="0">
                  <c:v>4</c:v>
                </c:pt>
                <c:pt idx="1">
                  <c:v>3</c:v>
                </c:pt>
                <c:pt idx="2">
                  <c:v>3</c:v>
                </c:pt>
                <c:pt idx="3">
                  <c:v>5</c:v>
                </c:pt>
                <c:pt idx="4">
                  <c:v>6</c:v>
                </c:pt>
                <c:pt idx="5">
                  <c:v>4</c:v>
                </c:pt>
                <c:pt idx="6">
                  <c:v>3</c:v>
                </c:pt>
                <c:pt idx="7">
                  <c:v>2</c:v>
                </c:pt>
              </c:numCache>
            </c:numRef>
          </c:val>
        </c:ser>
        <c:gapWidth val="20"/>
        <c:overlap val="0"/>
        <c:axId val="2710122"/>
        <c:axId val="12835741"/>
      </c:barChart>
      <c:catAx>
        <c:axId val="271012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Fill volume (ml)</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2835741"/>
        <c:crosses val="autoZero"/>
        <c:auto val="1"/>
        <c:lblAlgn val="ctr"/>
        <c:lblOffset val="100"/>
        <c:noMultiLvlLbl val="0"/>
      </c:catAx>
      <c:valAx>
        <c:axId val="1283574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Frequency</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71012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Normal curve of fill volume</a:t>
            </a:r>
          </a:p>
        </c:rich>
      </c:tx>
      <c:overlay val="0"/>
      <c:spPr>
        <a:noFill/>
        <a:ln w="0">
          <a:noFill/>
        </a:ln>
      </c:spPr>
    </c:title>
    <c:autoTitleDeleted val="0"/>
    <c:plotArea>
      <c:lineChart>
        <c:grouping val="standard"/>
        <c:varyColors val="0"/>
        <c:ser>
          <c:idx val="0"/>
          <c:order val="0"/>
          <c:tx>
            <c:strRef>
              <c:f>'E-07 Normal Distribution'!$C$79</c:f>
              <c:strCache>
                <c:ptCount val="1"/>
                <c:pt idx="0">
                  <c:v>Density</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'E-07 Normal Distribution'!$B$80:$B$120</c:f>
              <c:strCache>
                <c:ptCount val="41"/>
                <c:pt idx="0">
                  <c:v>496.10</c:v>
                </c:pt>
                <c:pt idx="1">
                  <c:v>496.32</c:v>
                </c:pt>
                <c:pt idx="2">
                  <c:v>496.54</c:v>
                </c:pt>
                <c:pt idx="3">
                  <c:v>496.76</c:v>
                </c:pt>
                <c:pt idx="4">
                  <c:v>496.98</c:v>
                </c:pt>
                <c:pt idx="5">
                  <c:v>497.20</c:v>
                </c:pt>
                <c:pt idx="6">
                  <c:v>497.42</c:v>
                </c:pt>
                <c:pt idx="7">
                  <c:v>497.64</c:v>
                </c:pt>
                <c:pt idx="8">
                  <c:v>497.86</c:v>
                </c:pt>
                <c:pt idx="9">
                  <c:v>498.08</c:v>
                </c:pt>
                <c:pt idx="10">
                  <c:v>498.30</c:v>
                </c:pt>
                <c:pt idx="11">
                  <c:v>498.52</c:v>
                </c:pt>
                <c:pt idx="12">
                  <c:v>498.74</c:v>
                </c:pt>
                <c:pt idx="13">
                  <c:v>498.96</c:v>
                </c:pt>
                <c:pt idx="14">
                  <c:v>499.18</c:v>
                </c:pt>
                <c:pt idx="15">
                  <c:v>499.40</c:v>
                </c:pt>
                <c:pt idx="16">
                  <c:v>499.62</c:v>
                </c:pt>
                <c:pt idx="17">
                  <c:v>499.84</c:v>
                </c:pt>
                <c:pt idx="18">
                  <c:v>500.06</c:v>
                </c:pt>
                <c:pt idx="19">
                  <c:v>500.28</c:v>
                </c:pt>
                <c:pt idx="20">
                  <c:v>500.50</c:v>
                </c:pt>
                <c:pt idx="21">
                  <c:v>500.72</c:v>
                </c:pt>
                <c:pt idx="22">
                  <c:v>500.94</c:v>
                </c:pt>
                <c:pt idx="23">
                  <c:v>501.16</c:v>
                </c:pt>
                <c:pt idx="24">
                  <c:v>501.38</c:v>
                </c:pt>
                <c:pt idx="25">
                  <c:v>501.60</c:v>
                </c:pt>
                <c:pt idx="26">
                  <c:v>501.82</c:v>
                </c:pt>
                <c:pt idx="27">
                  <c:v>502.04</c:v>
                </c:pt>
                <c:pt idx="28">
                  <c:v>502.26</c:v>
                </c:pt>
                <c:pt idx="29">
                  <c:v>502.48</c:v>
                </c:pt>
                <c:pt idx="30">
                  <c:v>502.70</c:v>
                </c:pt>
                <c:pt idx="31">
                  <c:v>502.92</c:v>
                </c:pt>
                <c:pt idx="32">
                  <c:v>503.14</c:v>
                </c:pt>
                <c:pt idx="33">
                  <c:v>503.36</c:v>
                </c:pt>
                <c:pt idx="34">
                  <c:v>503.58</c:v>
                </c:pt>
                <c:pt idx="35">
                  <c:v>503.80</c:v>
                </c:pt>
                <c:pt idx="36">
                  <c:v>504.02</c:v>
                </c:pt>
                <c:pt idx="37">
                  <c:v>504.24</c:v>
                </c:pt>
                <c:pt idx="38">
                  <c:v>504.46</c:v>
                </c:pt>
                <c:pt idx="39">
                  <c:v>504.68</c:v>
                </c:pt>
                <c:pt idx="40">
                  <c:v>504.90</c:v>
                </c:pt>
              </c:strCache>
            </c:strRef>
          </c:cat>
          <c:val>
            <c:numRef>
              <c:f>'E-07 Normal Distribution'!$C$80:$C$120</c:f>
              <c:numCache>
                <c:formatCode>0.0000</c:formatCode>
                <c:ptCount val="41"/>
                <c:pt idx="0">
                  <c:v>0.000121663841604451</c:v>
                </c:pt>
                <c:pt idx="1">
                  <c:v>0.000265406296174049</c:v>
                </c:pt>
                <c:pt idx="2">
                  <c:v>0.000556274481921649</c:v>
                </c:pt>
                <c:pt idx="3">
                  <c:v>0.00112019924406635</c:v>
                </c:pt>
                <c:pt idx="4">
                  <c:v>0.0021673529104227</c:v>
                </c:pt>
                <c:pt idx="5">
                  <c:v>0.0040289531017617</c:v>
                </c:pt>
                <c:pt idx="6">
                  <c:v>0.00719586507543663</c:v>
                </c:pt>
                <c:pt idx="7">
                  <c:v>0.0123481538488047</c:v>
                </c:pt>
                <c:pt idx="8">
                  <c:v>0.0203586639044032</c:v>
                </c:pt>
                <c:pt idx="9">
                  <c:v>0.0322496298602094</c:v>
                </c:pt>
                <c:pt idx="10">
                  <c:v>0.049082696830172</c:v>
                </c:pt>
                <c:pt idx="11">
                  <c:v>0.0717728711826289</c:v>
                </c:pt>
                <c:pt idx="12">
                  <c:v>0.10083712243587</c:v>
                </c:pt>
                <c:pt idx="13">
                  <c:v>0.136115877850674</c:v>
                </c:pt>
                <c:pt idx="14">
                  <c:v>0.176532777257468</c:v>
                </c:pt>
                <c:pt idx="15">
                  <c:v>0.219973385926489</c:v>
                </c:pt>
                <c:pt idx="16">
                  <c:v>0.263355957055894</c:v>
                </c:pt>
                <c:pt idx="17">
                  <c:v>0.302931457174359</c:v>
                </c:pt>
                <c:pt idx="18">
                  <c:v>0.334791036639385</c:v>
                </c:pt>
                <c:pt idx="19">
                  <c:v>0.355493358159504</c:v>
                </c:pt>
                <c:pt idx="20">
                  <c:v>0.362674800364939</c:v>
                </c:pt>
                <c:pt idx="21">
                  <c:v>0.355493358159504</c:v>
                </c:pt>
                <c:pt idx="22">
                  <c:v>0.334791036639385</c:v>
                </c:pt>
                <c:pt idx="23">
                  <c:v>0.302931457174359</c:v>
                </c:pt>
                <c:pt idx="24">
                  <c:v>0.263355957055894</c:v>
                </c:pt>
                <c:pt idx="25">
                  <c:v>0.219973385926489</c:v>
                </c:pt>
                <c:pt idx="26">
                  <c:v>0.176532777257468</c:v>
                </c:pt>
                <c:pt idx="27">
                  <c:v>0.136115877850674</c:v>
                </c:pt>
                <c:pt idx="28">
                  <c:v>0.10083712243587</c:v>
                </c:pt>
                <c:pt idx="29">
                  <c:v>0.0717728711826289</c:v>
                </c:pt>
                <c:pt idx="30">
                  <c:v>0.049082696830172</c:v>
                </c:pt>
                <c:pt idx="31">
                  <c:v>0.0322496298602094</c:v>
                </c:pt>
                <c:pt idx="32">
                  <c:v>0.0203586639044032</c:v>
                </c:pt>
                <c:pt idx="33">
                  <c:v>0.0123481538488047</c:v>
                </c:pt>
                <c:pt idx="34">
                  <c:v>0.00719586507543663</c:v>
                </c:pt>
                <c:pt idx="35">
                  <c:v>0.0040289531017617</c:v>
                </c:pt>
                <c:pt idx="36">
                  <c:v>0.0021673529104227</c:v>
                </c:pt>
                <c:pt idx="37">
                  <c:v>0.00112019924406635</c:v>
                </c:pt>
                <c:pt idx="38">
                  <c:v>0.000556274481921649</c:v>
                </c:pt>
                <c:pt idx="39">
                  <c:v>0.000265406296174049</c:v>
                </c:pt>
                <c:pt idx="40">
                  <c:v>0.000121663841604451</c:v>
                </c:pt>
              </c:numCache>
            </c:numRef>
          </c:val>
          <c:smooth val="1"/>
        </c:ser>
        <c:hiLowLines>
          <c:spPr>
            <a:ln w="0">
              <a:noFill/>
            </a:ln>
          </c:spPr>
        </c:hiLowLines>
        <c:marker val="0"/>
        <c:axId val="36821309"/>
        <c:axId val="3756757"/>
      </c:lineChart>
      <c:catAx>
        <c:axId val="3682130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Fill volume (ml)</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756757"/>
        <c:crosses val="autoZero"/>
        <c:auto val="1"/>
        <c:lblAlgn val="ctr"/>
        <c:lblOffset val="100"/>
        <c:noMultiLvlLbl val="0"/>
      </c:catAx>
      <c:valAx>
        <c:axId val="375675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Probability density</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682130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Raw data - strongly right skewed</a:t>
            </a:r>
          </a:p>
        </c:rich>
      </c:tx>
      <c:overlay val="0"/>
      <c:spPr>
        <a:noFill/>
        <a:ln w="0">
          <a:noFill/>
        </a:ln>
      </c:spPr>
    </c:title>
    <c:autoTitleDeleted val="0"/>
    <c:plotArea>
      <c:barChart>
        <c:barDir val="col"/>
        <c:grouping val="clustered"/>
        <c:varyColors val="0"/>
        <c:ser>
          <c:idx val="0"/>
          <c:order val="0"/>
          <c:tx>
            <c:strRef>
              <c:f>'E-08 Central Limit Theorem'!$E$75</c:f>
              <c:strCache>
                <c:ptCount val="1"/>
                <c:pt idx="0">
                  <c:v>Raw count</c:v>
                </c:pt>
              </c:strCache>
            </c:strRef>
          </c:tx>
          <c:spPr>
            <a:solidFill>
              <a:srgbClr val="4F81BD"/>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'E-08 Central Limit Theorem'!$B$76:$B$87</c:f>
              <c:strCache>
                <c:ptCount val="12"/>
                <c:pt idx="0">
                  <c:v>1.2 - 2.8</c:v>
                </c:pt>
                <c:pt idx="1">
                  <c:v>2.8 - 4.5</c:v>
                </c:pt>
                <c:pt idx="2">
                  <c:v>4.5 - 6.1</c:v>
                </c:pt>
                <c:pt idx="3">
                  <c:v>6.1 - 7.7</c:v>
                </c:pt>
                <c:pt idx="4">
                  <c:v>7.7 - 9.4</c:v>
                </c:pt>
                <c:pt idx="5">
                  <c:v>9.4 - 11.0</c:v>
                </c:pt>
                <c:pt idx="6">
                  <c:v>11.0 - 12.6</c:v>
                </c:pt>
                <c:pt idx="7">
                  <c:v>12.6 - 14.3</c:v>
                </c:pt>
                <c:pt idx="8">
                  <c:v>14.3 - 15.9</c:v>
                </c:pt>
                <c:pt idx="9">
                  <c:v>15.9 - 17.6</c:v>
                </c:pt>
                <c:pt idx="10">
                  <c:v>17.6 - 19.2</c:v>
                </c:pt>
                <c:pt idx="11">
                  <c:v>19.2 - 20.8</c:v>
                </c:pt>
              </c:strCache>
            </c:strRef>
          </c:cat>
          <c:val>
            <c:numRef>
              <c:f>'E-08 Central Limit Theorem'!$E$76:$E$87</c:f>
              <c:numCache>
                <c:formatCode>0</c:formatCode>
                <c:ptCount val="12"/>
                <c:pt idx="0">
                  <c:v>80</c:v>
                </c:pt>
                <c:pt idx="1">
                  <c:v>47</c:v>
                </c:pt>
                <c:pt idx="2">
                  <c:v>23</c:v>
                </c:pt>
                <c:pt idx="3">
                  <c:v>19</c:v>
                </c:pt>
                <c:pt idx="4">
                  <c:v>14</c:v>
                </c:pt>
                <c:pt idx="5">
                  <c:v>5</c:v>
                </c:pt>
                <c:pt idx="6">
                  <c:v>3</c:v>
                </c:pt>
                <c:pt idx="7">
                  <c:v>3</c:v>
                </c:pt>
                <c:pt idx="8">
                  <c:v>2</c:v>
                </c:pt>
                <c:pt idx="9">
                  <c:v>2</c:v>
                </c:pt>
                <c:pt idx="10">
                  <c:v>1</c:v>
                </c:pt>
                <c:pt idx="11">
                  <c:v>1</c:v>
                </c:pt>
              </c:numCache>
            </c:numRef>
          </c:val>
        </c:ser>
        <c:gapWidth val="20"/>
        <c:overlap val="0"/>
        <c:axId val="70801180"/>
        <c:axId val="27371610"/>
      </c:barChart>
      <c:catAx>
        <c:axId val="7080118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Minutes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7371610"/>
        <c:crosses val="autoZero"/>
        <c:auto val="1"/>
        <c:lblAlgn val="ctr"/>
        <c:lblOffset val="100"/>
        <c:noMultiLvlLbl val="0"/>
      </c:catAx>
      <c:valAx>
        <c:axId val="2737161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Frequency</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080118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Sample means - visibly more symmetric</a:t>
            </a:r>
          </a:p>
        </c:rich>
      </c:tx>
      <c:overlay val="0"/>
      <c:spPr>
        <a:noFill/>
        <a:ln w="0">
          <a:noFill/>
        </a:ln>
      </c:spPr>
    </c:title>
    <c:autoTitleDeleted val="0"/>
    <c:plotArea>
      <c:barChart>
        <c:barDir val="col"/>
        <c:grouping val="clustered"/>
        <c:varyColors val="0"/>
        <c:ser>
          <c:idx val="0"/>
          <c:order val="0"/>
          <c:tx>
            <c:strRef>
              <c:f>'E-08 Central Limit Theorem'!$F$75</c:f>
              <c:strCache>
                <c:ptCount val="1"/>
                <c:pt idx="0">
                  <c:v>Mean count</c:v>
                </c:pt>
              </c:strCache>
            </c:strRef>
          </c:tx>
          <c:spPr>
            <a:solidFill>
              <a:srgbClr val="4F81BD"/>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'E-08 Central Limit Theorem'!$B$76:$B$87</c:f>
              <c:strCache>
                <c:ptCount val="12"/>
                <c:pt idx="0">
                  <c:v>1.2 - 2.8</c:v>
                </c:pt>
                <c:pt idx="1">
                  <c:v>2.8 - 4.5</c:v>
                </c:pt>
                <c:pt idx="2">
                  <c:v>4.5 - 6.1</c:v>
                </c:pt>
                <c:pt idx="3">
                  <c:v>6.1 - 7.7</c:v>
                </c:pt>
                <c:pt idx="4">
                  <c:v>7.7 - 9.4</c:v>
                </c:pt>
                <c:pt idx="5">
                  <c:v>9.4 - 11.0</c:v>
                </c:pt>
                <c:pt idx="6">
                  <c:v>11.0 - 12.6</c:v>
                </c:pt>
                <c:pt idx="7">
                  <c:v>12.6 - 14.3</c:v>
                </c:pt>
                <c:pt idx="8">
                  <c:v>14.3 - 15.9</c:v>
                </c:pt>
                <c:pt idx="9">
                  <c:v>15.9 - 17.6</c:v>
                </c:pt>
                <c:pt idx="10">
                  <c:v>17.6 - 19.2</c:v>
                </c:pt>
                <c:pt idx="11">
                  <c:v>19.2 - 20.8</c:v>
                </c:pt>
              </c:strCache>
            </c:strRef>
          </c:cat>
          <c:val>
            <c:numRef>
              <c:f>'E-08 Central Limit Theorem'!$F$76:$F$87</c:f>
              <c:numCache>
                <c:formatCode>0</c:formatCode>
                <c:ptCount val="12"/>
                <c:pt idx="0">
                  <c:v>4</c:v>
                </c:pt>
                <c:pt idx="1">
                  <c:v>16</c:v>
                </c:pt>
                <c:pt idx="2">
                  <c:v>13</c:v>
                </c:pt>
                <c:pt idx="3">
                  <c:v>6</c:v>
                </c:pt>
                <c:pt idx="4">
                  <c:v>1</c:v>
                </c:pt>
                <c:pt idx="5">
                  <c:v>0</c:v>
                </c:pt>
                <c:pt idx="6">
                  <c:v>0</c:v>
                </c:pt>
                <c:pt idx="7">
                  <c:v>0</c:v>
                </c:pt>
                <c:pt idx="8">
                  <c:v>0</c:v>
                </c:pt>
                <c:pt idx="9">
                  <c:v>0</c:v>
                </c:pt>
                <c:pt idx="10">
                  <c:v>0</c:v>
                </c:pt>
                <c:pt idx="11">
                  <c:v>0</c:v>
                </c:pt>
              </c:numCache>
            </c:numRef>
          </c:val>
        </c:ser>
        <c:gapWidth val="20"/>
        <c:overlap val="0"/>
        <c:axId val="23867919"/>
        <c:axId val="96417065"/>
      </c:barChart>
      <c:catAx>
        <c:axId val="2386791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Minutes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6417065"/>
        <c:crosses val="autoZero"/>
        <c:auto val="1"/>
        <c:lblAlgn val="ctr"/>
        <c:lblOffset val="100"/>
        <c:noMultiLvlLbl val="0"/>
      </c:catAx>
      <c:valAx>
        <c:axId val="9641706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Frequency</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386791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Binomial distribution of defective bottles</a:t>
            </a:r>
          </a:p>
        </c:rich>
      </c:tx>
      <c:overlay val="0"/>
      <c:spPr>
        <a:noFill/>
        <a:ln w="0">
          <a:noFill/>
        </a:ln>
      </c:spPr>
    </c:title>
    <c:autoTitleDeleted val="0"/>
    <c:plotArea>
      <c:barChart>
        <c:barDir val="col"/>
        <c:grouping val="clustered"/>
        <c:varyColors val="0"/>
        <c:ser>
          <c:idx val="0"/>
          <c:order val="0"/>
          <c:tx>
            <c:strRef>
              <c:f>'E-10 Binomial Distribution'!$C$75</c:f>
              <c:strCache>
                <c:ptCount val="1"/>
                <c:pt idx="0">
                  <c:v>P(X = x)</c:v>
                </c:pt>
              </c:strCache>
            </c:strRef>
          </c:tx>
          <c:spPr>
            <a:solidFill>
              <a:srgbClr val="4F81BD"/>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'E-10 Binomial Distribution'!$B$76:$B$91</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'E-10 Binomial Distribution'!$C$76:$C$91</c:f>
              <c:numCache>
                <c:formatCode>0.0000</c:formatCode>
                <c:ptCount val="16"/>
                <c:pt idx="0">
                  <c:v>0.0486682913784901</c:v>
                </c:pt>
                <c:pt idx="1">
                  <c:v>0.148228298614691</c:v>
                </c:pt>
                <c:pt idx="2">
                  <c:v>0.224599731657285</c:v>
                </c:pt>
                <c:pt idx="3">
                  <c:v>0.225739831817982</c:v>
                </c:pt>
                <c:pt idx="4">
                  <c:v>0.169304873863487</c:v>
                </c:pt>
                <c:pt idx="5">
                  <c:v>0.101067274956071</c:v>
                </c:pt>
                <c:pt idx="6">
                  <c:v>0.0500206056254667</c:v>
                </c:pt>
                <c:pt idx="7">
                  <c:v>0.0211109445061796</c:v>
                </c:pt>
                <c:pt idx="8">
                  <c:v>0.00775586095753678</c:v>
                </c:pt>
                <c:pt idx="9">
                  <c:v>0.00251967056488505</c:v>
                </c:pt>
                <c:pt idx="10">
                  <c:v>0.000732878798821894</c:v>
                </c:pt>
                <c:pt idx="11">
                  <c:v>0.000192773841868242</c:v>
                </c:pt>
                <c:pt idx="12">
                  <c:v>4.62363656257585E-005</c:v>
                </c:pt>
                <c:pt idx="13">
                  <c:v>1.01824717738882E-005</c:v>
                </c:pt>
                <c:pt idx="14">
                  <c:v>2.07119893587792E-006</c:v>
                </c:pt>
                <c:pt idx="15">
                  <c:v>3.91109646774917E-007</c:v>
                </c:pt>
              </c:numCache>
            </c:numRef>
          </c:val>
        </c:ser>
        <c:gapWidth val="20"/>
        <c:overlap val="0"/>
        <c:axId val="20320275"/>
        <c:axId val="4690193"/>
      </c:barChart>
      <c:catAx>
        <c:axId val="2032027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Number of defective bottles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690193"/>
        <c:crosses val="autoZero"/>
        <c:auto val="1"/>
        <c:lblAlgn val="ctr"/>
        <c:lblOffset val="100"/>
        <c:noMultiLvlLbl val="0"/>
      </c:catAx>
      <c:valAx>
        <c:axId val="469019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Probability</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032027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Poisson distribution of micro-stops per shift</a:t>
            </a:r>
          </a:p>
        </c:rich>
      </c:tx>
      <c:overlay val="0"/>
      <c:spPr>
        <a:noFill/>
        <a:ln w="0">
          <a:noFill/>
        </a:ln>
      </c:spPr>
    </c:title>
    <c:autoTitleDeleted val="0"/>
    <c:plotArea>
      <c:barChart>
        <c:barDir val="col"/>
        <c:grouping val="clustered"/>
        <c:varyColors val="0"/>
        <c:ser>
          <c:idx val="0"/>
          <c:order val="0"/>
          <c:tx>
            <c:strRef>
              <c:f>'E-11 Poisson Distribution'!$C$83</c:f>
              <c:strCache>
                <c:ptCount val="1"/>
                <c:pt idx="0">
                  <c:v>P(X = x)</c:v>
                </c:pt>
              </c:strCache>
            </c:strRef>
          </c:tx>
          <c:spPr>
            <a:solidFill>
              <a:srgbClr val="4F81BD"/>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'E-11 Poisson Distribution'!$B$84:$B$109</c:f>
              <c:strCach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strCache>
            </c:strRef>
          </c:cat>
          <c:val>
            <c:numRef>
              <c:f>'E-11 Poisson Distribution'!$C$84:$C$109</c:f>
              <c:numCache>
                <c:formatCode>0.0000</c:formatCode>
                <c:ptCount val="26"/>
                <c:pt idx="0">
                  <c:v>6.14421235332821E-006</c:v>
                </c:pt>
                <c:pt idx="1">
                  <c:v>7.37305482399385E-005</c:v>
                </c:pt>
                <c:pt idx="2">
                  <c:v>0.000442383289439631</c:v>
                </c:pt>
                <c:pt idx="3">
                  <c:v>0.00176953315775852</c:v>
                </c:pt>
                <c:pt idx="4">
                  <c:v>0.00530859947327557</c:v>
                </c:pt>
                <c:pt idx="5">
                  <c:v>0.0127406387358614</c:v>
                </c:pt>
                <c:pt idx="6">
                  <c:v>0.0254812774717228</c:v>
                </c:pt>
                <c:pt idx="7">
                  <c:v>0.0436821899515247</c:v>
                </c:pt>
                <c:pt idx="8">
                  <c:v>0.0655232849272871</c:v>
                </c:pt>
                <c:pt idx="9">
                  <c:v>0.0873643799030494</c:v>
                </c:pt>
                <c:pt idx="10">
                  <c:v>0.104837255883659</c:v>
                </c:pt>
                <c:pt idx="11">
                  <c:v>0.114367915509446</c:v>
                </c:pt>
                <c:pt idx="12">
                  <c:v>0.114367915509446</c:v>
                </c:pt>
                <c:pt idx="13">
                  <c:v>0.105570383547181</c:v>
                </c:pt>
                <c:pt idx="14">
                  <c:v>0.0904889001832983</c:v>
                </c:pt>
                <c:pt idx="15">
                  <c:v>0.0723911201466387</c:v>
                </c:pt>
                <c:pt idx="16">
                  <c:v>0.054293340109979</c:v>
                </c:pt>
                <c:pt idx="17">
                  <c:v>0.0383247106658675</c:v>
                </c:pt>
                <c:pt idx="18">
                  <c:v>0.0255498071105784</c:v>
                </c:pt>
                <c:pt idx="19">
                  <c:v>0.0161367202803653</c:v>
                </c:pt>
                <c:pt idx="20">
                  <c:v>0.00968203216821916</c:v>
                </c:pt>
                <c:pt idx="21">
                  <c:v>0.00553258981041095</c:v>
                </c:pt>
                <c:pt idx="22">
                  <c:v>0.00301777626022415</c:v>
                </c:pt>
                <c:pt idx="23">
                  <c:v>0.00157449196185608</c:v>
                </c:pt>
                <c:pt idx="24">
                  <c:v>0.00078724598092804</c:v>
                </c:pt>
                <c:pt idx="25">
                  <c:v>0.000377878070845459</c:v>
                </c:pt>
              </c:numCache>
            </c:numRef>
          </c:val>
        </c:ser>
        <c:gapWidth val="20"/>
        <c:overlap val="0"/>
        <c:axId val="42043211"/>
        <c:axId val="17582973"/>
      </c:barChart>
      <c:catAx>
        <c:axId val="42043211"/>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Stops per shift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7582973"/>
        <c:crosses val="autoZero"/>
        <c:auto val="1"/>
        <c:lblAlgn val="ctr"/>
        <c:lblOffset val="100"/>
        <c:noMultiLvlLbl val="0"/>
      </c:catAx>
      <c:valAx>
        <c:axId val="1758297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Probability</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204321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Fill volume by shift (box plot approximation)</a:t>
            </a:r>
          </a:p>
        </c:rich>
      </c:tx>
      <c:overlay val="0"/>
      <c:spPr>
        <a:noFill/>
        <a:ln w="0">
          <a:noFill/>
        </a:ln>
      </c:spPr>
    </c:title>
    <c:autoTitleDeleted val="0"/>
    <c:plotArea>
      <c:barChart>
        <c:barDir val="col"/>
        <c:grouping val="stacked"/>
        <c:varyColors val="0"/>
        <c:ser>
          <c:idx val="0"/>
          <c:order val="0"/>
          <c:tx>
            <c:strRef>
              <c:f>'E-26 One-Way ANOVA'!$C$128</c:f>
              <c:strCache>
                <c:ptCount val="1"/>
                <c:pt idx="0">
                  <c:v>Base (min)</c:v>
                </c:pt>
              </c:strCache>
            </c:strRef>
          </c:tx>
          <c:spPr>
            <a:noFill/>
            <a:ln w="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'E-26 One-Way ANOVA'!$B$129:$B$132</c:f>
              <c:strCache>
                <c:ptCount val="4"/>
                <c:pt idx="0">
                  <c:v>Shift A</c:v>
                </c:pt>
                <c:pt idx="1">
                  <c:v>Shift B</c:v>
                </c:pt>
                <c:pt idx="2">
                  <c:v>Shift C</c:v>
                </c:pt>
                <c:pt idx="3">
                  <c:v>Shift D</c:v>
                </c:pt>
              </c:strCache>
            </c:strRef>
          </c:cat>
          <c:val>
            <c:numRef>
              <c:f>'E-26 One-Way ANOVA'!$C$129:$C$132</c:f>
              <c:numCache>
                <c:formatCode>0.00</c:formatCode>
                <c:ptCount val="4"/>
                <c:pt idx="0">
                  <c:v>498.96</c:v>
                </c:pt>
                <c:pt idx="1">
                  <c:v>498.96</c:v>
                </c:pt>
                <c:pt idx="2">
                  <c:v>499.63</c:v>
                </c:pt>
                <c:pt idx="3">
                  <c:v>498.57</c:v>
                </c:pt>
              </c:numCache>
            </c:numRef>
          </c:val>
        </c:ser>
        <c:ser>
          <c:idx val="1"/>
          <c:order val="1"/>
          <c:tx>
            <c:strRef>
              <c:f>'E-26 One-Way ANOVA'!$D$128</c:f>
              <c:strCache>
                <c:ptCount val="1"/>
                <c:pt idx="0">
                  <c:v>Min to Q1</c:v>
                </c:pt>
              </c:strCache>
            </c:strRef>
          </c:tx>
          <c:spPr>
            <a:solidFill>
              <a:srgbClr val="C0504D"/>
            </a:solidFill>
            <a:ln w="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'E-26 One-Way ANOVA'!$B$129:$B$132</c:f>
              <c:strCache>
                <c:ptCount val="4"/>
                <c:pt idx="0">
                  <c:v>Shift A</c:v>
                </c:pt>
                <c:pt idx="1">
                  <c:v>Shift B</c:v>
                </c:pt>
                <c:pt idx="2">
                  <c:v>Shift C</c:v>
                </c:pt>
                <c:pt idx="3">
                  <c:v>Shift D</c:v>
                </c:pt>
              </c:strCache>
            </c:strRef>
          </c:cat>
          <c:val>
            <c:numRef>
              <c:f>'E-26 One-Way ANOVA'!$D$129:$D$132</c:f>
              <c:numCache>
                <c:formatCode>0.000</c:formatCode>
                <c:ptCount val="4"/>
                <c:pt idx="0">
                  <c:v>0.722500000000025</c:v>
                </c:pt>
                <c:pt idx="1">
                  <c:v>0.735000000000014</c:v>
                </c:pt>
                <c:pt idx="2">
                  <c:v>1.40250000000003</c:v>
                </c:pt>
                <c:pt idx="3">
                  <c:v>1.10750000000002</c:v>
                </c:pt>
              </c:numCache>
            </c:numRef>
          </c:val>
        </c:ser>
        <c:ser>
          <c:idx val="2"/>
          <c:order val="2"/>
          <c:tx>
            <c:strRef>
              <c:f>'E-26 One-Way ANOVA'!$E$128</c:f>
              <c:strCache>
                <c:ptCount val="1"/>
                <c:pt idx="0">
                  <c:v>Q1 to median</c:v>
                </c:pt>
              </c:strCache>
            </c:strRef>
          </c:tx>
          <c:spPr>
            <a:solidFill>
              <a:srgbClr val="9BBB59"/>
            </a:solidFill>
            <a:ln w="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'E-26 One-Way ANOVA'!$B$129:$B$132</c:f>
              <c:strCache>
                <c:ptCount val="4"/>
                <c:pt idx="0">
                  <c:v>Shift A</c:v>
                </c:pt>
                <c:pt idx="1">
                  <c:v>Shift B</c:v>
                </c:pt>
                <c:pt idx="2">
                  <c:v>Shift C</c:v>
                </c:pt>
                <c:pt idx="3">
                  <c:v>Shift D</c:v>
                </c:pt>
              </c:strCache>
            </c:strRef>
          </c:cat>
          <c:val>
            <c:numRef>
              <c:f>'E-26 One-Way ANOVA'!$E$129:$E$132</c:f>
              <c:numCache>
                <c:formatCode>0.000</c:formatCode>
                <c:ptCount val="4"/>
                <c:pt idx="0">
                  <c:v>0.202499999999986</c:v>
                </c:pt>
                <c:pt idx="1">
                  <c:v>0.600000000000023</c:v>
                </c:pt>
                <c:pt idx="2">
                  <c:v>0.727499999999964</c:v>
                </c:pt>
                <c:pt idx="3">
                  <c:v>0.727499999999964</c:v>
                </c:pt>
              </c:numCache>
            </c:numRef>
          </c:val>
        </c:ser>
        <c:ser>
          <c:idx val="3"/>
          <c:order val="3"/>
          <c:tx>
            <c:strRef>
              <c:f>'E-26 One-Way ANOVA'!$F$128</c:f>
              <c:strCache>
                <c:ptCount val="1"/>
                <c:pt idx="0">
                  <c:v>Median to Q3</c:v>
                </c:pt>
              </c:strCache>
            </c:strRef>
          </c:tx>
          <c:spPr>
            <a:solidFill>
              <a:srgbClr val="8064A2"/>
            </a:solidFill>
            <a:ln w="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'E-26 One-Way ANOVA'!$B$129:$B$132</c:f>
              <c:strCache>
                <c:ptCount val="4"/>
                <c:pt idx="0">
                  <c:v>Shift A</c:v>
                </c:pt>
                <c:pt idx="1">
                  <c:v>Shift B</c:v>
                </c:pt>
                <c:pt idx="2">
                  <c:v>Shift C</c:v>
                </c:pt>
                <c:pt idx="3">
                  <c:v>Shift D</c:v>
                </c:pt>
              </c:strCache>
            </c:strRef>
          </c:cat>
          <c:val>
            <c:numRef>
              <c:f>'E-26 One-Way ANOVA'!$F$129:$F$132</c:f>
              <c:numCache>
                <c:formatCode>0.000</c:formatCode>
                <c:ptCount val="4"/>
                <c:pt idx="0">
                  <c:v>0.407500000000027</c:v>
                </c:pt>
                <c:pt idx="1">
                  <c:v>0.4375</c:v>
                </c:pt>
                <c:pt idx="2">
                  <c:v>0.507499999999993</c:v>
                </c:pt>
                <c:pt idx="3">
                  <c:v>0.282500000000027</c:v>
                </c:pt>
              </c:numCache>
            </c:numRef>
          </c:val>
        </c:ser>
        <c:ser>
          <c:idx val="4"/>
          <c:order val="4"/>
          <c:tx>
            <c:strRef>
              <c:f>'E-26 One-Way ANOVA'!$G$128</c:f>
              <c:strCache>
                <c:ptCount val="1"/>
                <c:pt idx="0">
                  <c:v>Q3 to max</c:v>
                </c:pt>
              </c:strCache>
            </c:strRef>
          </c:tx>
          <c:spPr>
            <a:solidFill>
              <a:srgbClr val="4BACC6"/>
            </a:solidFill>
            <a:ln w="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'E-26 One-Way ANOVA'!$B$129:$B$132</c:f>
              <c:strCache>
                <c:ptCount val="4"/>
                <c:pt idx="0">
                  <c:v>Shift A</c:v>
                </c:pt>
                <c:pt idx="1">
                  <c:v>Shift B</c:v>
                </c:pt>
                <c:pt idx="2">
                  <c:v>Shift C</c:v>
                </c:pt>
                <c:pt idx="3">
                  <c:v>Shift D</c:v>
                </c:pt>
              </c:strCache>
            </c:strRef>
          </c:cat>
          <c:val>
            <c:numRef>
              <c:f>'E-26 One-Way ANOVA'!$G$129:$G$132</c:f>
              <c:numCache>
                <c:formatCode>0.000</c:formatCode>
                <c:ptCount val="4"/>
                <c:pt idx="0">
                  <c:v>1.42750000000001</c:v>
                </c:pt>
                <c:pt idx="1">
                  <c:v>1.10749999999996</c:v>
                </c:pt>
                <c:pt idx="2">
                  <c:v>0.132499999999993</c:v>
                </c:pt>
                <c:pt idx="3">
                  <c:v>0.822499999999991</c:v>
                </c:pt>
              </c:numCache>
            </c:numRef>
          </c:val>
        </c:ser>
        <c:gapWidth val="150"/>
        <c:overlap val="100"/>
        <c:axId val="69242590"/>
        <c:axId val="1383011"/>
      </c:barChart>
      <c:catAx>
        <c:axId val="6924259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Shift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383011"/>
        <c:crosses val="autoZero"/>
        <c:auto val="1"/>
        <c:lblAlgn val="ctr"/>
        <c:lblOffset val="100"/>
        <c:noMultiLvlLbl val="0"/>
      </c:catAx>
      <c:valAx>
        <c:axId val="138301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Fill volume (ml)</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924259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Normal probability plot</a:t>
            </a:r>
          </a:p>
        </c:rich>
      </c:tx>
      <c:overlay val="0"/>
      <c:spPr>
        <a:noFill/>
        <a:ln w="0">
          <a:noFill/>
        </a:ln>
      </c:spPr>
    </c:title>
    <c:autoTitleDeleted val="0"/>
    <c:plotArea>
      <c:scatterChart>
        <c:scatterStyle val="lineMarker"/>
        <c:varyColors val="0"/>
        <c:ser>
          <c:idx val="0"/>
          <c:order val="0"/>
          <c:tx>
            <c:strRef>
              <c:f>'E-32 Normality Testing'!$I$76</c:f>
              <c:strCache>
                <c:ptCount val="1"/>
                <c:pt idx="0">
                  <c:v/>
                </c:pt>
              </c:strCache>
            </c:strRef>
          </c:tx>
          <c:spPr>
            <a:solidFill>
              <a:srgbClr val="FFFFFF"/>
            </a:solidFill>
            <a:ln w="47520">
              <a:noFill/>
            </a:ln>
          </c:spPr>
          <c:marker>
            <c:symbol val="circle"/>
            <c:size val="6"/>
            <c:spPr>
              <a:no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'E-32 Normality Testing'!$E$77:$E$106</c:f>
              <c:numCache>
                <c:formatCode>0.0000</c:formatCode>
                <c:ptCount val="30"/>
                <c:pt idx="0">
                  <c:v>498.5</c:v>
                </c:pt>
                <c:pt idx="1">
                  <c:v>498.7</c:v>
                </c:pt>
                <c:pt idx="2">
                  <c:v>498.8</c:v>
                </c:pt>
                <c:pt idx="3">
                  <c:v>498.9</c:v>
                </c:pt>
                <c:pt idx="4">
                  <c:v>499.1</c:v>
                </c:pt>
                <c:pt idx="5">
                  <c:v>499.2</c:v>
                </c:pt>
                <c:pt idx="6">
                  <c:v>499.4</c:v>
                </c:pt>
                <c:pt idx="7">
                  <c:v>499.6</c:v>
                </c:pt>
                <c:pt idx="8">
                  <c:v>499.7</c:v>
                </c:pt>
                <c:pt idx="9">
                  <c:v>499.9</c:v>
                </c:pt>
                <c:pt idx="10">
                  <c:v>500</c:v>
                </c:pt>
                <c:pt idx="11">
                  <c:v>500.1</c:v>
                </c:pt>
                <c:pt idx="12">
                  <c:v>500.1</c:v>
                </c:pt>
                <c:pt idx="13">
                  <c:v>500.2</c:v>
                </c:pt>
                <c:pt idx="14">
                  <c:v>500.3</c:v>
                </c:pt>
                <c:pt idx="15">
                  <c:v>500.4</c:v>
                </c:pt>
                <c:pt idx="16">
                  <c:v>500.5</c:v>
                </c:pt>
                <c:pt idx="17">
                  <c:v>500.6</c:v>
                </c:pt>
                <c:pt idx="18">
                  <c:v>500.7</c:v>
                </c:pt>
                <c:pt idx="19">
                  <c:v>500.8</c:v>
                </c:pt>
                <c:pt idx="20">
                  <c:v>500.8</c:v>
                </c:pt>
                <c:pt idx="21">
                  <c:v>500.9</c:v>
                </c:pt>
                <c:pt idx="22">
                  <c:v>501.1</c:v>
                </c:pt>
                <c:pt idx="23">
                  <c:v>501.2</c:v>
                </c:pt>
                <c:pt idx="24">
                  <c:v>501.3</c:v>
                </c:pt>
                <c:pt idx="25">
                  <c:v>501.5</c:v>
                </c:pt>
                <c:pt idx="26">
                  <c:v>501.6</c:v>
                </c:pt>
                <c:pt idx="27">
                  <c:v>501.8</c:v>
                </c:pt>
                <c:pt idx="28">
                  <c:v>502.1</c:v>
                </c:pt>
                <c:pt idx="29">
                  <c:v>502.3</c:v>
                </c:pt>
              </c:numCache>
            </c:numRef>
          </c:xVal>
          <c:yVal>
            <c:numRef>
              <c:f>'E-32 Normality Testing'!$I$77:$I$106</c:f>
              <c:numCache>
                <c:formatCode>0.0000</c:formatCode>
                <c:ptCount val="30"/>
                <c:pt idx="0">
                  <c:v>-2.04028132201041</c:v>
                </c:pt>
                <c:pt idx="1">
                  <c:v>-1.60981606718445</c:v>
                </c:pt>
                <c:pt idx="2">
                  <c:v>-1.36087334286719</c:v>
                </c:pt>
                <c:pt idx="3">
                  <c:v>-1.17581347255003</c:v>
                </c:pt>
                <c:pt idx="4">
                  <c:v>-1.02410618374162</c:v>
                </c:pt>
                <c:pt idx="5">
                  <c:v>-0.892918486444395</c:v>
                </c:pt>
                <c:pt idx="6">
                  <c:v>-0.775546958322378</c:v>
                </c:pt>
                <c:pt idx="7">
                  <c:v>-0.668002132269574</c:v>
                </c:pt>
                <c:pt idx="8">
                  <c:v>-0.56768639112746</c:v>
                </c:pt>
                <c:pt idx="9">
                  <c:v>-0.472789120992267</c:v>
                </c:pt>
                <c:pt idx="10">
                  <c:v>-0.381975767696542</c:v>
                </c:pt>
                <c:pt idx="11">
                  <c:v>-0.294213138930921</c:v>
                </c:pt>
                <c:pt idx="12">
                  <c:v>-0.208663745751155</c:v>
                </c:pt>
                <c:pt idx="13">
                  <c:v>-0.124617407947998</c:v>
                </c:pt>
                <c:pt idx="14">
                  <c:v>-0.0414437330939966</c:v>
                </c:pt>
                <c:pt idx="15">
                  <c:v>0.0414437330939965</c:v>
                </c:pt>
                <c:pt idx="16">
                  <c:v>0.124617407947998</c:v>
                </c:pt>
                <c:pt idx="17">
                  <c:v>0.208663745751154</c:v>
                </c:pt>
                <c:pt idx="18">
                  <c:v>0.294213138930921</c:v>
                </c:pt>
                <c:pt idx="19">
                  <c:v>0.381975767696542</c:v>
                </c:pt>
                <c:pt idx="20">
                  <c:v>0.472789120992267</c:v>
                </c:pt>
                <c:pt idx="21">
                  <c:v>0.56768639112746</c:v>
                </c:pt>
                <c:pt idx="22">
                  <c:v>0.668002132269574</c:v>
                </c:pt>
                <c:pt idx="23">
                  <c:v>0.775546958322378</c:v>
                </c:pt>
                <c:pt idx="24">
                  <c:v>0.892918486444395</c:v>
                </c:pt>
                <c:pt idx="25">
                  <c:v>1.02410618374162</c:v>
                </c:pt>
                <c:pt idx="26">
                  <c:v>1.17581347255003</c:v>
                </c:pt>
                <c:pt idx="27">
                  <c:v>1.36087334286719</c:v>
                </c:pt>
                <c:pt idx="28">
                  <c:v>1.60981606718445</c:v>
                </c:pt>
                <c:pt idx="29">
                  <c:v>2.04028132201041</c:v>
                </c:pt>
              </c:numCache>
            </c:numRef>
          </c:yVal>
          <c:smooth val="1"/>
        </c:ser>
        <c:axId val="42321973"/>
        <c:axId val="40957774"/>
      </c:scatterChart>
      <c:valAx>
        <c:axId val="42321973"/>
        <c:scaling>
          <c:orientation val="minMax"/>
        </c:scaling>
        <c:delete val="0"/>
        <c:axPos val="b"/>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Fill volume (ml)</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0957774"/>
        <c:crosses val="autoZero"/>
        <c:crossBetween val="midCat"/>
      </c:valAx>
      <c:valAx>
        <c:axId val="4095777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Normal score</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2321973"/>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Wall thickness against oven temperature</a:t>
            </a:r>
          </a:p>
        </c:rich>
      </c:tx>
      <c:overlay val="0"/>
      <c:spPr>
        <a:noFill/>
        <a:ln w="0">
          <a:noFill/>
        </a:ln>
      </c:spPr>
    </c:title>
    <c:autoTitleDeleted val="0"/>
    <c:plotArea>
      <c:scatterChart>
        <c:scatterStyle val="lineMarker"/>
        <c:varyColors val="0"/>
        <c:ser>
          <c:idx val="0"/>
          <c:order val="0"/>
          <c:tx>
            <c:strRef>
              <c:f>'E-34 Correlation'!$D$65</c:f>
              <c:strCache>
                <c:ptCount val="1"/>
                <c:pt idx="0">
                  <c:v>Wall thickness (mm)</c:v>
                </c:pt>
              </c:strCache>
            </c:strRef>
          </c:tx>
          <c:spPr>
            <a:solidFill>
              <a:srgbClr val="FFFFFF"/>
            </a:solidFill>
            <a:ln w="47520">
              <a:noFill/>
            </a:ln>
          </c:spPr>
          <c:marker>
            <c:symbol val="circle"/>
            <c:size val="6"/>
            <c:spPr>
              <a:no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'E-34 Correlation'!$C$66:$C$90</c:f>
              <c:numCache>
                <c:formatCode>0.000</c:formatCode>
                <c:ptCount val="25"/>
                <c:pt idx="0">
                  <c:v>108</c:v>
                </c:pt>
                <c:pt idx="1">
                  <c:v>108.7</c:v>
                </c:pt>
                <c:pt idx="2">
                  <c:v>109.3</c:v>
                </c:pt>
                <c:pt idx="3">
                  <c:v>110</c:v>
                </c:pt>
                <c:pt idx="4">
                  <c:v>110.7</c:v>
                </c:pt>
                <c:pt idx="5">
                  <c:v>111.3</c:v>
                </c:pt>
                <c:pt idx="6">
                  <c:v>112</c:v>
                </c:pt>
                <c:pt idx="7">
                  <c:v>112.7</c:v>
                </c:pt>
                <c:pt idx="8">
                  <c:v>113.3</c:v>
                </c:pt>
                <c:pt idx="9">
                  <c:v>114</c:v>
                </c:pt>
                <c:pt idx="10">
                  <c:v>114.7</c:v>
                </c:pt>
                <c:pt idx="11">
                  <c:v>115.3</c:v>
                </c:pt>
                <c:pt idx="12">
                  <c:v>116</c:v>
                </c:pt>
                <c:pt idx="13">
                  <c:v>116.7</c:v>
                </c:pt>
                <c:pt idx="14">
                  <c:v>117.3</c:v>
                </c:pt>
                <c:pt idx="15">
                  <c:v>118</c:v>
                </c:pt>
                <c:pt idx="16">
                  <c:v>118.7</c:v>
                </c:pt>
                <c:pt idx="17">
                  <c:v>119.3</c:v>
                </c:pt>
                <c:pt idx="18">
                  <c:v>120</c:v>
                </c:pt>
                <c:pt idx="19">
                  <c:v>120.7</c:v>
                </c:pt>
                <c:pt idx="20">
                  <c:v>121.3</c:v>
                </c:pt>
                <c:pt idx="21">
                  <c:v>122</c:v>
                </c:pt>
                <c:pt idx="22">
                  <c:v>122.7</c:v>
                </c:pt>
                <c:pt idx="23">
                  <c:v>123.3</c:v>
                </c:pt>
                <c:pt idx="24">
                  <c:v>124</c:v>
                </c:pt>
              </c:numCache>
            </c:numRef>
          </c:xVal>
          <c:yVal>
            <c:numRef>
              <c:f>'E-34 Correlation'!$D$66:$D$90</c:f>
              <c:numCache>
                <c:formatCode>0.000</c:formatCode>
                <c:ptCount val="25"/>
                <c:pt idx="0">
                  <c:v>0.3285</c:v>
                </c:pt>
                <c:pt idx="1">
                  <c:v>0.3321</c:v>
                </c:pt>
                <c:pt idx="2">
                  <c:v>0.3413</c:v>
                </c:pt>
                <c:pt idx="3">
                  <c:v>0.3189</c:v>
                </c:pt>
                <c:pt idx="4">
                  <c:v>0.3356</c:v>
                </c:pt>
                <c:pt idx="5">
                  <c:v>0.34</c:v>
                </c:pt>
                <c:pt idx="6">
                  <c:v>0.3307</c:v>
                </c:pt>
                <c:pt idx="7">
                  <c:v>0.3297</c:v>
                </c:pt>
                <c:pt idx="8">
                  <c:v>0.3432</c:v>
                </c:pt>
                <c:pt idx="9">
                  <c:v>0.3283</c:v>
                </c:pt>
                <c:pt idx="10">
                  <c:v>0.3082</c:v>
                </c:pt>
                <c:pt idx="11">
                  <c:v>0.3118</c:v>
                </c:pt>
                <c:pt idx="12">
                  <c:v>0.3201</c:v>
                </c:pt>
                <c:pt idx="13">
                  <c:v>0.3115</c:v>
                </c:pt>
                <c:pt idx="14">
                  <c:v>0.321</c:v>
                </c:pt>
                <c:pt idx="15">
                  <c:v>0.3151</c:v>
                </c:pt>
                <c:pt idx="16">
                  <c:v>0.3165</c:v>
                </c:pt>
                <c:pt idx="17">
                  <c:v>0.3007</c:v>
                </c:pt>
                <c:pt idx="18">
                  <c:v>0.3026</c:v>
                </c:pt>
                <c:pt idx="19">
                  <c:v>0.3058</c:v>
                </c:pt>
                <c:pt idx="20">
                  <c:v>0.3187</c:v>
                </c:pt>
                <c:pt idx="21">
                  <c:v>0.3053</c:v>
                </c:pt>
                <c:pt idx="22">
                  <c:v>0.301</c:v>
                </c:pt>
                <c:pt idx="23">
                  <c:v>0.2951</c:v>
                </c:pt>
                <c:pt idx="24">
                  <c:v>0.2983</c:v>
                </c:pt>
              </c:numCache>
            </c:numRef>
          </c:yVal>
          <c:smooth val="1"/>
        </c:ser>
        <c:axId val="1381740"/>
        <c:axId val="42946401"/>
      </c:scatterChart>
      <c:valAx>
        <c:axId val="1381740"/>
        <c:scaling>
          <c:orientation val="minMax"/>
        </c:scaling>
        <c:delete val="0"/>
        <c:axPos val="b"/>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Oven temperature (C)</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2946401"/>
        <c:crosses val="autoZero"/>
        <c:crossBetween val="midCat"/>
      </c:valAx>
      <c:valAx>
        <c:axId val="4294640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Wall thickness (mm)</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381740"/>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Fitted line: wall thickness against oven temperature</a:t>
            </a:r>
          </a:p>
        </c:rich>
      </c:tx>
      <c:overlay val="0"/>
      <c:spPr>
        <a:noFill/>
        <a:ln w="0">
          <a:noFill/>
        </a:ln>
      </c:spPr>
    </c:title>
    <c:autoTitleDeleted val="0"/>
    <c:plotArea>
      <c:scatterChart>
        <c:scatterStyle val="lineMarker"/>
        <c:varyColors val="0"/>
        <c:ser>
          <c:idx val="0"/>
          <c:order val="0"/>
          <c:tx>
            <c:strRef>
              <c:f>'E-36 Simple Regression'!$D$66</c:f>
              <c:strCache>
                <c:ptCount val="1"/>
                <c:pt idx="0">
                  <c:v>Wall thickness Y (mm)</c:v>
                </c:pt>
              </c:strCache>
            </c:strRef>
          </c:tx>
          <c:spPr>
            <a:solidFill>
              <a:srgbClr val="FFFFFF"/>
            </a:solidFill>
            <a:ln w="47520">
              <a:noFill/>
            </a:ln>
          </c:spPr>
          <c:marker>
            <c:symbol val="circle"/>
            <c:size val="6"/>
            <c:spPr>
              <a:no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'E-36 Simple Regression'!$C$67:$C$91</c:f>
              <c:numCache>
                <c:formatCode>0.0000</c:formatCode>
                <c:ptCount val="25"/>
                <c:pt idx="0">
                  <c:v>108</c:v>
                </c:pt>
                <c:pt idx="1">
                  <c:v>108.7</c:v>
                </c:pt>
                <c:pt idx="2">
                  <c:v>109.3</c:v>
                </c:pt>
                <c:pt idx="3">
                  <c:v>110</c:v>
                </c:pt>
                <c:pt idx="4">
                  <c:v>110.7</c:v>
                </c:pt>
                <c:pt idx="5">
                  <c:v>111.3</c:v>
                </c:pt>
                <c:pt idx="6">
                  <c:v>112</c:v>
                </c:pt>
                <c:pt idx="7">
                  <c:v>112.7</c:v>
                </c:pt>
                <c:pt idx="8">
                  <c:v>113.3</c:v>
                </c:pt>
                <c:pt idx="9">
                  <c:v>114</c:v>
                </c:pt>
                <c:pt idx="10">
                  <c:v>114.7</c:v>
                </c:pt>
                <c:pt idx="11">
                  <c:v>115.3</c:v>
                </c:pt>
                <c:pt idx="12">
                  <c:v>116</c:v>
                </c:pt>
                <c:pt idx="13">
                  <c:v>116.7</c:v>
                </c:pt>
                <c:pt idx="14">
                  <c:v>117.3</c:v>
                </c:pt>
                <c:pt idx="15">
                  <c:v>118</c:v>
                </c:pt>
                <c:pt idx="16">
                  <c:v>118.7</c:v>
                </c:pt>
                <c:pt idx="17">
                  <c:v>119.3</c:v>
                </c:pt>
                <c:pt idx="18">
                  <c:v>120</c:v>
                </c:pt>
                <c:pt idx="19">
                  <c:v>120.7</c:v>
                </c:pt>
                <c:pt idx="20">
                  <c:v>121.3</c:v>
                </c:pt>
                <c:pt idx="21">
                  <c:v>122</c:v>
                </c:pt>
                <c:pt idx="22">
                  <c:v>122.7</c:v>
                </c:pt>
                <c:pt idx="23">
                  <c:v>123.3</c:v>
                </c:pt>
                <c:pt idx="24">
                  <c:v>124</c:v>
                </c:pt>
              </c:numCache>
            </c:numRef>
          </c:xVal>
          <c:yVal>
            <c:numRef>
              <c:f>'E-36 Simple Regression'!$D$67:$D$91</c:f>
              <c:numCache>
                <c:formatCode>0.0000</c:formatCode>
                <c:ptCount val="25"/>
                <c:pt idx="0">
                  <c:v>0.3285</c:v>
                </c:pt>
                <c:pt idx="1">
                  <c:v>0.3321</c:v>
                </c:pt>
                <c:pt idx="2">
                  <c:v>0.3413</c:v>
                </c:pt>
                <c:pt idx="3">
                  <c:v>0.3189</c:v>
                </c:pt>
                <c:pt idx="4">
                  <c:v>0.3356</c:v>
                </c:pt>
                <c:pt idx="5">
                  <c:v>0.34</c:v>
                </c:pt>
                <c:pt idx="6">
                  <c:v>0.3307</c:v>
                </c:pt>
                <c:pt idx="7">
                  <c:v>0.3297</c:v>
                </c:pt>
                <c:pt idx="8">
                  <c:v>0.3432</c:v>
                </c:pt>
                <c:pt idx="9">
                  <c:v>0.3283</c:v>
                </c:pt>
                <c:pt idx="10">
                  <c:v>0.3082</c:v>
                </c:pt>
                <c:pt idx="11">
                  <c:v>0.3118</c:v>
                </c:pt>
                <c:pt idx="12">
                  <c:v>0.3201</c:v>
                </c:pt>
                <c:pt idx="13">
                  <c:v>0.3115</c:v>
                </c:pt>
                <c:pt idx="14">
                  <c:v>0.321</c:v>
                </c:pt>
                <c:pt idx="15">
                  <c:v>0.3151</c:v>
                </c:pt>
                <c:pt idx="16">
                  <c:v>0.3165</c:v>
                </c:pt>
                <c:pt idx="17">
                  <c:v>0.3007</c:v>
                </c:pt>
                <c:pt idx="18">
                  <c:v>0.3026</c:v>
                </c:pt>
                <c:pt idx="19">
                  <c:v>0.3058</c:v>
                </c:pt>
                <c:pt idx="20">
                  <c:v>0.3187</c:v>
                </c:pt>
                <c:pt idx="21">
                  <c:v>0.3053</c:v>
                </c:pt>
                <c:pt idx="22">
                  <c:v>0.301</c:v>
                </c:pt>
                <c:pt idx="23">
                  <c:v>0.2951</c:v>
                </c:pt>
                <c:pt idx="24">
                  <c:v>0.2983</c:v>
                </c:pt>
              </c:numCache>
            </c:numRef>
          </c:yVal>
          <c:smooth val="1"/>
        </c:ser>
        <c:axId val="20430409"/>
        <c:axId val="43123262"/>
      </c:scatterChart>
      <c:valAx>
        <c:axId val="20430409"/>
        <c:scaling>
          <c:orientation val="minMax"/>
        </c:scaling>
        <c:delete val="0"/>
        <c:axPos val="b"/>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Oven temperature (C)</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3123262"/>
        <c:crosses val="autoZero"/>
        <c:crossBetween val="midCat"/>
      </c:valAx>
      <c:valAx>
        <c:axId val="4312326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Wall thickness (mm)</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0430409"/>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1. Residuals against fitted values</a:t>
            </a:r>
          </a:p>
        </c:rich>
      </c:tx>
      <c:overlay val="0"/>
      <c:spPr>
        <a:noFill/>
        <a:ln w="0">
          <a:noFill/>
        </a:ln>
      </c:spPr>
    </c:title>
    <c:autoTitleDeleted val="0"/>
    <c:plotArea>
      <c:scatterChart>
        <c:scatterStyle val="lineMarker"/>
        <c:varyColors val="0"/>
        <c:ser>
          <c:idx val="0"/>
          <c:order val="0"/>
          <c:tx>
            <c:strRef>
              <c:f>'E-37 Residual Analysis'!$G$68</c:f>
              <c:strCache>
                <c:ptCount val="1"/>
                <c:pt idx="0">
                  <c:v>Residual</c:v>
                </c:pt>
              </c:strCache>
            </c:strRef>
          </c:tx>
          <c:spPr>
            <a:solidFill>
              <a:srgbClr val="FFFFFF"/>
            </a:solidFill>
            <a:ln w="47520">
              <a:noFill/>
            </a:ln>
          </c:spPr>
          <c:marker>
            <c:symbol val="circle"/>
            <c:size val="6"/>
            <c:spPr>
              <a:no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'E-37 Residual Analysis'!$F$69:$F$93</c:f>
              <c:numCache>
                <c:formatCode>0.0000</c:formatCode>
                <c:ptCount val="25"/>
                <c:pt idx="0">
                  <c:v>0.337848323635356</c:v>
                </c:pt>
                <c:pt idx="1">
                  <c:v>0.336146595317262</c:v>
                </c:pt>
                <c:pt idx="2">
                  <c:v>0.334687971044611</c:v>
                </c:pt>
                <c:pt idx="3">
                  <c:v>0.332986242726517</c:v>
                </c:pt>
                <c:pt idx="4">
                  <c:v>0.331284514408423</c:v>
                </c:pt>
                <c:pt idx="5">
                  <c:v>0.329825890135772</c:v>
                </c:pt>
                <c:pt idx="6">
                  <c:v>0.328124161817678</c:v>
                </c:pt>
                <c:pt idx="7">
                  <c:v>0.326422433499584</c:v>
                </c:pt>
                <c:pt idx="8">
                  <c:v>0.324963809226933</c:v>
                </c:pt>
                <c:pt idx="9">
                  <c:v>0.323262080908839</c:v>
                </c:pt>
                <c:pt idx="10">
                  <c:v>0.321560352590745</c:v>
                </c:pt>
                <c:pt idx="11">
                  <c:v>0.320101728318094</c:v>
                </c:pt>
                <c:pt idx="12">
                  <c:v>0.3184</c:v>
                </c:pt>
                <c:pt idx="13">
                  <c:v>0.316698271681906</c:v>
                </c:pt>
                <c:pt idx="14">
                  <c:v>0.315239647409255</c:v>
                </c:pt>
                <c:pt idx="15">
                  <c:v>0.313537919091161</c:v>
                </c:pt>
                <c:pt idx="16">
                  <c:v>0.311836190773067</c:v>
                </c:pt>
                <c:pt idx="17">
                  <c:v>0.310377566500416</c:v>
                </c:pt>
                <c:pt idx="18">
                  <c:v>0.308675838182322</c:v>
                </c:pt>
                <c:pt idx="19">
                  <c:v>0.306974109864228</c:v>
                </c:pt>
                <c:pt idx="20">
                  <c:v>0.305515485591577</c:v>
                </c:pt>
                <c:pt idx="21">
                  <c:v>0.303813757273483</c:v>
                </c:pt>
                <c:pt idx="22">
                  <c:v>0.302112028955389</c:v>
                </c:pt>
                <c:pt idx="23">
                  <c:v>0.300653404682738</c:v>
                </c:pt>
                <c:pt idx="24">
                  <c:v>0.298951676364644</c:v>
                </c:pt>
              </c:numCache>
            </c:numRef>
          </c:xVal>
          <c:yVal>
            <c:numRef>
              <c:f>'E-37 Residual Analysis'!$G$69:$G$93</c:f>
              <c:numCache>
                <c:formatCode>0.00000</c:formatCode>
                <c:ptCount val="25"/>
                <c:pt idx="0">
                  <c:v>-0.00934832363535609</c:v>
                </c:pt>
                <c:pt idx="1">
                  <c:v>-0.00404659531726243</c:v>
                </c:pt>
                <c:pt idx="2">
                  <c:v>0.00661202895538926</c:v>
                </c:pt>
                <c:pt idx="3">
                  <c:v>-0.014086242726517</c:v>
                </c:pt>
                <c:pt idx="4">
                  <c:v>0.00431548559157657</c:v>
                </c:pt>
                <c:pt idx="5">
                  <c:v>0.0101741098642283</c:v>
                </c:pt>
                <c:pt idx="6">
                  <c:v>0.00257583818232193</c:v>
                </c:pt>
                <c:pt idx="7">
                  <c:v>0.00327756650041561</c:v>
                </c:pt>
                <c:pt idx="8">
                  <c:v>0.0182361907730673</c:v>
                </c:pt>
                <c:pt idx="9">
                  <c:v>0.00503791909116091</c:v>
                </c:pt>
                <c:pt idx="10">
                  <c:v>-0.0133603525907454</c:v>
                </c:pt>
                <c:pt idx="11">
                  <c:v>-0.00830172831809367</c:v>
                </c:pt>
                <c:pt idx="12">
                  <c:v>0.00169999999999998</c:v>
                </c:pt>
                <c:pt idx="13">
                  <c:v>-0.00519827168190634</c:v>
                </c:pt>
                <c:pt idx="14">
                  <c:v>0.00576035259074531</c:v>
                </c:pt>
                <c:pt idx="15">
                  <c:v>0.00156208090883897</c:v>
                </c:pt>
                <c:pt idx="16">
                  <c:v>0.00466380922693266</c:v>
                </c:pt>
                <c:pt idx="17">
                  <c:v>-0.00967756650041562</c:v>
                </c:pt>
                <c:pt idx="18">
                  <c:v>-0.00607583818232205</c:v>
                </c:pt>
                <c:pt idx="19">
                  <c:v>-0.00117410986422833</c:v>
                </c:pt>
                <c:pt idx="20">
                  <c:v>0.0131845144084233</c:v>
                </c:pt>
                <c:pt idx="21">
                  <c:v>0.00148624272651704</c:v>
                </c:pt>
                <c:pt idx="22">
                  <c:v>-0.00111202895538931</c:v>
                </c:pt>
                <c:pt idx="23">
                  <c:v>-0.00555340468273768</c:v>
                </c:pt>
                <c:pt idx="24">
                  <c:v>-0.000651676364643972</c:v>
                </c:pt>
              </c:numCache>
            </c:numRef>
          </c:yVal>
          <c:smooth val="1"/>
        </c:ser>
        <c:axId val="7835533"/>
        <c:axId val="79540592"/>
      </c:scatterChart>
      <c:valAx>
        <c:axId val="7835533"/>
        <c:scaling>
          <c:orientation val="minMax"/>
        </c:scaling>
        <c:delete val="0"/>
        <c:axPos val="b"/>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Fitted thickness (mm)</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9540592"/>
        <c:crosses val="autoZero"/>
        <c:crossBetween val="midCat"/>
      </c:valAx>
      <c:valAx>
        <c:axId val="7954059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Residual (mm)</a:t>
                </a:r>
              </a:p>
            </c:rich>
          </c:tx>
          <c:overlay val="0"/>
          <c:spPr>
            <a:noFill/>
            <a:ln w="0">
              <a:noFill/>
            </a:ln>
          </c:spPr>
        </c:title>
        <c:numFmt formatCode="0.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835533"/>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2. Normal probability plot of residuals</a:t>
            </a:r>
          </a:p>
        </c:rich>
      </c:tx>
      <c:overlay val="0"/>
      <c:spPr>
        <a:noFill/>
        <a:ln w="0">
          <a:noFill/>
        </a:ln>
      </c:spPr>
    </c:title>
    <c:autoTitleDeleted val="0"/>
    <c:plotArea>
      <c:scatterChart>
        <c:scatterStyle val="lineMarker"/>
        <c:varyColors val="0"/>
        <c:ser>
          <c:idx val="0"/>
          <c:order val="0"/>
          <c:tx>
            <c:strRef>
              <c:f>'E-37 Residual Analysis'!$K$68</c:f>
              <c:strCache>
                <c:ptCount val="1"/>
                <c:pt idx="0">
                  <c:v>Normal score</c:v>
                </c:pt>
              </c:strCache>
            </c:strRef>
          </c:tx>
          <c:spPr>
            <a:solidFill>
              <a:srgbClr val="FFFFFF"/>
            </a:solidFill>
            <a:ln w="47520">
              <a:noFill/>
            </a:ln>
          </c:spPr>
          <c:marker>
            <c:symbol val="circle"/>
            <c:size val="6"/>
            <c:spPr>
              <a:no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'E-37 Residual Analysis'!$J$69:$J$93</c:f>
              <c:numCache>
                <c:formatCode>0.00000</c:formatCode>
                <c:ptCount val="25"/>
                <c:pt idx="0">
                  <c:v>-0.014086242726517</c:v>
                </c:pt>
                <c:pt idx="1">
                  <c:v>-0.0133603525907454</c:v>
                </c:pt>
                <c:pt idx="2">
                  <c:v>-0.00967756650041562</c:v>
                </c:pt>
                <c:pt idx="3">
                  <c:v>-0.00934832363535609</c:v>
                </c:pt>
                <c:pt idx="4">
                  <c:v>-0.00830172831809367</c:v>
                </c:pt>
                <c:pt idx="5">
                  <c:v>-0.00607583818232205</c:v>
                </c:pt>
                <c:pt idx="6">
                  <c:v>-0.00555340468273768</c:v>
                </c:pt>
                <c:pt idx="7">
                  <c:v>-0.00519827168190634</c:v>
                </c:pt>
                <c:pt idx="8">
                  <c:v>-0.00404659531726243</c:v>
                </c:pt>
                <c:pt idx="9">
                  <c:v>-0.00117410986422833</c:v>
                </c:pt>
                <c:pt idx="10">
                  <c:v>-0.00111202895538931</c:v>
                </c:pt>
                <c:pt idx="11">
                  <c:v>-0.000651676364643972</c:v>
                </c:pt>
                <c:pt idx="12">
                  <c:v>0.00148624272651704</c:v>
                </c:pt>
                <c:pt idx="13">
                  <c:v>0.00156208090883897</c:v>
                </c:pt>
                <c:pt idx="14">
                  <c:v>0.00169999999999998</c:v>
                </c:pt>
                <c:pt idx="15">
                  <c:v>0.00257583818232193</c:v>
                </c:pt>
                <c:pt idx="16">
                  <c:v>0.00327756650041561</c:v>
                </c:pt>
                <c:pt idx="17">
                  <c:v>0.00431548559157657</c:v>
                </c:pt>
                <c:pt idx="18">
                  <c:v>0.00466380922693266</c:v>
                </c:pt>
                <c:pt idx="19">
                  <c:v>0.00503791909116091</c:v>
                </c:pt>
                <c:pt idx="20">
                  <c:v>0.00576035259074531</c:v>
                </c:pt>
                <c:pt idx="21">
                  <c:v>0.00661202895538926</c:v>
                </c:pt>
                <c:pt idx="22">
                  <c:v>0.0101741098642283</c:v>
                </c:pt>
                <c:pt idx="23">
                  <c:v>0.0131845144084233</c:v>
                </c:pt>
                <c:pt idx="24">
                  <c:v>0.0182361907730673</c:v>
                </c:pt>
              </c:numCache>
            </c:numRef>
          </c:xVal>
          <c:yVal>
            <c:numRef>
              <c:f>'E-37 Residual Analysis'!$K$69:$K$93</c:f>
              <c:numCache>
                <c:formatCode>0.0000</c:formatCode>
                <c:ptCount val="25"/>
                <c:pt idx="0">
                  <c:v>-1.96421684194863</c:v>
                </c:pt>
                <c:pt idx="1">
                  <c:v>-1.51919717863482</c:v>
                </c:pt>
                <c:pt idx="2">
                  <c:v>-1.25930332677631</c:v>
                </c:pt>
                <c:pt idx="3">
                  <c:v>-1.06444156490296</c:v>
                </c:pt>
                <c:pt idx="4">
                  <c:v>-0.903356660859843</c:v>
                </c:pt>
                <c:pt idx="5">
                  <c:v>-0.762863921878057</c:v>
                </c:pt>
                <c:pt idx="6">
                  <c:v>-0.636036740695826</c:v>
                </c:pt>
                <c:pt idx="7">
                  <c:v>-0.518713715121463</c:v>
                </c:pt>
                <c:pt idx="8">
                  <c:v>-0.408143511816288</c:v>
                </c:pt>
                <c:pt idx="9">
                  <c:v>-0.30236184494975</c:v>
                </c:pt>
                <c:pt idx="10">
                  <c:v>-0.19986756443194</c:v>
                </c:pt>
                <c:pt idx="11">
                  <c:v>-0.0994360268467557</c:v>
                </c:pt>
                <c:pt idx="12">
                  <c:v>0</c:v>
                </c:pt>
                <c:pt idx="13">
                  <c:v>0.0994360268467558</c:v>
                </c:pt>
                <c:pt idx="14">
                  <c:v>0.19986756443194</c:v>
                </c:pt>
                <c:pt idx="15">
                  <c:v>0.30236184494975</c:v>
                </c:pt>
                <c:pt idx="16">
                  <c:v>0.408143511816288</c:v>
                </c:pt>
                <c:pt idx="17">
                  <c:v>0.518713715121463</c:v>
                </c:pt>
                <c:pt idx="18">
                  <c:v>0.636036740695826</c:v>
                </c:pt>
                <c:pt idx="19">
                  <c:v>0.762863921878057</c:v>
                </c:pt>
                <c:pt idx="20">
                  <c:v>0.903356660859843</c:v>
                </c:pt>
                <c:pt idx="21">
                  <c:v>1.06444156490296</c:v>
                </c:pt>
                <c:pt idx="22">
                  <c:v>1.25930332677631</c:v>
                </c:pt>
                <c:pt idx="23">
                  <c:v>1.51919717863482</c:v>
                </c:pt>
                <c:pt idx="24">
                  <c:v>1.96421684194863</c:v>
                </c:pt>
              </c:numCache>
            </c:numRef>
          </c:yVal>
          <c:smooth val="1"/>
        </c:ser>
        <c:axId val="73864450"/>
        <c:axId val="80425260"/>
      </c:scatterChart>
      <c:valAx>
        <c:axId val="73864450"/>
        <c:scaling>
          <c:orientation val="minMax"/>
        </c:scaling>
        <c:delete val="0"/>
        <c:axPos val="b"/>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Residual (mm)</a:t>
                </a:r>
              </a:p>
            </c:rich>
          </c:tx>
          <c:overlay val="0"/>
          <c:spPr>
            <a:noFill/>
            <a:ln w="0">
              <a:noFill/>
            </a:ln>
          </c:spPr>
        </c:title>
        <c:numFmt formatCode="0.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0425260"/>
        <c:crosses val="autoZero"/>
        <c:crossBetween val="midCat"/>
      </c:valAx>
      <c:valAx>
        <c:axId val="8042526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Normal score</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3864450"/>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4. Residuals against observation order</a:t>
            </a:r>
          </a:p>
        </c:rich>
      </c:tx>
      <c:overlay val="0"/>
      <c:spPr>
        <a:noFill/>
        <a:ln w="0">
          <a:noFill/>
        </a:ln>
      </c:spPr>
    </c:title>
    <c:autoTitleDeleted val="0"/>
    <c:plotArea>
      <c:scatterChart>
        <c:scatterStyle val="lineMarker"/>
        <c:varyColors val="0"/>
        <c:ser>
          <c:idx val="0"/>
          <c:order val="0"/>
          <c:tx>
            <c:strRef>
              <c:f>'E-37 Residual Analysis'!$G$68</c:f>
              <c:strCache>
                <c:ptCount val="1"/>
                <c:pt idx="0">
                  <c:v>Residual</c:v>
                </c:pt>
              </c:strCache>
            </c:strRef>
          </c:tx>
          <c:spPr>
            <a:solidFill>
              <a:srgbClr val="FFFFFF"/>
            </a:solidFill>
            <a:ln w="47520">
              <a:noFill/>
            </a:ln>
          </c:spPr>
          <c:marker>
            <c:symbol val="circle"/>
            <c:size val="6"/>
            <c:spPr>
              <a:no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'E-37 Residual Analysis'!$E$69:$E$93</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xVal>
          <c:yVal>
            <c:numRef>
              <c:f>'E-37 Residual Analysis'!$G$69:$G$93</c:f>
              <c:numCache>
                <c:formatCode>0.00000</c:formatCode>
                <c:ptCount val="25"/>
                <c:pt idx="0">
                  <c:v>-0.00934832363535609</c:v>
                </c:pt>
                <c:pt idx="1">
                  <c:v>-0.00404659531726243</c:v>
                </c:pt>
                <c:pt idx="2">
                  <c:v>0.00661202895538926</c:v>
                </c:pt>
                <c:pt idx="3">
                  <c:v>-0.014086242726517</c:v>
                </c:pt>
                <c:pt idx="4">
                  <c:v>0.00431548559157657</c:v>
                </c:pt>
                <c:pt idx="5">
                  <c:v>0.0101741098642283</c:v>
                </c:pt>
                <c:pt idx="6">
                  <c:v>0.00257583818232193</c:v>
                </c:pt>
                <c:pt idx="7">
                  <c:v>0.00327756650041561</c:v>
                </c:pt>
                <c:pt idx="8">
                  <c:v>0.0182361907730673</c:v>
                </c:pt>
                <c:pt idx="9">
                  <c:v>0.00503791909116091</c:v>
                </c:pt>
                <c:pt idx="10">
                  <c:v>-0.0133603525907454</c:v>
                </c:pt>
                <c:pt idx="11">
                  <c:v>-0.00830172831809367</c:v>
                </c:pt>
                <c:pt idx="12">
                  <c:v>0.00169999999999998</c:v>
                </c:pt>
                <c:pt idx="13">
                  <c:v>-0.00519827168190634</c:v>
                </c:pt>
                <c:pt idx="14">
                  <c:v>0.00576035259074531</c:v>
                </c:pt>
                <c:pt idx="15">
                  <c:v>0.00156208090883897</c:v>
                </c:pt>
                <c:pt idx="16">
                  <c:v>0.00466380922693266</c:v>
                </c:pt>
                <c:pt idx="17">
                  <c:v>-0.00967756650041562</c:v>
                </c:pt>
                <c:pt idx="18">
                  <c:v>-0.00607583818232205</c:v>
                </c:pt>
                <c:pt idx="19">
                  <c:v>-0.00117410986422833</c:v>
                </c:pt>
                <c:pt idx="20">
                  <c:v>0.0131845144084233</c:v>
                </c:pt>
                <c:pt idx="21">
                  <c:v>0.00148624272651704</c:v>
                </c:pt>
                <c:pt idx="22">
                  <c:v>-0.00111202895538931</c:v>
                </c:pt>
                <c:pt idx="23">
                  <c:v>-0.00555340468273768</c:v>
                </c:pt>
                <c:pt idx="24">
                  <c:v>-0.000651676364643972</c:v>
                </c:pt>
              </c:numCache>
            </c:numRef>
          </c:yVal>
          <c:smooth val="1"/>
        </c:ser>
        <c:axId val="98212511"/>
        <c:axId val="32349101"/>
      </c:scatterChart>
      <c:valAx>
        <c:axId val="98212511"/>
        <c:scaling>
          <c:orientation val="minMax"/>
        </c:scaling>
        <c:delete val="0"/>
        <c:axPos val="b"/>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Observation order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2349101"/>
        <c:crosses val="autoZero"/>
        <c:crossBetween val="midCat"/>
      </c:valAx>
      <c:valAx>
        <c:axId val="3234910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Residual (mm)</a:t>
                </a:r>
              </a:p>
            </c:rich>
          </c:tx>
          <c:overlay val="0"/>
          <c:spPr>
            <a:noFill/>
            <a:ln w="0">
              <a:noFill/>
            </a:ln>
          </c:spPr>
        </c:title>
        <c:numFmt formatCode="0.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8212511"/>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3. Histogram of residuals</a:t>
            </a:r>
          </a:p>
        </c:rich>
      </c:tx>
      <c:overlay val="0"/>
      <c:spPr>
        <a:noFill/>
        <a:ln w="0">
          <a:noFill/>
        </a:ln>
      </c:spPr>
    </c:title>
    <c:autoTitleDeleted val="0"/>
    <c:plotArea>
      <c:barChart>
        <c:barDir val="col"/>
        <c:grouping val="clustered"/>
        <c:varyColors val="0"/>
        <c:ser>
          <c:idx val="0"/>
          <c:order val="0"/>
          <c:tx>
            <c:strRef>
              <c:f>'E-37 Residual Analysis'!$E$97</c:f>
              <c:strCache>
                <c:ptCount val="1"/>
                <c:pt idx="0">
                  <c:v>Count</c:v>
                </c:pt>
              </c:strCache>
            </c:strRef>
          </c:tx>
          <c:spPr>
            <a:solidFill>
              <a:srgbClr val="4F81BD"/>
            </a:solidFill>
            <a:ln w="0">
              <a:solidFill>
                <a:srgbClr val="000000"/>
              </a:solid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'E-37 Residual Analysis'!$B$98:$B$105</c:f>
              <c:strCache>
                <c:ptCount val="8"/>
                <c:pt idx="0">
                  <c:v>-0.014 to -0.010</c:v>
                </c:pt>
                <c:pt idx="1">
                  <c:v>-0.010 to -0.006</c:v>
                </c:pt>
                <c:pt idx="2">
                  <c:v>-0.006 to -0.002</c:v>
                </c:pt>
                <c:pt idx="3">
                  <c:v>-0.002 to 0.002</c:v>
                </c:pt>
                <c:pt idx="4">
                  <c:v>0.002 to 0.006</c:v>
                </c:pt>
                <c:pt idx="5">
                  <c:v>0.006 to 0.010</c:v>
                </c:pt>
                <c:pt idx="6">
                  <c:v>0.010 to 0.014</c:v>
                </c:pt>
                <c:pt idx="7">
                  <c:v>0.014 to 0.018</c:v>
                </c:pt>
              </c:strCache>
            </c:strRef>
          </c:cat>
          <c:val>
            <c:numRef>
              <c:f>'E-37 Residual Analysis'!$E$98:$E$105</c:f>
              <c:numCache>
                <c:formatCode>0</c:formatCode>
                <c:ptCount val="8"/>
                <c:pt idx="0">
                  <c:v>2</c:v>
                </c:pt>
                <c:pt idx="1">
                  <c:v>4</c:v>
                </c:pt>
                <c:pt idx="2">
                  <c:v>3</c:v>
                </c:pt>
                <c:pt idx="3">
                  <c:v>6</c:v>
                </c:pt>
                <c:pt idx="4">
                  <c:v>6</c:v>
                </c:pt>
                <c:pt idx="5">
                  <c:v>1</c:v>
                </c:pt>
                <c:pt idx="6">
                  <c:v>2</c:v>
                </c:pt>
                <c:pt idx="7">
                  <c:v>1</c:v>
                </c:pt>
              </c:numCache>
            </c:numRef>
          </c:val>
        </c:ser>
        <c:gapWidth val="20"/>
        <c:overlap val="0"/>
        <c:axId val="59917742"/>
        <c:axId val="6939607"/>
      </c:barChart>
      <c:catAx>
        <c:axId val="5991774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Residual (mm)</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939607"/>
        <c:crosses val="autoZero"/>
        <c:auto val="1"/>
        <c:lblAlgn val="ctr"/>
        <c:lblOffset val="100"/>
        <c:noMultiLvlLbl val="0"/>
      </c:catAx>
      <c:valAx>
        <c:axId val="693960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Frequency</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991774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Observed and fitted failure probability</a:t>
            </a:r>
          </a:p>
        </c:rich>
      </c:tx>
      <c:overlay val="0"/>
      <c:spPr>
        <a:noFill/>
        <a:ln w="0">
          <a:noFill/>
        </a:ln>
      </c:spPr>
    </c:title>
    <c:autoTitleDeleted val="0"/>
    <c:plotArea>
      <c:scatterChart>
        <c:scatterStyle val="lineMarker"/>
        <c:varyColors val="0"/>
        <c:ser>
          <c:idx val="0"/>
          <c:order val="0"/>
          <c:tx>
            <c:strRef>
              <c:f>'E-39 Logistic Regression'!$I$66</c:f>
              <c:strCache>
                <c:ptCount val="1"/>
                <c:pt idx="0">
                  <c:v>p fitted</c:v>
                </c:pt>
              </c:strCache>
            </c:strRef>
          </c:tx>
          <c:spPr>
            <a:solidFill>
              <a:srgbClr val="FFFFFF"/>
            </a:solidFill>
            <a:ln w="47520">
              <a:noFill/>
            </a:ln>
          </c:spPr>
          <c:marker>
            <c:symbol val="circle"/>
            <c:size val="6"/>
            <c:spPr>
              <a:no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'E-39 Logistic Regression'!$C$67:$C$74</c:f>
              <c:numCache>
                <c:formatCode>0</c:formatCode>
                <c:ptCount val="8"/>
                <c:pt idx="0">
                  <c:v>14000</c:v>
                </c:pt>
                <c:pt idx="1">
                  <c:v>14600</c:v>
                </c:pt>
                <c:pt idx="2">
                  <c:v>15200</c:v>
                </c:pt>
                <c:pt idx="3">
                  <c:v>15800</c:v>
                </c:pt>
                <c:pt idx="4">
                  <c:v>16400</c:v>
                </c:pt>
                <c:pt idx="5">
                  <c:v>17000</c:v>
                </c:pt>
                <c:pt idx="6">
                  <c:v>17600</c:v>
                </c:pt>
                <c:pt idx="7">
                  <c:v>18200</c:v>
                </c:pt>
              </c:numCache>
            </c:numRef>
          </c:xVal>
          <c:yVal>
            <c:numRef>
              <c:f>'E-39 Logistic Regression'!$I$67:$I$74</c:f>
              <c:numCache>
                <c:formatCode>0.0000</c:formatCode>
                <c:ptCount val="8"/>
                <c:pt idx="0">
                  <c:v>0.0189725949831772</c:v>
                </c:pt>
                <c:pt idx="1">
                  <c:v>0.0257548021611914</c:v>
                </c:pt>
                <c:pt idx="2">
                  <c:v>0.0348752822434101</c:v>
                </c:pt>
                <c:pt idx="3">
                  <c:v>0.0470695292478041</c:v>
                </c:pt>
                <c:pt idx="4">
                  <c:v>0.0632481119979585</c:v>
                </c:pt>
                <c:pt idx="5">
                  <c:v>0.084494474090301</c:v>
                </c:pt>
                <c:pt idx="6">
                  <c:v>0.112024420875056</c:v>
                </c:pt>
                <c:pt idx="7">
                  <c:v>0.1470830938221</c:v>
                </c:pt>
              </c:numCache>
            </c:numRef>
          </c:yVal>
          <c:smooth val="1"/>
        </c:ser>
        <c:axId val="42873601"/>
        <c:axId val="63589801"/>
      </c:scatterChart>
      <c:valAx>
        <c:axId val="42873601"/>
        <c:scaling>
          <c:orientation val="minMax"/>
        </c:scaling>
        <c:delete val="0"/>
        <c:axPos val="b"/>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Line speed (BPH)</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3589801"/>
        <c:crosses val="autoZero"/>
        <c:crossBetween val="midCat"/>
      </c:valAx>
      <c:valAx>
        <c:axId val="6358980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Probability of failure</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2873601"/>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Multi-vari chart: valve means over time</a:t>
            </a:r>
          </a:p>
        </c:rich>
      </c:tx>
      <c:overlay val="0"/>
      <c:spPr>
        <a:noFill/>
        <a:ln w="0">
          <a:noFill/>
        </a:ln>
      </c:spPr>
    </c:title>
    <c:autoTitleDeleted val="0"/>
    <c:plotArea>
      <c:lineChart>
        <c:grouping val="standard"/>
        <c:varyColors val="0"/>
        <c:ser>
          <c:idx val="0"/>
          <c:order val="0"/>
          <c:tx>
            <c:strRef>
              <c:f>'E-40 Multi-Vari Analysis'!$B$78</c:f>
              <c:strCache>
                <c:ptCount val="1"/>
                <c:pt idx="0">
                  <c:v>Valve 1</c:v>
                </c:pt>
              </c:strCache>
            </c:strRef>
          </c:tx>
          <c:spPr>
            <a:solidFill>
              <a:srgbClr val="FFFFFF"/>
            </a:solidFill>
            <a:ln w="0">
              <a:solidFill>
                <a:srgbClr val="FFFFFF"/>
              </a:solidFill>
            </a:ln>
          </c:spPr>
          <c:marker>
            <c:symbol val="circle"/>
            <c:size val="6"/>
            <c:spPr>
              <a:solidFill>
                <a:srgbClr val="FFFFFF"/>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'E-40 Multi-Vari Analysis'!$C$77:$E$77</c:f>
              <c:strCache>
                <c:ptCount val="3"/>
                <c:pt idx="0">
                  <c:v>Time 1</c:v>
                </c:pt>
                <c:pt idx="1">
                  <c:v>Time 2</c:v>
                </c:pt>
                <c:pt idx="2">
                  <c:v>Time 3</c:v>
                </c:pt>
              </c:strCache>
            </c:strRef>
          </c:cat>
          <c:val>
            <c:numRef>
              <c:f>'E-40 Multi-Vari Analysis'!$C$78:$E$78</c:f>
              <c:numCache>
                <c:formatCode>0.000</c:formatCode>
                <c:ptCount val="3"/>
                <c:pt idx="0">
                  <c:v>500</c:v>
                </c:pt>
                <c:pt idx="1">
                  <c:v>500.15</c:v>
                </c:pt>
                <c:pt idx="2">
                  <c:v>500.3</c:v>
                </c:pt>
              </c:numCache>
            </c:numRef>
          </c:val>
          <c:smooth val="1"/>
        </c:ser>
        <c:ser>
          <c:idx val="1"/>
          <c:order val="1"/>
          <c:tx>
            <c:strRef>
              <c:f>'E-40 Multi-Vari Analysis'!$B$79</c:f>
              <c:strCache>
                <c:ptCount val="1"/>
                <c:pt idx="0">
                  <c:v>Valve 2</c:v>
                </c:pt>
              </c:strCache>
            </c:strRef>
          </c:tx>
          <c:spPr>
            <a:solidFill>
              <a:srgbClr val="FFFFFF"/>
            </a:solidFill>
            <a:ln w="0">
              <a:solidFill>
                <a:srgbClr val="FFFFFF"/>
              </a:solidFill>
            </a:ln>
          </c:spPr>
          <c:marker>
            <c:symbol val="circle"/>
            <c:size val="6"/>
            <c:spPr>
              <a:solidFill>
                <a:srgbClr val="FFFFFF"/>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'E-40 Multi-Vari Analysis'!$C$77:$E$77</c:f>
              <c:strCache>
                <c:ptCount val="3"/>
                <c:pt idx="0">
                  <c:v>Time 1</c:v>
                </c:pt>
                <c:pt idx="1">
                  <c:v>Time 2</c:v>
                </c:pt>
                <c:pt idx="2">
                  <c:v>Time 3</c:v>
                </c:pt>
              </c:strCache>
            </c:strRef>
          </c:cat>
          <c:val>
            <c:numRef>
              <c:f>'E-40 Multi-Vari Analysis'!$C$79:$E$79</c:f>
              <c:numCache>
                <c:formatCode>0.000</c:formatCode>
                <c:ptCount val="3"/>
                <c:pt idx="0">
                  <c:v>500.2</c:v>
                </c:pt>
                <c:pt idx="1">
                  <c:v>500.346666666667</c:v>
                </c:pt>
                <c:pt idx="2">
                  <c:v>500.503333333333</c:v>
                </c:pt>
              </c:numCache>
            </c:numRef>
          </c:val>
          <c:smooth val="1"/>
        </c:ser>
        <c:ser>
          <c:idx val="2"/>
          <c:order val="2"/>
          <c:tx>
            <c:strRef>
              <c:f>'E-40 Multi-Vari Analysis'!$B$80</c:f>
              <c:strCache>
                <c:ptCount val="1"/>
                <c:pt idx="0">
                  <c:v>Valve 3</c:v>
                </c:pt>
              </c:strCache>
            </c:strRef>
          </c:tx>
          <c:spPr>
            <a:solidFill>
              <a:srgbClr val="FFFFFF"/>
            </a:solidFill>
            <a:ln w="0">
              <a:solidFill>
                <a:srgbClr val="FFFFFF"/>
              </a:solidFill>
            </a:ln>
          </c:spPr>
          <c:marker>
            <c:symbol val="circle"/>
            <c:size val="6"/>
            <c:spPr>
              <a:solidFill>
                <a:srgbClr val="FFFFFF"/>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'E-40 Multi-Vari Analysis'!$C$77:$E$77</c:f>
              <c:strCache>
                <c:ptCount val="3"/>
                <c:pt idx="0">
                  <c:v>Time 1</c:v>
                </c:pt>
                <c:pt idx="1">
                  <c:v>Time 2</c:v>
                </c:pt>
                <c:pt idx="2">
                  <c:v>Time 3</c:v>
                </c:pt>
              </c:strCache>
            </c:strRef>
          </c:cat>
          <c:val>
            <c:numRef>
              <c:f>'E-40 Multi-Vari Analysis'!$C$80:$E$80</c:f>
              <c:numCache>
                <c:formatCode>0.000</c:formatCode>
                <c:ptCount val="3"/>
                <c:pt idx="0">
                  <c:v>501.3</c:v>
                </c:pt>
                <c:pt idx="1">
                  <c:v>501.45</c:v>
                </c:pt>
                <c:pt idx="2">
                  <c:v>501.6</c:v>
                </c:pt>
              </c:numCache>
            </c:numRef>
          </c:val>
          <c:smooth val="1"/>
        </c:ser>
        <c:hiLowLines>
          <c:spPr>
            <a:ln w="0">
              <a:noFill/>
            </a:ln>
          </c:spPr>
        </c:hiLowLines>
        <c:marker val="1"/>
        <c:axId val="38088326"/>
        <c:axId val="72155978"/>
      </c:lineChart>
      <c:catAx>
        <c:axId val="38088326"/>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Time period</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2155978"/>
        <c:crosses val="autoZero"/>
        <c:auto val="1"/>
        <c:lblAlgn val="ctr"/>
        <c:lblOffset val="100"/>
        <c:noMultiLvlLbl val="0"/>
      </c:catAx>
      <c:valAx>
        <c:axId val="7215597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Fill volume (ml)</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808832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Main effects plot - wall thickness (mm)</a:t>
            </a:r>
          </a:p>
        </c:rich>
      </c:tx>
      <c:overlay val="0"/>
      <c:spPr>
        <a:noFill/>
        <a:ln w="0">
          <a:noFill/>
        </a:ln>
      </c:spPr>
    </c:title>
    <c:autoTitleDeleted val="0"/>
    <c:plotArea>
      <c:lineChart>
        <c:grouping val="standard"/>
        <c:varyColors val="0"/>
        <c:ser>
          <c:idx val="0"/>
          <c:order val="0"/>
          <c:tx>
            <c:strRef>
              <c:f>'E-42 Full Factorial'!C88</c:f>
              <c:strCache>
                <c:ptCount val="1"/>
                <c:pt idx="0">
                  <c:v>A: Blow pressure</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'E-42 Full Factorial'!$B$89:$B$90</c:f>
              <c:strCache>
                <c:ptCount val="2"/>
                <c:pt idx="0">
                  <c:v>Low (-1)</c:v>
                </c:pt>
                <c:pt idx="1">
                  <c:v>High (+1)</c:v>
                </c:pt>
              </c:strCache>
            </c:strRef>
          </c:cat>
          <c:val>
            <c:numRef>
              <c:f>'E-42 Full Factorial'!$C$89:$C$90</c:f>
              <c:numCache>
                <c:formatCode>0.000</c:formatCode>
                <c:ptCount val="2"/>
                <c:pt idx="0">
                  <c:v>0.2015</c:v>
                </c:pt>
                <c:pt idx="1">
                  <c:v>0.1835</c:v>
                </c:pt>
              </c:numCache>
            </c:numRef>
          </c:val>
          <c:smooth val="1"/>
        </c:ser>
        <c:ser>
          <c:idx val="1"/>
          <c:order val="1"/>
          <c:tx>
            <c:strRef>
              <c:f>'E-42 Full Factorial'!D88</c:f>
              <c:strCache>
                <c:ptCount val="1"/>
                <c:pt idx="0">
                  <c:v>B: Oven temperature</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'E-42 Full Factorial'!$B$89:$B$90</c:f>
              <c:strCache>
                <c:ptCount val="2"/>
                <c:pt idx="0">
                  <c:v>Low (-1)</c:v>
                </c:pt>
                <c:pt idx="1">
                  <c:v>High (+1)</c:v>
                </c:pt>
              </c:strCache>
            </c:strRef>
          </c:cat>
          <c:val>
            <c:numRef>
              <c:f>'E-42 Full Factorial'!$D$89:$D$90</c:f>
              <c:numCache>
                <c:formatCode>0.000</c:formatCode>
                <c:ptCount val="2"/>
                <c:pt idx="0">
                  <c:v>0.18725</c:v>
                </c:pt>
                <c:pt idx="1">
                  <c:v>0.19775</c:v>
                </c:pt>
              </c:numCache>
            </c:numRef>
          </c:val>
          <c:smooth val="1"/>
        </c:ser>
        <c:ser>
          <c:idx val="2"/>
          <c:order val="2"/>
          <c:tx>
            <c:strRef>
              <c:f>'E-42 Full Factorial'!E88</c:f>
              <c:strCache>
                <c:ptCount val="1"/>
                <c:pt idx="0">
                  <c:v>C: Line speed</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'E-42 Full Factorial'!$B$89:$B$90</c:f>
              <c:strCache>
                <c:ptCount val="2"/>
                <c:pt idx="0">
                  <c:v>Low (-1)</c:v>
                </c:pt>
                <c:pt idx="1">
                  <c:v>High (+1)</c:v>
                </c:pt>
              </c:strCache>
            </c:strRef>
          </c:cat>
          <c:val>
            <c:numRef>
              <c:f>'E-42 Full Factorial'!$E$89:$E$90</c:f>
              <c:numCache>
                <c:formatCode>0.000</c:formatCode>
                <c:ptCount val="2"/>
                <c:pt idx="0">
                  <c:v>0.19025</c:v>
                </c:pt>
                <c:pt idx="1">
                  <c:v>0.19475</c:v>
                </c:pt>
              </c:numCache>
            </c:numRef>
          </c:val>
          <c:smooth val="1"/>
        </c:ser>
        <c:hiLowLines>
          <c:spPr>
            <a:ln w="0">
              <a:noFill/>
            </a:ln>
          </c:spPr>
        </c:hiLowLines>
        <c:marker val="0"/>
        <c:axId val="73075975"/>
        <c:axId val="48163190"/>
      </c:lineChart>
      <c:catAx>
        <c:axId val="7307597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Factor level</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8163190"/>
        <c:crosses val="autoZero"/>
        <c:auto val="1"/>
        <c:lblAlgn val="ctr"/>
        <c:lblOffset val="100"/>
        <c:noMultiLvlLbl val="0"/>
      </c:catAx>
      <c:valAx>
        <c:axId val="4816319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Mean thickness (mm)</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307597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Interaction plot A x B - wall thickness (mm)</a:t>
            </a:r>
          </a:p>
        </c:rich>
      </c:tx>
      <c:overlay val="0"/>
      <c:spPr>
        <a:noFill/>
        <a:ln w="0">
          <a:noFill/>
        </a:ln>
      </c:spPr>
    </c:title>
    <c:autoTitleDeleted val="0"/>
    <c:plotArea>
      <c:lineChart>
        <c:grouping val="standard"/>
        <c:varyColors val="0"/>
        <c:ser>
          <c:idx val="0"/>
          <c:order val="0"/>
          <c:tx>
            <c:strRef>
              <c:f>'E-42 Full Factorial'!C92</c:f>
              <c:strCache>
                <c:ptCount val="1"/>
                <c:pt idx="0">
                  <c:v>Y | B low</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'E-42 Full Factorial'!$B$93:$B$94</c:f>
              <c:strCache>
                <c:ptCount val="2"/>
                <c:pt idx="0">
                  <c:v>Low (-1)</c:v>
                </c:pt>
                <c:pt idx="1">
                  <c:v>High (+1)</c:v>
                </c:pt>
              </c:strCache>
            </c:strRef>
          </c:cat>
          <c:val>
            <c:numRef>
              <c:f>'E-42 Full Factorial'!$C$93:$C$94</c:f>
              <c:numCache>
                <c:formatCode>0.000</c:formatCode>
                <c:ptCount val="2"/>
                <c:pt idx="0">
                  <c:v>0.195</c:v>
                </c:pt>
                <c:pt idx="1">
                  <c:v>0.1795</c:v>
                </c:pt>
              </c:numCache>
            </c:numRef>
          </c:val>
          <c:smooth val="1"/>
        </c:ser>
        <c:ser>
          <c:idx val="1"/>
          <c:order val="1"/>
          <c:tx>
            <c:strRef>
              <c:f>'E-42 Full Factorial'!D92</c:f>
              <c:strCache>
                <c:ptCount val="1"/>
                <c:pt idx="0">
                  <c:v>Y | B high</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'E-42 Full Factorial'!$B$93:$B$94</c:f>
              <c:strCache>
                <c:ptCount val="2"/>
                <c:pt idx="0">
                  <c:v>Low (-1)</c:v>
                </c:pt>
                <c:pt idx="1">
                  <c:v>High (+1)</c:v>
                </c:pt>
              </c:strCache>
            </c:strRef>
          </c:cat>
          <c:val>
            <c:numRef>
              <c:f>'E-42 Full Factorial'!$D$93:$D$94</c:f>
              <c:numCache>
                <c:formatCode>0.000</c:formatCode>
                <c:ptCount val="2"/>
                <c:pt idx="0">
                  <c:v>0.208</c:v>
                </c:pt>
                <c:pt idx="1">
                  <c:v>0.1875</c:v>
                </c:pt>
              </c:numCache>
            </c:numRef>
          </c:val>
          <c:smooth val="1"/>
        </c:ser>
        <c:hiLowLines>
          <c:spPr>
            <a:ln w="0">
              <a:noFill/>
            </a:ln>
          </c:spPr>
        </c:hiLowLines>
        <c:marker val="0"/>
        <c:axId val="95507241"/>
        <c:axId val="88397786"/>
      </c:lineChart>
      <c:catAx>
        <c:axId val="95507241"/>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 level</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8397786"/>
        <c:crosses val="autoZero"/>
        <c:auto val="1"/>
        <c:lblAlgn val="ctr"/>
        <c:lblOffset val="100"/>
        <c:noMultiLvlLbl val="0"/>
      </c:catAx>
      <c:valAx>
        <c:axId val="8839778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Mean thickness (mm)</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550724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Pareto of effects - label placement deviation</a:t>
            </a:r>
          </a:p>
        </c:rich>
      </c:tx>
      <c:overlay val="0"/>
      <c:spPr>
        <a:noFill/>
        <a:ln w="0">
          <a:noFill/>
        </a:ln>
      </c:spPr>
    </c:title>
    <c:autoTitleDeleted val="0"/>
    <c:plotArea>
      <c:barChart>
        <c:barDir val="col"/>
        <c:grouping val="clustered"/>
        <c:varyColors val="0"/>
        <c:ser>
          <c:idx val="0"/>
          <c:order val="0"/>
          <c:tx>
            <c:strRef>
              <c:f>'E-43 Fractional Factorial'!D93</c:f>
              <c:strCache>
                <c:ptCount val="1"/>
                <c:pt idx="0">
                  <c:v>|Estimate|</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'E-43 Fractional Factorial'!$C$94:$C$100</c:f>
              <c:strCache>
                <c:ptCount val="7"/>
                <c:pt idx="0">
                  <c:v>A (= BCD)</c:v>
                </c:pt>
                <c:pt idx="1">
                  <c:v>B (= ACD)</c:v>
                </c:pt>
                <c:pt idx="2">
                  <c:v>AD = BC</c:v>
                </c:pt>
                <c:pt idx="3">
                  <c:v>AB = CD</c:v>
                </c:pt>
                <c:pt idx="4">
                  <c:v>C (= ABD)</c:v>
                </c:pt>
                <c:pt idx="5">
                  <c:v>D (= ABC)</c:v>
                </c:pt>
                <c:pt idx="6">
                  <c:v>D (= ABC)</c:v>
                </c:pt>
              </c:strCache>
            </c:strRef>
          </c:cat>
          <c:val>
            <c:numRef>
              <c:f>'E-43 Fractional Factorial'!$D$94:$D$100</c:f>
              <c:numCache>
                <c:formatCode>0.0000</c:formatCode>
                <c:ptCount val="7"/>
                <c:pt idx="0">
                  <c:v>0.1675</c:v>
                </c:pt>
                <c:pt idx="1">
                  <c:v>0.1425</c:v>
                </c:pt>
                <c:pt idx="2">
                  <c:v>0.0625</c:v>
                </c:pt>
                <c:pt idx="3">
                  <c:v>0.0275</c:v>
                </c:pt>
                <c:pt idx="4">
                  <c:v>0.0225</c:v>
                </c:pt>
                <c:pt idx="5">
                  <c:v>0.0175</c:v>
                </c:pt>
                <c:pt idx="6">
                  <c:v>0.0175</c:v>
                </c:pt>
              </c:numCache>
            </c:numRef>
          </c:val>
        </c:ser>
        <c:gapWidth val="150"/>
        <c:overlap val="0"/>
        <c:axId val="85665741"/>
        <c:axId val="19497767"/>
      </c:barChart>
      <c:catAx>
        <c:axId val="8566574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9497767"/>
        <c:crosses val="autoZero"/>
        <c:auto val="1"/>
        <c:lblAlgn val="ctr"/>
        <c:lblOffset val="100"/>
        <c:noMultiLvlLbl val="0"/>
      </c:catAx>
      <c:valAx>
        <c:axId val="1949776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|Effect| (mm)</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566574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Response profile - predicted yield vs X1, one line per X2 (contour approximation)</a:t>
            </a:r>
          </a:p>
        </c:rich>
      </c:tx>
      <c:overlay val="0"/>
      <c:spPr>
        <a:noFill/>
        <a:ln w="0">
          <a:noFill/>
        </a:ln>
      </c:spPr>
    </c:title>
    <c:autoTitleDeleted val="0"/>
    <c:plotArea>
      <c:lineChart>
        <c:grouping val="standard"/>
        <c:varyColors val="0"/>
        <c:ser>
          <c:idx val="0"/>
          <c:order val="0"/>
          <c:tx>
            <c:strRef>
              <c:f>'E-46 Response Surface'!C87</c:f>
              <c:strCache>
                <c:ptCount val="1"/>
                <c:pt idx="0">
                  <c:v>-1.5</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'E-46 Response Surface'!$D$86:$J$86</c:f>
              <c:strCache>
                <c:ptCount val="7"/>
                <c:pt idx="0">
                  <c:v>-1.5</c:v>
                </c:pt>
                <c:pt idx="1">
                  <c:v>-1.0</c:v>
                </c:pt>
                <c:pt idx="2">
                  <c:v>-0.5</c:v>
                </c:pt>
                <c:pt idx="3">
                  <c:v>0.0</c:v>
                </c:pt>
                <c:pt idx="4">
                  <c:v>0.5</c:v>
                </c:pt>
                <c:pt idx="5">
                  <c:v>1.0</c:v>
                </c:pt>
                <c:pt idx="6">
                  <c:v>1.5</c:v>
                </c:pt>
              </c:strCache>
            </c:strRef>
          </c:cat>
          <c:val>
            <c:numRef>
              <c:f>'E-46 Response Surface'!$D$87:$J$87</c:f>
              <c:numCache>
                <c:formatCode>0.00</c:formatCode>
                <c:ptCount val="7"/>
                <c:pt idx="0">
                  <c:v>80.1827328339741</c:v>
                </c:pt>
                <c:pt idx="1">
                  <c:v>83.2766474778195</c:v>
                </c:pt>
                <c:pt idx="2">
                  <c:v>85.4285797647353</c:v>
                </c:pt>
                <c:pt idx="3">
                  <c:v>86.6385296947216</c:v>
                </c:pt>
                <c:pt idx="4">
                  <c:v>86.9064972677783</c:v>
                </c:pt>
                <c:pt idx="5">
                  <c:v>86.2324824839054</c:v>
                </c:pt>
                <c:pt idx="6">
                  <c:v>84.616485343103</c:v>
                </c:pt>
              </c:numCache>
            </c:numRef>
          </c:val>
          <c:smooth val="1"/>
        </c:ser>
        <c:ser>
          <c:idx val="1"/>
          <c:order val="1"/>
          <c:tx>
            <c:strRef>
              <c:f>'E-46 Response Surface'!C88</c:f>
              <c:strCache>
                <c:ptCount val="1"/>
                <c:pt idx="0">
                  <c:v>-1.0</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'E-46 Response Surface'!$D$86:$J$86</c:f>
              <c:strCache>
                <c:ptCount val="7"/>
                <c:pt idx="0">
                  <c:v>-1.5</c:v>
                </c:pt>
                <c:pt idx="1">
                  <c:v>-1.0</c:v>
                </c:pt>
                <c:pt idx="2">
                  <c:v>-0.5</c:v>
                </c:pt>
                <c:pt idx="3">
                  <c:v>0.0</c:v>
                </c:pt>
                <c:pt idx="4">
                  <c:v>0.5</c:v>
                </c:pt>
                <c:pt idx="5">
                  <c:v>1.0</c:v>
                </c:pt>
                <c:pt idx="6">
                  <c:v>1.5</c:v>
                </c:pt>
              </c:strCache>
            </c:strRef>
          </c:cat>
          <c:val>
            <c:numRef>
              <c:f>'E-46 Response Surface'!$D$88:$J$88</c:f>
              <c:numCache>
                <c:formatCode>0.00</c:formatCode>
                <c:ptCount val="7"/>
                <c:pt idx="0">
                  <c:v>82.6488993668018</c:v>
                </c:pt>
                <c:pt idx="1">
                  <c:v>85.7365640106471</c:v>
                </c:pt>
                <c:pt idx="2">
                  <c:v>87.882246297563</c:v>
                </c:pt>
                <c:pt idx="3">
                  <c:v>89.0859462275492</c:v>
                </c:pt>
                <c:pt idx="4">
                  <c:v>89.3476638006059</c:v>
                </c:pt>
                <c:pt idx="5">
                  <c:v>88.6673990167331</c:v>
                </c:pt>
                <c:pt idx="6">
                  <c:v>87.0451518759307</c:v>
                </c:pt>
              </c:numCache>
            </c:numRef>
          </c:val>
          <c:smooth val="1"/>
        </c:ser>
        <c:ser>
          <c:idx val="2"/>
          <c:order val="2"/>
          <c:tx>
            <c:strRef>
              <c:f>'E-46 Response Surface'!C89</c:f>
              <c:strCache>
                <c:ptCount val="1"/>
                <c:pt idx="0">
                  <c:v>-0.5</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'E-46 Response Surface'!$D$86:$J$86</c:f>
              <c:strCache>
                <c:ptCount val="7"/>
                <c:pt idx="0">
                  <c:v>-1.5</c:v>
                </c:pt>
                <c:pt idx="1">
                  <c:v>-1.0</c:v>
                </c:pt>
                <c:pt idx="2">
                  <c:v>-0.5</c:v>
                </c:pt>
                <c:pt idx="3">
                  <c:v>0.0</c:v>
                </c:pt>
                <c:pt idx="4">
                  <c:v>0.5</c:v>
                </c:pt>
                <c:pt idx="5">
                  <c:v>1.0</c:v>
                </c:pt>
                <c:pt idx="6">
                  <c:v>1.5</c:v>
                </c:pt>
              </c:strCache>
            </c:strRef>
          </c:cat>
          <c:val>
            <c:numRef>
              <c:f>'E-46 Response Surface'!$D$89:$J$89</c:f>
              <c:numCache>
                <c:formatCode>0.00</c:formatCode>
                <c:ptCount val="7"/>
                <c:pt idx="0">
                  <c:v>84.2481061995422</c:v>
                </c:pt>
                <c:pt idx="1">
                  <c:v>87.3295208433876</c:v>
                </c:pt>
                <c:pt idx="2">
                  <c:v>89.4689531303034</c:v>
                </c:pt>
                <c:pt idx="3">
                  <c:v>90.6664030602897</c:v>
                </c:pt>
                <c:pt idx="4">
                  <c:v>90.9218706333464</c:v>
                </c:pt>
                <c:pt idx="5">
                  <c:v>90.2353558494735</c:v>
                </c:pt>
                <c:pt idx="6">
                  <c:v>88.6068587086711</c:v>
                </c:pt>
              </c:numCache>
            </c:numRef>
          </c:val>
          <c:smooth val="1"/>
        </c:ser>
        <c:ser>
          <c:idx val="3"/>
          <c:order val="3"/>
          <c:tx>
            <c:strRef>
              <c:f>'E-46 Response Surface'!C90</c:f>
              <c:strCache>
                <c:ptCount val="1"/>
                <c:pt idx="0">
                  <c:v>0.0</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'E-46 Response Surface'!$D$86:$J$86</c:f>
              <c:strCache>
                <c:ptCount val="7"/>
                <c:pt idx="0">
                  <c:v>-1.5</c:v>
                </c:pt>
                <c:pt idx="1">
                  <c:v>-1.0</c:v>
                </c:pt>
                <c:pt idx="2">
                  <c:v>-0.5</c:v>
                </c:pt>
                <c:pt idx="3">
                  <c:v>0.0</c:v>
                </c:pt>
                <c:pt idx="4">
                  <c:v>0.5</c:v>
                </c:pt>
                <c:pt idx="5">
                  <c:v>1.0</c:v>
                </c:pt>
                <c:pt idx="6">
                  <c:v>1.5</c:v>
                </c:pt>
              </c:strCache>
            </c:strRef>
          </c:cat>
          <c:val>
            <c:numRef>
              <c:f>'E-46 Response Surface'!$D$90:$J$90</c:f>
              <c:numCache>
                <c:formatCode>0.00</c:formatCode>
                <c:ptCount val="7"/>
                <c:pt idx="0">
                  <c:v>84.9803533321955</c:v>
                </c:pt>
                <c:pt idx="1">
                  <c:v>88.0555179760409</c:v>
                </c:pt>
                <c:pt idx="2">
                  <c:v>90.1887002629567</c:v>
                </c:pt>
                <c:pt idx="3">
                  <c:v>91.3799001929429</c:v>
                </c:pt>
                <c:pt idx="4">
                  <c:v>91.6291177659997</c:v>
                </c:pt>
                <c:pt idx="5">
                  <c:v>90.9363529821268</c:v>
                </c:pt>
                <c:pt idx="6">
                  <c:v>89.3016058413244</c:v>
                </c:pt>
              </c:numCache>
            </c:numRef>
          </c:val>
          <c:smooth val="1"/>
        </c:ser>
        <c:ser>
          <c:idx val="4"/>
          <c:order val="4"/>
          <c:tx>
            <c:strRef>
              <c:f>'E-46 Response Surface'!C91</c:f>
              <c:strCache>
                <c:ptCount val="1"/>
                <c:pt idx="0">
                  <c:v>0.5</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'E-46 Response Surface'!$D$86:$J$86</c:f>
              <c:strCache>
                <c:ptCount val="7"/>
                <c:pt idx="0">
                  <c:v>-1.5</c:v>
                </c:pt>
                <c:pt idx="1">
                  <c:v>-1.0</c:v>
                </c:pt>
                <c:pt idx="2">
                  <c:v>-0.5</c:v>
                </c:pt>
                <c:pt idx="3">
                  <c:v>0.0</c:v>
                </c:pt>
                <c:pt idx="4">
                  <c:v>0.5</c:v>
                </c:pt>
                <c:pt idx="5">
                  <c:v>1.0</c:v>
                </c:pt>
                <c:pt idx="6">
                  <c:v>1.5</c:v>
                </c:pt>
              </c:strCache>
            </c:strRef>
          </c:cat>
          <c:val>
            <c:numRef>
              <c:f>'E-46 Response Surface'!$D$91:$J$91</c:f>
              <c:numCache>
                <c:formatCode>0.00</c:formatCode>
                <c:ptCount val="7"/>
                <c:pt idx="0">
                  <c:v>84.8456407647616</c:v>
                </c:pt>
                <c:pt idx="1">
                  <c:v>87.9145554086069</c:v>
                </c:pt>
                <c:pt idx="2">
                  <c:v>90.0414876955228</c:v>
                </c:pt>
                <c:pt idx="3">
                  <c:v>91.226437625509</c:v>
                </c:pt>
                <c:pt idx="4">
                  <c:v>91.4694051985657</c:v>
                </c:pt>
                <c:pt idx="5">
                  <c:v>90.7703904146929</c:v>
                </c:pt>
                <c:pt idx="6">
                  <c:v>89.1293932738905</c:v>
                </c:pt>
              </c:numCache>
            </c:numRef>
          </c:val>
          <c:smooth val="1"/>
        </c:ser>
        <c:ser>
          <c:idx val="5"/>
          <c:order val="5"/>
          <c:tx>
            <c:strRef>
              <c:f>'E-46 Response Surface'!C92</c:f>
              <c:strCache>
                <c:ptCount val="1"/>
                <c:pt idx="0">
                  <c:v>1.0</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'E-46 Response Surface'!$D$86:$J$86</c:f>
              <c:strCache>
                <c:ptCount val="7"/>
                <c:pt idx="0">
                  <c:v>-1.5</c:v>
                </c:pt>
                <c:pt idx="1">
                  <c:v>-1.0</c:v>
                </c:pt>
                <c:pt idx="2">
                  <c:v>-0.5</c:v>
                </c:pt>
                <c:pt idx="3">
                  <c:v>0.0</c:v>
                </c:pt>
                <c:pt idx="4">
                  <c:v>0.5</c:v>
                </c:pt>
                <c:pt idx="5">
                  <c:v>1.0</c:v>
                </c:pt>
                <c:pt idx="6">
                  <c:v>1.5</c:v>
                </c:pt>
              </c:strCache>
            </c:strRef>
          </c:cat>
          <c:val>
            <c:numRef>
              <c:f>'E-46 Response Surface'!$D$92:$J$92</c:f>
              <c:numCache>
                <c:formatCode>0.00</c:formatCode>
                <c:ptCount val="7"/>
                <c:pt idx="0">
                  <c:v>83.8439684972405</c:v>
                </c:pt>
                <c:pt idx="1">
                  <c:v>86.9066331410859</c:v>
                </c:pt>
                <c:pt idx="2">
                  <c:v>89.0273154280017</c:v>
                </c:pt>
                <c:pt idx="3">
                  <c:v>90.2060153579879</c:v>
                </c:pt>
                <c:pt idx="4">
                  <c:v>90.4427329310446</c:v>
                </c:pt>
                <c:pt idx="5">
                  <c:v>89.7374681471718</c:v>
                </c:pt>
                <c:pt idx="6">
                  <c:v>88.0902210063694</c:v>
                </c:pt>
              </c:numCache>
            </c:numRef>
          </c:val>
          <c:smooth val="1"/>
        </c:ser>
        <c:ser>
          <c:idx val="6"/>
          <c:order val="6"/>
          <c:tx>
            <c:strRef>
              <c:f>'E-46 Response Surface'!C93</c:f>
              <c:strCache>
                <c:ptCount val="1"/>
                <c:pt idx="0">
                  <c:v>1.5</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'E-46 Response Surface'!$D$86:$J$86</c:f>
              <c:strCache>
                <c:ptCount val="7"/>
                <c:pt idx="0">
                  <c:v>-1.5</c:v>
                </c:pt>
                <c:pt idx="1">
                  <c:v>-1.0</c:v>
                </c:pt>
                <c:pt idx="2">
                  <c:v>-0.5</c:v>
                </c:pt>
                <c:pt idx="3">
                  <c:v>0.0</c:v>
                </c:pt>
                <c:pt idx="4">
                  <c:v>0.5</c:v>
                </c:pt>
                <c:pt idx="5">
                  <c:v>1.0</c:v>
                </c:pt>
                <c:pt idx="6">
                  <c:v>1.5</c:v>
                </c:pt>
              </c:strCache>
            </c:strRef>
          </c:cat>
          <c:val>
            <c:numRef>
              <c:f>'E-46 Response Surface'!$D$93:$J$93</c:f>
              <c:numCache>
                <c:formatCode>0.00</c:formatCode>
                <c:ptCount val="7"/>
                <c:pt idx="0">
                  <c:v>81.9753365296322</c:v>
                </c:pt>
                <c:pt idx="1">
                  <c:v>85.0317511734775</c:v>
                </c:pt>
                <c:pt idx="2">
                  <c:v>87.1461834603934</c:v>
                </c:pt>
                <c:pt idx="3">
                  <c:v>88.3186333903796</c:v>
                </c:pt>
                <c:pt idx="4">
                  <c:v>88.5491009634363</c:v>
                </c:pt>
                <c:pt idx="5">
                  <c:v>87.8375861795634</c:v>
                </c:pt>
                <c:pt idx="6">
                  <c:v>86.184089038761</c:v>
                </c:pt>
              </c:numCache>
            </c:numRef>
          </c:val>
          <c:smooth val="1"/>
        </c:ser>
        <c:hiLowLines>
          <c:spPr>
            <a:ln w="0">
              <a:noFill/>
            </a:ln>
          </c:spPr>
        </c:hiLowLines>
        <c:marker val="0"/>
        <c:axId val="51560402"/>
        <c:axId val="51593180"/>
      </c:lineChart>
      <c:catAx>
        <c:axId val="5156040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X1 (coded)</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1593180"/>
        <c:crosses val="autoZero"/>
        <c:auto val="1"/>
        <c:lblAlgn val="ctr"/>
        <c:lblOffset val="100"/>
        <c:noMultiLvlLbl val="0"/>
      </c:catAx>
      <c:valAx>
        <c:axId val="5159318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Predicted yield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156040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Individuals chart - dissolved O2 (ppb)</a:t>
            </a:r>
          </a:p>
        </c:rich>
      </c:tx>
      <c:overlay val="0"/>
      <c:spPr>
        <a:noFill/>
        <a:ln w="0">
          <a:noFill/>
        </a:ln>
      </c:spPr>
    </c:title>
    <c:autoTitleDeleted val="0"/>
    <c:plotArea>
      <c:lineChart>
        <c:grouping val="standard"/>
        <c:varyColors val="0"/>
        <c:ser>
          <c:idx val="0"/>
          <c:order val="0"/>
          <c:tx>
            <c:strRef>
              <c:f>'E-49 I-MR Chart'!C84</c:f>
              <c:strCache>
                <c:ptCount val="1"/>
                <c:pt idx="0">
                  <c:v>X</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'E-49 I-MR Chart'!$B$85:$B$109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'E-49 I-MR Chart'!$C$85:$C$109</c:f>
              <c:numCache>
                <c:formatCode>0.0</c:formatCode>
                <c:ptCount val="25"/>
                <c:pt idx="0">
                  <c:v>26</c:v>
                </c:pt>
                <c:pt idx="1">
                  <c:v>28</c:v>
                </c:pt>
                <c:pt idx="2">
                  <c:v>25</c:v>
                </c:pt>
                <c:pt idx="3">
                  <c:v>27</c:v>
                </c:pt>
                <c:pt idx="4">
                  <c:v>29</c:v>
                </c:pt>
                <c:pt idx="5">
                  <c:v>26</c:v>
                </c:pt>
                <c:pt idx="6">
                  <c:v>24</c:v>
                </c:pt>
                <c:pt idx="7">
                  <c:v>27</c:v>
                </c:pt>
                <c:pt idx="8">
                  <c:v>28</c:v>
                </c:pt>
                <c:pt idx="9">
                  <c:v>26</c:v>
                </c:pt>
                <c:pt idx="10">
                  <c:v>25</c:v>
                </c:pt>
                <c:pt idx="11">
                  <c:v>27</c:v>
                </c:pt>
                <c:pt idx="12">
                  <c:v>29</c:v>
                </c:pt>
                <c:pt idx="13">
                  <c:v>26</c:v>
                </c:pt>
                <c:pt idx="14">
                  <c:v>28</c:v>
                </c:pt>
                <c:pt idx="15">
                  <c:v>25</c:v>
                </c:pt>
                <c:pt idx="16">
                  <c:v>27</c:v>
                </c:pt>
                <c:pt idx="17">
                  <c:v>42</c:v>
                </c:pt>
                <c:pt idx="18">
                  <c:v>26</c:v>
                </c:pt>
                <c:pt idx="19">
                  <c:v>28</c:v>
                </c:pt>
                <c:pt idx="20">
                  <c:v>25</c:v>
                </c:pt>
                <c:pt idx="21">
                  <c:v>27</c:v>
                </c:pt>
                <c:pt idx="22">
                  <c:v>26</c:v>
                </c:pt>
                <c:pt idx="23">
                  <c:v>28</c:v>
                </c:pt>
                <c:pt idx="24">
                  <c:v>27</c:v>
                </c:pt>
              </c:numCache>
            </c:numRef>
          </c:val>
          <c:smooth val="1"/>
        </c:ser>
        <c:ser>
          <c:idx val="1"/>
          <c:order val="1"/>
          <c:tx>
            <c:strRef>
              <c:f>'E-49 I-MR Chart'!D84</c:f>
              <c:strCache>
                <c:ptCount val="1"/>
                <c:pt idx="0">
                  <c:v>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'E-49 I-MR Chart'!$B$85:$B$109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'E-49 I-MR Chart'!$D$85:$D$109</c:f>
              <c:numCache>
                <c:formatCode>0.0</c:formatCode>
                <c:ptCount val="25"/>
                <c:pt idx="0">
                  <c:v>27.28</c:v>
                </c:pt>
                <c:pt idx="1">
                  <c:v>27.28</c:v>
                </c:pt>
                <c:pt idx="2">
                  <c:v>27.28</c:v>
                </c:pt>
                <c:pt idx="3">
                  <c:v>27.28</c:v>
                </c:pt>
                <c:pt idx="4">
                  <c:v>27.28</c:v>
                </c:pt>
                <c:pt idx="5">
                  <c:v>27.28</c:v>
                </c:pt>
                <c:pt idx="6">
                  <c:v>27.28</c:v>
                </c:pt>
                <c:pt idx="7">
                  <c:v>27.28</c:v>
                </c:pt>
                <c:pt idx="8">
                  <c:v>27.28</c:v>
                </c:pt>
                <c:pt idx="9">
                  <c:v>27.28</c:v>
                </c:pt>
                <c:pt idx="10">
                  <c:v>27.28</c:v>
                </c:pt>
                <c:pt idx="11">
                  <c:v>27.28</c:v>
                </c:pt>
                <c:pt idx="12">
                  <c:v>27.28</c:v>
                </c:pt>
                <c:pt idx="13">
                  <c:v>27.28</c:v>
                </c:pt>
                <c:pt idx="14">
                  <c:v>27.28</c:v>
                </c:pt>
                <c:pt idx="15">
                  <c:v>27.28</c:v>
                </c:pt>
                <c:pt idx="16">
                  <c:v>27.28</c:v>
                </c:pt>
                <c:pt idx="17">
                  <c:v>27.28</c:v>
                </c:pt>
                <c:pt idx="18">
                  <c:v>27.28</c:v>
                </c:pt>
                <c:pt idx="19">
                  <c:v>27.28</c:v>
                </c:pt>
                <c:pt idx="20">
                  <c:v>27.28</c:v>
                </c:pt>
                <c:pt idx="21">
                  <c:v>27.28</c:v>
                </c:pt>
                <c:pt idx="22">
                  <c:v>27.28</c:v>
                </c:pt>
                <c:pt idx="23">
                  <c:v>27.28</c:v>
                </c:pt>
                <c:pt idx="24">
                  <c:v>27.28</c:v>
                </c:pt>
              </c:numCache>
            </c:numRef>
          </c:val>
          <c:smooth val="1"/>
        </c:ser>
        <c:ser>
          <c:idx val="2"/>
          <c:order val="2"/>
          <c:tx>
            <c:strRef>
              <c:f>'E-49 I-MR Chart'!E84</c:f>
              <c:strCache>
                <c:ptCount val="1"/>
                <c:pt idx="0">
                  <c:v>UCL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'E-49 I-MR Chart'!$B$85:$B$109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'E-49 I-MR Chart'!$E$85:$E$109</c:f>
              <c:numCache>
                <c:formatCode>0.0</c:formatCode>
                <c:ptCount val="25"/>
                <c:pt idx="0">
                  <c:v>35.8141666666667</c:v>
                </c:pt>
                <c:pt idx="1">
                  <c:v>35.8141666666667</c:v>
                </c:pt>
                <c:pt idx="2">
                  <c:v>35.8141666666667</c:v>
                </c:pt>
                <c:pt idx="3">
                  <c:v>35.8141666666667</c:v>
                </c:pt>
                <c:pt idx="4">
                  <c:v>35.8141666666667</c:v>
                </c:pt>
                <c:pt idx="5">
                  <c:v>35.8141666666667</c:v>
                </c:pt>
                <c:pt idx="6">
                  <c:v>35.8141666666667</c:v>
                </c:pt>
                <c:pt idx="7">
                  <c:v>35.8141666666667</c:v>
                </c:pt>
                <c:pt idx="8">
                  <c:v>35.8141666666667</c:v>
                </c:pt>
                <c:pt idx="9">
                  <c:v>35.8141666666667</c:v>
                </c:pt>
                <c:pt idx="10">
                  <c:v>35.8141666666667</c:v>
                </c:pt>
                <c:pt idx="11">
                  <c:v>35.8141666666667</c:v>
                </c:pt>
                <c:pt idx="12">
                  <c:v>35.8141666666667</c:v>
                </c:pt>
                <c:pt idx="13">
                  <c:v>35.8141666666667</c:v>
                </c:pt>
                <c:pt idx="14">
                  <c:v>35.8141666666667</c:v>
                </c:pt>
                <c:pt idx="15">
                  <c:v>35.8141666666667</c:v>
                </c:pt>
                <c:pt idx="16">
                  <c:v>35.8141666666667</c:v>
                </c:pt>
                <c:pt idx="17">
                  <c:v>35.8141666666667</c:v>
                </c:pt>
                <c:pt idx="18">
                  <c:v>35.8141666666667</c:v>
                </c:pt>
                <c:pt idx="19">
                  <c:v>35.8141666666667</c:v>
                </c:pt>
                <c:pt idx="20">
                  <c:v>35.8141666666667</c:v>
                </c:pt>
                <c:pt idx="21">
                  <c:v>35.8141666666667</c:v>
                </c:pt>
                <c:pt idx="22">
                  <c:v>35.8141666666667</c:v>
                </c:pt>
                <c:pt idx="23">
                  <c:v>35.8141666666667</c:v>
                </c:pt>
                <c:pt idx="24">
                  <c:v>35.8141666666667</c:v>
                </c:pt>
              </c:numCache>
            </c:numRef>
          </c:val>
          <c:smooth val="1"/>
        </c:ser>
        <c:ser>
          <c:idx val="3"/>
          <c:order val="3"/>
          <c:tx>
            <c:strRef>
              <c:f>'E-49 I-MR Chart'!F84</c:f>
              <c:strCache>
                <c:ptCount val="1"/>
                <c:pt idx="0">
                  <c:v>LCL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'E-49 I-MR Chart'!$B$85:$B$109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'E-49 I-MR Chart'!$F$85:$F$109</c:f>
              <c:numCache>
                <c:formatCode>0.0</c:formatCode>
                <c:ptCount val="25"/>
                <c:pt idx="0">
                  <c:v>18.7458333333333</c:v>
                </c:pt>
                <c:pt idx="1">
                  <c:v>18.7458333333333</c:v>
                </c:pt>
                <c:pt idx="2">
                  <c:v>18.7458333333333</c:v>
                </c:pt>
                <c:pt idx="3">
                  <c:v>18.7458333333333</c:v>
                </c:pt>
                <c:pt idx="4">
                  <c:v>18.7458333333333</c:v>
                </c:pt>
                <c:pt idx="5">
                  <c:v>18.7458333333333</c:v>
                </c:pt>
                <c:pt idx="6">
                  <c:v>18.7458333333333</c:v>
                </c:pt>
                <c:pt idx="7">
                  <c:v>18.7458333333333</c:v>
                </c:pt>
                <c:pt idx="8">
                  <c:v>18.7458333333333</c:v>
                </c:pt>
                <c:pt idx="9">
                  <c:v>18.7458333333333</c:v>
                </c:pt>
                <c:pt idx="10">
                  <c:v>18.7458333333333</c:v>
                </c:pt>
                <c:pt idx="11">
                  <c:v>18.7458333333333</c:v>
                </c:pt>
                <c:pt idx="12">
                  <c:v>18.7458333333333</c:v>
                </c:pt>
                <c:pt idx="13">
                  <c:v>18.7458333333333</c:v>
                </c:pt>
                <c:pt idx="14">
                  <c:v>18.7458333333333</c:v>
                </c:pt>
                <c:pt idx="15">
                  <c:v>18.7458333333333</c:v>
                </c:pt>
                <c:pt idx="16">
                  <c:v>18.7458333333333</c:v>
                </c:pt>
                <c:pt idx="17">
                  <c:v>18.7458333333333</c:v>
                </c:pt>
                <c:pt idx="18">
                  <c:v>18.7458333333333</c:v>
                </c:pt>
                <c:pt idx="19">
                  <c:v>18.7458333333333</c:v>
                </c:pt>
                <c:pt idx="20">
                  <c:v>18.7458333333333</c:v>
                </c:pt>
                <c:pt idx="21">
                  <c:v>18.7458333333333</c:v>
                </c:pt>
                <c:pt idx="22">
                  <c:v>18.7458333333333</c:v>
                </c:pt>
                <c:pt idx="23">
                  <c:v>18.7458333333333</c:v>
                </c:pt>
                <c:pt idx="24">
                  <c:v>18.7458333333333</c:v>
                </c:pt>
              </c:numCache>
            </c:numRef>
          </c:val>
          <c:smooth val="1"/>
        </c:ser>
        <c:hiLowLines>
          <c:spPr>
            <a:ln w="0">
              <a:noFill/>
            </a:ln>
          </c:spPr>
        </c:hiLowLines>
        <c:marker val="0"/>
        <c:axId val="95653335"/>
        <c:axId val="93437527"/>
      </c:lineChart>
      <c:catAx>
        <c:axId val="9565333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Point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3437527"/>
        <c:crosses val="autoZero"/>
        <c:auto val="1"/>
        <c:lblAlgn val="ctr"/>
        <c:lblOffset val="100"/>
        <c:noMultiLvlLbl val="0"/>
      </c:catAx>
      <c:valAx>
        <c:axId val="9343752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O2 (ppb)</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565333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Xbar chart - fill volume (ml)</a:t>
            </a:r>
          </a:p>
        </c:rich>
      </c:tx>
      <c:overlay val="0"/>
      <c:spPr>
        <a:noFill/>
        <a:ln w="0">
          <a:noFill/>
        </a:ln>
      </c:spPr>
    </c:title>
    <c:autoTitleDeleted val="0"/>
    <c:plotArea>
      <c:lineChart>
        <c:grouping val="standard"/>
        <c:varyColors val="0"/>
        <c:ser>
          <c:idx val="0"/>
          <c:order val="0"/>
          <c:tx>
            <c:strRef>
              <c:f>'E-50 Xbar-R Chart'!C82</c:f>
              <c:strCache>
                <c:ptCount val="1"/>
                <c:pt idx="0">
                  <c:v>Xbar</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'E-50 Xbar-R Chart'!$B$83:$B$107</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'E-50 Xbar-R Chart'!$C$83:$C$107</c:f>
              <c:numCache>
                <c:formatCode>0.00</c:formatCode>
                <c:ptCount val="25"/>
                <c:pt idx="0">
                  <c:v>498.846</c:v>
                </c:pt>
                <c:pt idx="1">
                  <c:v>500.282</c:v>
                </c:pt>
                <c:pt idx="2">
                  <c:v>501.134</c:v>
                </c:pt>
                <c:pt idx="3">
                  <c:v>500.272</c:v>
                </c:pt>
                <c:pt idx="4">
                  <c:v>499.714</c:v>
                </c:pt>
                <c:pt idx="5">
                  <c:v>500.086</c:v>
                </c:pt>
                <c:pt idx="6">
                  <c:v>499.81</c:v>
                </c:pt>
                <c:pt idx="7">
                  <c:v>499.52</c:v>
                </c:pt>
                <c:pt idx="8">
                  <c:v>498.71</c:v>
                </c:pt>
                <c:pt idx="9">
                  <c:v>498.74</c:v>
                </c:pt>
                <c:pt idx="10">
                  <c:v>500.14</c:v>
                </c:pt>
                <c:pt idx="11">
                  <c:v>499.9</c:v>
                </c:pt>
                <c:pt idx="12">
                  <c:v>500.312</c:v>
                </c:pt>
                <c:pt idx="13">
                  <c:v>500.608</c:v>
                </c:pt>
                <c:pt idx="14">
                  <c:v>500.502</c:v>
                </c:pt>
                <c:pt idx="15">
                  <c:v>500.07</c:v>
                </c:pt>
                <c:pt idx="16">
                  <c:v>500.12</c:v>
                </c:pt>
                <c:pt idx="17">
                  <c:v>500.108</c:v>
                </c:pt>
                <c:pt idx="18">
                  <c:v>498.804</c:v>
                </c:pt>
                <c:pt idx="19">
                  <c:v>502.124</c:v>
                </c:pt>
                <c:pt idx="20">
                  <c:v>501.516</c:v>
                </c:pt>
                <c:pt idx="21">
                  <c:v>502.61</c:v>
                </c:pt>
                <c:pt idx="22">
                  <c:v>501.8</c:v>
                </c:pt>
                <c:pt idx="23">
                  <c:v>501.066</c:v>
                </c:pt>
                <c:pt idx="24">
                  <c:v>501.934</c:v>
                </c:pt>
              </c:numCache>
            </c:numRef>
          </c:val>
          <c:smooth val="1"/>
        </c:ser>
        <c:ser>
          <c:idx val="1"/>
          <c:order val="1"/>
          <c:tx>
            <c:strRef>
              <c:f>'E-50 Xbar-R Chart'!E82</c:f>
              <c:strCache>
                <c:ptCount val="1"/>
                <c:pt idx="0">
                  <c:v>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'E-50 Xbar-R Chart'!$B$83:$B$107</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'E-50 Xbar-R Chart'!$E$83:$E$107</c:f>
              <c:numCache>
                <c:formatCode>0.00</c:formatCode>
                <c:ptCount val="25"/>
                <c:pt idx="0">
                  <c:v>500.34912</c:v>
                </c:pt>
                <c:pt idx="1">
                  <c:v>500.34912</c:v>
                </c:pt>
                <c:pt idx="2">
                  <c:v>500.34912</c:v>
                </c:pt>
                <c:pt idx="3">
                  <c:v>500.34912</c:v>
                </c:pt>
                <c:pt idx="4">
                  <c:v>500.34912</c:v>
                </c:pt>
                <c:pt idx="5">
                  <c:v>500.34912</c:v>
                </c:pt>
                <c:pt idx="6">
                  <c:v>500.34912</c:v>
                </c:pt>
                <c:pt idx="7">
                  <c:v>500.34912</c:v>
                </c:pt>
                <c:pt idx="8">
                  <c:v>500.34912</c:v>
                </c:pt>
                <c:pt idx="9">
                  <c:v>500.34912</c:v>
                </c:pt>
                <c:pt idx="10">
                  <c:v>500.34912</c:v>
                </c:pt>
                <c:pt idx="11">
                  <c:v>500.34912</c:v>
                </c:pt>
                <c:pt idx="12">
                  <c:v>500.34912</c:v>
                </c:pt>
                <c:pt idx="13">
                  <c:v>500.34912</c:v>
                </c:pt>
                <c:pt idx="14">
                  <c:v>500.34912</c:v>
                </c:pt>
                <c:pt idx="15">
                  <c:v>500.34912</c:v>
                </c:pt>
                <c:pt idx="16">
                  <c:v>500.34912</c:v>
                </c:pt>
                <c:pt idx="17">
                  <c:v>500.34912</c:v>
                </c:pt>
                <c:pt idx="18">
                  <c:v>500.34912</c:v>
                </c:pt>
                <c:pt idx="19">
                  <c:v>500.34912</c:v>
                </c:pt>
                <c:pt idx="20">
                  <c:v>500.34912</c:v>
                </c:pt>
                <c:pt idx="21">
                  <c:v>500.34912</c:v>
                </c:pt>
                <c:pt idx="22">
                  <c:v>500.34912</c:v>
                </c:pt>
                <c:pt idx="23">
                  <c:v>500.34912</c:v>
                </c:pt>
                <c:pt idx="24">
                  <c:v>500.34912</c:v>
                </c:pt>
              </c:numCache>
            </c:numRef>
          </c:val>
          <c:smooth val="1"/>
        </c:ser>
        <c:ser>
          <c:idx val="2"/>
          <c:order val="2"/>
          <c:tx>
            <c:strRef>
              <c:f>'E-50 Xbar-R Chart'!F82</c:f>
              <c:strCache>
                <c:ptCount val="1"/>
                <c:pt idx="0">
                  <c:v>UCL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'E-50 Xbar-R Chart'!$B$83:$B$107</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'E-50 Xbar-R Chart'!$F$83:$F$107</c:f>
              <c:numCache>
                <c:formatCode>0.00</c:formatCode>
                <c:ptCount val="25"/>
                <c:pt idx="0">
                  <c:v>502.1045848</c:v>
                </c:pt>
                <c:pt idx="1">
                  <c:v>502.1045848</c:v>
                </c:pt>
                <c:pt idx="2">
                  <c:v>502.1045848</c:v>
                </c:pt>
                <c:pt idx="3">
                  <c:v>502.1045848</c:v>
                </c:pt>
                <c:pt idx="4">
                  <c:v>502.1045848</c:v>
                </c:pt>
                <c:pt idx="5">
                  <c:v>502.1045848</c:v>
                </c:pt>
                <c:pt idx="6">
                  <c:v>502.1045848</c:v>
                </c:pt>
                <c:pt idx="7">
                  <c:v>502.1045848</c:v>
                </c:pt>
                <c:pt idx="8">
                  <c:v>502.1045848</c:v>
                </c:pt>
                <c:pt idx="9">
                  <c:v>502.1045848</c:v>
                </c:pt>
                <c:pt idx="10">
                  <c:v>502.1045848</c:v>
                </c:pt>
                <c:pt idx="11">
                  <c:v>502.1045848</c:v>
                </c:pt>
                <c:pt idx="12">
                  <c:v>502.1045848</c:v>
                </c:pt>
                <c:pt idx="13">
                  <c:v>502.1045848</c:v>
                </c:pt>
                <c:pt idx="14">
                  <c:v>502.1045848</c:v>
                </c:pt>
                <c:pt idx="15">
                  <c:v>502.1045848</c:v>
                </c:pt>
                <c:pt idx="16">
                  <c:v>502.1045848</c:v>
                </c:pt>
                <c:pt idx="17">
                  <c:v>502.1045848</c:v>
                </c:pt>
                <c:pt idx="18">
                  <c:v>502.1045848</c:v>
                </c:pt>
                <c:pt idx="19">
                  <c:v>502.1045848</c:v>
                </c:pt>
                <c:pt idx="20">
                  <c:v>502.1045848</c:v>
                </c:pt>
                <c:pt idx="21">
                  <c:v>502.1045848</c:v>
                </c:pt>
                <c:pt idx="22">
                  <c:v>502.1045848</c:v>
                </c:pt>
                <c:pt idx="23">
                  <c:v>502.1045848</c:v>
                </c:pt>
                <c:pt idx="24">
                  <c:v>502.1045848</c:v>
                </c:pt>
              </c:numCache>
            </c:numRef>
          </c:val>
          <c:smooth val="1"/>
        </c:ser>
        <c:ser>
          <c:idx val="3"/>
          <c:order val="3"/>
          <c:tx>
            <c:strRef>
              <c:f>'E-50 Xbar-R Chart'!G82</c:f>
              <c:strCache>
                <c:ptCount val="1"/>
                <c:pt idx="0">
                  <c:v>LCL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'E-50 Xbar-R Chart'!$B$83:$B$107</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'E-50 Xbar-R Chart'!$G$83:$G$107</c:f>
              <c:numCache>
                <c:formatCode>0.00</c:formatCode>
                <c:ptCount val="25"/>
                <c:pt idx="0">
                  <c:v>498.5936552</c:v>
                </c:pt>
                <c:pt idx="1">
                  <c:v>498.5936552</c:v>
                </c:pt>
                <c:pt idx="2">
                  <c:v>498.5936552</c:v>
                </c:pt>
                <c:pt idx="3">
                  <c:v>498.5936552</c:v>
                </c:pt>
                <c:pt idx="4">
                  <c:v>498.5936552</c:v>
                </c:pt>
                <c:pt idx="5">
                  <c:v>498.5936552</c:v>
                </c:pt>
                <c:pt idx="6">
                  <c:v>498.5936552</c:v>
                </c:pt>
                <c:pt idx="7">
                  <c:v>498.5936552</c:v>
                </c:pt>
                <c:pt idx="8">
                  <c:v>498.5936552</c:v>
                </c:pt>
                <c:pt idx="9">
                  <c:v>498.5936552</c:v>
                </c:pt>
                <c:pt idx="10">
                  <c:v>498.5936552</c:v>
                </c:pt>
                <c:pt idx="11">
                  <c:v>498.5936552</c:v>
                </c:pt>
                <c:pt idx="12">
                  <c:v>498.5936552</c:v>
                </c:pt>
                <c:pt idx="13">
                  <c:v>498.5936552</c:v>
                </c:pt>
                <c:pt idx="14">
                  <c:v>498.5936552</c:v>
                </c:pt>
                <c:pt idx="15">
                  <c:v>498.5936552</c:v>
                </c:pt>
                <c:pt idx="16">
                  <c:v>498.5936552</c:v>
                </c:pt>
                <c:pt idx="17">
                  <c:v>498.5936552</c:v>
                </c:pt>
                <c:pt idx="18">
                  <c:v>498.5936552</c:v>
                </c:pt>
                <c:pt idx="19">
                  <c:v>498.5936552</c:v>
                </c:pt>
                <c:pt idx="20">
                  <c:v>498.5936552</c:v>
                </c:pt>
                <c:pt idx="21">
                  <c:v>498.5936552</c:v>
                </c:pt>
                <c:pt idx="22">
                  <c:v>498.5936552</c:v>
                </c:pt>
                <c:pt idx="23">
                  <c:v>498.5936552</c:v>
                </c:pt>
                <c:pt idx="24">
                  <c:v>498.5936552</c:v>
                </c:pt>
              </c:numCache>
            </c:numRef>
          </c:val>
          <c:smooth val="1"/>
        </c:ser>
        <c:hiLowLines>
          <c:spPr>
            <a:ln w="0">
              <a:noFill/>
            </a:ln>
          </c:spPr>
        </c:hiLowLines>
        <c:marker val="0"/>
        <c:axId val="78416662"/>
        <c:axId val="36569267"/>
      </c:lineChart>
      <c:catAx>
        <c:axId val="78416662"/>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Subgroup</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6569267"/>
        <c:crosses val="autoZero"/>
        <c:auto val="1"/>
        <c:lblAlgn val="ctr"/>
        <c:lblOffset val="100"/>
        <c:noMultiLvlLbl val="0"/>
      </c:catAx>
      <c:valAx>
        <c:axId val="3656926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Xbar (ml)</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841666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Xbar chart - cap torque (Nm)</a:t>
            </a:r>
          </a:p>
        </c:rich>
      </c:tx>
      <c:overlay val="0"/>
      <c:spPr>
        <a:noFill/>
        <a:ln w="0">
          <a:noFill/>
        </a:ln>
      </c:spPr>
    </c:title>
    <c:autoTitleDeleted val="0"/>
    <c:plotArea>
      <c:lineChart>
        <c:grouping val="standard"/>
        <c:varyColors val="0"/>
        <c:ser>
          <c:idx val="0"/>
          <c:order val="0"/>
          <c:tx>
            <c:strRef>
              <c:f>'E-51 Xbar-S Chart'!C78</c:f>
              <c:strCache>
                <c:ptCount val="1"/>
                <c:pt idx="0">
                  <c:v>Xbar</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'E-51 Xbar-S Chart'!$B$79:$B$103</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'E-51 Xbar-S Chart'!$C$79:$C$103</c:f>
              <c:numCache>
                <c:formatCode>0.000</c:formatCode>
                <c:ptCount val="25"/>
                <c:pt idx="0">
                  <c:v>1.4242</c:v>
                </c:pt>
                <c:pt idx="1">
                  <c:v>1.4021</c:v>
                </c:pt>
                <c:pt idx="2">
                  <c:v>1.4117</c:v>
                </c:pt>
                <c:pt idx="3">
                  <c:v>1.3904</c:v>
                </c:pt>
                <c:pt idx="4">
                  <c:v>1.4093</c:v>
                </c:pt>
                <c:pt idx="5">
                  <c:v>1.3954</c:v>
                </c:pt>
                <c:pt idx="6">
                  <c:v>1.3947</c:v>
                </c:pt>
                <c:pt idx="7">
                  <c:v>1.4064</c:v>
                </c:pt>
                <c:pt idx="8">
                  <c:v>1.4018</c:v>
                </c:pt>
                <c:pt idx="9">
                  <c:v>1.3849</c:v>
                </c:pt>
                <c:pt idx="10">
                  <c:v>1.3923</c:v>
                </c:pt>
                <c:pt idx="11">
                  <c:v>1.4016</c:v>
                </c:pt>
                <c:pt idx="12">
                  <c:v>1.3964</c:v>
                </c:pt>
                <c:pt idx="13">
                  <c:v>1.412</c:v>
                </c:pt>
                <c:pt idx="14">
                  <c:v>1.4142</c:v>
                </c:pt>
                <c:pt idx="15">
                  <c:v>1.3966</c:v>
                </c:pt>
                <c:pt idx="16">
                  <c:v>1.3996</c:v>
                </c:pt>
                <c:pt idx="17">
                  <c:v>1.3989</c:v>
                </c:pt>
                <c:pt idx="18">
                  <c:v>1.405</c:v>
                </c:pt>
                <c:pt idx="19">
                  <c:v>1.3967</c:v>
                </c:pt>
                <c:pt idx="20">
                  <c:v>1.4017</c:v>
                </c:pt>
                <c:pt idx="21">
                  <c:v>1.4597</c:v>
                </c:pt>
                <c:pt idx="22">
                  <c:v>1.4694</c:v>
                </c:pt>
                <c:pt idx="23">
                  <c:v>1.4522</c:v>
                </c:pt>
                <c:pt idx="24">
                  <c:v>1.4479</c:v>
                </c:pt>
              </c:numCache>
            </c:numRef>
          </c:val>
          <c:smooth val="1"/>
        </c:ser>
        <c:ser>
          <c:idx val="1"/>
          <c:order val="1"/>
          <c:tx>
            <c:strRef>
              <c:f>'E-51 Xbar-S Chart'!E78</c:f>
              <c:strCache>
                <c:ptCount val="1"/>
                <c:pt idx="0">
                  <c:v>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'E-51 Xbar-S Chart'!$B$79:$B$103</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'E-51 Xbar-S Chart'!$E$79:$E$103</c:f>
              <c:numCache>
                <c:formatCode>0.000</c:formatCode>
                <c:ptCount val="25"/>
                <c:pt idx="0">
                  <c:v>1.410604</c:v>
                </c:pt>
                <c:pt idx="1">
                  <c:v>1.410604</c:v>
                </c:pt>
                <c:pt idx="2">
                  <c:v>1.410604</c:v>
                </c:pt>
                <c:pt idx="3">
                  <c:v>1.410604</c:v>
                </c:pt>
                <c:pt idx="4">
                  <c:v>1.410604</c:v>
                </c:pt>
                <c:pt idx="5">
                  <c:v>1.410604</c:v>
                </c:pt>
                <c:pt idx="6">
                  <c:v>1.410604</c:v>
                </c:pt>
                <c:pt idx="7">
                  <c:v>1.410604</c:v>
                </c:pt>
                <c:pt idx="8">
                  <c:v>1.410604</c:v>
                </c:pt>
                <c:pt idx="9">
                  <c:v>1.410604</c:v>
                </c:pt>
                <c:pt idx="10">
                  <c:v>1.410604</c:v>
                </c:pt>
                <c:pt idx="11">
                  <c:v>1.410604</c:v>
                </c:pt>
                <c:pt idx="12">
                  <c:v>1.410604</c:v>
                </c:pt>
                <c:pt idx="13">
                  <c:v>1.410604</c:v>
                </c:pt>
                <c:pt idx="14">
                  <c:v>1.410604</c:v>
                </c:pt>
                <c:pt idx="15">
                  <c:v>1.410604</c:v>
                </c:pt>
                <c:pt idx="16">
                  <c:v>1.410604</c:v>
                </c:pt>
                <c:pt idx="17">
                  <c:v>1.410604</c:v>
                </c:pt>
                <c:pt idx="18">
                  <c:v>1.410604</c:v>
                </c:pt>
                <c:pt idx="19">
                  <c:v>1.410604</c:v>
                </c:pt>
                <c:pt idx="20">
                  <c:v>1.410604</c:v>
                </c:pt>
                <c:pt idx="21">
                  <c:v>1.410604</c:v>
                </c:pt>
                <c:pt idx="22">
                  <c:v>1.410604</c:v>
                </c:pt>
                <c:pt idx="23">
                  <c:v>1.410604</c:v>
                </c:pt>
                <c:pt idx="24">
                  <c:v>1.410604</c:v>
                </c:pt>
              </c:numCache>
            </c:numRef>
          </c:val>
          <c:smooth val="1"/>
        </c:ser>
        <c:ser>
          <c:idx val="2"/>
          <c:order val="2"/>
          <c:tx>
            <c:strRef>
              <c:f>'E-51 Xbar-S Chart'!F78</c:f>
              <c:strCache>
                <c:ptCount val="1"/>
                <c:pt idx="0">
                  <c:v>UCL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'E-51 Xbar-S Chart'!$B$79:$B$103</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'E-51 Xbar-S Chart'!$F$79:$F$103</c:f>
              <c:numCache>
                <c:formatCode>0.000</c:formatCode>
                <c:ptCount val="25"/>
                <c:pt idx="0">
                  <c:v>1.44480963648415</c:v>
                </c:pt>
                <c:pt idx="1">
                  <c:v>1.44480963648415</c:v>
                </c:pt>
                <c:pt idx="2">
                  <c:v>1.44480963648415</c:v>
                </c:pt>
                <c:pt idx="3">
                  <c:v>1.44480963648415</c:v>
                </c:pt>
                <c:pt idx="4">
                  <c:v>1.44480963648415</c:v>
                </c:pt>
                <c:pt idx="5">
                  <c:v>1.44480963648415</c:v>
                </c:pt>
                <c:pt idx="6">
                  <c:v>1.44480963648415</c:v>
                </c:pt>
                <c:pt idx="7">
                  <c:v>1.44480963648415</c:v>
                </c:pt>
                <c:pt idx="8">
                  <c:v>1.44480963648415</c:v>
                </c:pt>
                <c:pt idx="9">
                  <c:v>1.44480963648415</c:v>
                </c:pt>
                <c:pt idx="10">
                  <c:v>1.44480963648415</c:v>
                </c:pt>
                <c:pt idx="11">
                  <c:v>1.44480963648415</c:v>
                </c:pt>
                <c:pt idx="12">
                  <c:v>1.44480963648415</c:v>
                </c:pt>
                <c:pt idx="13">
                  <c:v>1.44480963648415</c:v>
                </c:pt>
                <c:pt idx="14">
                  <c:v>1.44480963648415</c:v>
                </c:pt>
                <c:pt idx="15">
                  <c:v>1.44480963648415</c:v>
                </c:pt>
                <c:pt idx="16">
                  <c:v>1.44480963648415</c:v>
                </c:pt>
                <c:pt idx="17">
                  <c:v>1.44480963648415</c:v>
                </c:pt>
                <c:pt idx="18">
                  <c:v>1.44480963648415</c:v>
                </c:pt>
                <c:pt idx="19">
                  <c:v>1.44480963648415</c:v>
                </c:pt>
                <c:pt idx="20">
                  <c:v>1.44480963648415</c:v>
                </c:pt>
                <c:pt idx="21">
                  <c:v>1.44480963648415</c:v>
                </c:pt>
                <c:pt idx="22">
                  <c:v>1.44480963648415</c:v>
                </c:pt>
                <c:pt idx="23">
                  <c:v>1.44480963648415</c:v>
                </c:pt>
                <c:pt idx="24">
                  <c:v>1.44480963648415</c:v>
                </c:pt>
              </c:numCache>
            </c:numRef>
          </c:val>
          <c:smooth val="1"/>
        </c:ser>
        <c:ser>
          <c:idx val="3"/>
          <c:order val="3"/>
          <c:tx>
            <c:strRef>
              <c:f>'E-51 Xbar-S Chart'!G78</c:f>
              <c:strCache>
                <c:ptCount val="1"/>
                <c:pt idx="0">
                  <c:v>LCL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'E-51 Xbar-S Chart'!$B$79:$B$103</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'E-51 Xbar-S Chart'!$G$79:$G$103</c:f>
              <c:numCache>
                <c:formatCode>0.000</c:formatCode>
                <c:ptCount val="25"/>
                <c:pt idx="0">
                  <c:v>1.37639836351585</c:v>
                </c:pt>
                <c:pt idx="1">
                  <c:v>1.37639836351585</c:v>
                </c:pt>
                <c:pt idx="2">
                  <c:v>1.37639836351585</c:v>
                </c:pt>
                <c:pt idx="3">
                  <c:v>1.37639836351585</c:v>
                </c:pt>
                <c:pt idx="4">
                  <c:v>1.37639836351585</c:v>
                </c:pt>
                <c:pt idx="5">
                  <c:v>1.37639836351585</c:v>
                </c:pt>
                <c:pt idx="6">
                  <c:v>1.37639836351585</c:v>
                </c:pt>
                <c:pt idx="7">
                  <c:v>1.37639836351585</c:v>
                </c:pt>
                <c:pt idx="8">
                  <c:v>1.37639836351585</c:v>
                </c:pt>
                <c:pt idx="9">
                  <c:v>1.37639836351585</c:v>
                </c:pt>
                <c:pt idx="10">
                  <c:v>1.37639836351585</c:v>
                </c:pt>
                <c:pt idx="11">
                  <c:v>1.37639836351585</c:v>
                </c:pt>
                <c:pt idx="12">
                  <c:v>1.37639836351585</c:v>
                </c:pt>
                <c:pt idx="13">
                  <c:v>1.37639836351585</c:v>
                </c:pt>
                <c:pt idx="14">
                  <c:v>1.37639836351585</c:v>
                </c:pt>
                <c:pt idx="15">
                  <c:v>1.37639836351585</c:v>
                </c:pt>
                <c:pt idx="16">
                  <c:v>1.37639836351585</c:v>
                </c:pt>
                <c:pt idx="17">
                  <c:v>1.37639836351585</c:v>
                </c:pt>
                <c:pt idx="18">
                  <c:v>1.37639836351585</c:v>
                </c:pt>
                <c:pt idx="19">
                  <c:v>1.37639836351585</c:v>
                </c:pt>
                <c:pt idx="20">
                  <c:v>1.37639836351585</c:v>
                </c:pt>
                <c:pt idx="21">
                  <c:v>1.37639836351585</c:v>
                </c:pt>
                <c:pt idx="22">
                  <c:v>1.37639836351585</c:v>
                </c:pt>
                <c:pt idx="23">
                  <c:v>1.37639836351585</c:v>
                </c:pt>
                <c:pt idx="24">
                  <c:v>1.37639836351585</c:v>
                </c:pt>
              </c:numCache>
            </c:numRef>
          </c:val>
          <c:smooth val="1"/>
        </c:ser>
        <c:hiLowLines>
          <c:spPr>
            <a:ln w="0">
              <a:noFill/>
            </a:ln>
          </c:spPr>
        </c:hiLowLines>
        <c:marker val="0"/>
        <c:axId val="46555726"/>
        <c:axId val="41537502"/>
      </c:lineChart>
      <c:catAx>
        <c:axId val="46555726"/>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Subgroup</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1537502"/>
        <c:crosses val="autoZero"/>
        <c:auto val="1"/>
        <c:lblAlgn val="ctr"/>
        <c:lblOffset val="100"/>
        <c:noMultiLvlLbl val="0"/>
      </c:catAx>
      <c:valAx>
        <c:axId val="4153750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Xbar (Nm)</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655572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 chart - proportion defective per lot</a:t>
            </a:r>
          </a:p>
        </c:rich>
      </c:tx>
      <c:overlay val="0"/>
      <c:spPr>
        <a:noFill/>
        <a:ln w="0">
          <a:noFill/>
        </a:ln>
      </c:spPr>
    </c:title>
    <c:autoTitleDeleted val="0"/>
    <c:plotArea>
      <c:lineChart>
        <c:grouping val="standard"/>
        <c:varyColors val="0"/>
        <c:ser>
          <c:idx val="0"/>
          <c:order val="0"/>
          <c:tx>
            <c:strRef>
              <c:f>'E-52 p and np Charts'!C76</c:f>
              <c:strCache>
                <c:ptCount val="1"/>
                <c:pt idx="0">
                  <c:v>p</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'E-52 p and np Charts'!$B$77:$B$100</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'E-52 p and np Charts'!$C$77:$C$100</c:f>
              <c:numCache>
                <c:formatCode>0.000</c:formatCode>
                <c:ptCount val="24"/>
                <c:pt idx="0">
                  <c:v>0.0233333333333333</c:v>
                </c:pt>
                <c:pt idx="1">
                  <c:v>0.02</c:v>
                </c:pt>
                <c:pt idx="2">
                  <c:v>0.00769230769230769</c:v>
                </c:pt>
                <c:pt idx="3">
                  <c:v>0.0235294117647059</c:v>
                </c:pt>
                <c:pt idx="4">
                  <c:v>0.0236842105263158</c:v>
                </c:pt>
                <c:pt idx="5">
                  <c:v>0.0111111111111111</c:v>
                </c:pt>
                <c:pt idx="6">
                  <c:v>0.0227272727272727</c:v>
                </c:pt>
                <c:pt idx="7">
                  <c:v>0.0181818181818182</c:v>
                </c:pt>
                <c:pt idx="8">
                  <c:v>0.02</c:v>
                </c:pt>
                <c:pt idx="9">
                  <c:v>0.02</c:v>
                </c:pt>
                <c:pt idx="10">
                  <c:v>0.0133333333333333</c:v>
                </c:pt>
                <c:pt idx="11">
                  <c:v>0.0178571428571429</c:v>
                </c:pt>
                <c:pt idx="12">
                  <c:v>0.0272727272727273</c:v>
                </c:pt>
                <c:pt idx="13">
                  <c:v>0.0107142857142857</c:v>
                </c:pt>
                <c:pt idx="14">
                  <c:v>0.0131578947368421</c:v>
                </c:pt>
                <c:pt idx="15">
                  <c:v>0.0470588235294118</c:v>
                </c:pt>
                <c:pt idx="16">
                  <c:v>0.0147058823529412</c:v>
                </c:pt>
                <c:pt idx="17">
                  <c:v>0.0205882352941176</c:v>
                </c:pt>
                <c:pt idx="18">
                  <c:v>0.02</c:v>
                </c:pt>
                <c:pt idx="19">
                  <c:v>0.0184210526315789</c:v>
                </c:pt>
                <c:pt idx="20">
                  <c:v>0.0157894736842105</c:v>
                </c:pt>
                <c:pt idx="21">
                  <c:v>0.0175</c:v>
                </c:pt>
                <c:pt idx="22">
                  <c:v>0.0155555555555556</c:v>
                </c:pt>
                <c:pt idx="23">
                  <c:v>0.0178571428571429</c:v>
                </c:pt>
              </c:numCache>
            </c:numRef>
          </c:val>
          <c:smooth val="1"/>
        </c:ser>
        <c:ser>
          <c:idx val="1"/>
          <c:order val="1"/>
          <c:tx>
            <c:strRef>
              <c:f>'E-52 p and np Charts'!D76</c:f>
              <c:strCache>
                <c:ptCount val="1"/>
                <c:pt idx="0">
                  <c:v>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'E-52 p and np Charts'!$B$77:$B$100</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'E-52 p and np Charts'!$D$77:$D$100</c:f>
              <c:numCache>
                <c:formatCode>0.000</c:formatCode>
                <c:ptCount val="24"/>
                <c:pt idx="0">
                  <c:v>0.0190358467243511</c:v>
                </c:pt>
                <c:pt idx="1">
                  <c:v>0.0190358467243511</c:v>
                </c:pt>
                <c:pt idx="2">
                  <c:v>0.0190358467243511</c:v>
                </c:pt>
                <c:pt idx="3">
                  <c:v>0.0190358467243511</c:v>
                </c:pt>
                <c:pt idx="4">
                  <c:v>0.0190358467243511</c:v>
                </c:pt>
                <c:pt idx="5">
                  <c:v>0.0190358467243511</c:v>
                </c:pt>
                <c:pt idx="6">
                  <c:v>0.0190358467243511</c:v>
                </c:pt>
                <c:pt idx="7">
                  <c:v>0.0190358467243511</c:v>
                </c:pt>
                <c:pt idx="8">
                  <c:v>0.0190358467243511</c:v>
                </c:pt>
                <c:pt idx="9">
                  <c:v>0.0190358467243511</c:v>
                </c:pt>
                <c:pt idx="10">
                  <c:v>0.0190358467243511</c:v>
                </c:pt>
                <c:pt idx="11">
                  <c:v>0.0190358467243511</c:v>
                </c:pt>
                <c:pt idx="12">
                  <c:v>0.0190358467243511</c:v>
                </c:pt>
                <c:pt idx="13">
                  <c:v>0.0190358467243511</c:v>
                </c:pt>
                <c:pt idx="14">
                  <c:v>0.0190358467243511</c:v>
                </c:pt>
                <c:pt idx="15">
                  <c:v>0.0190358467243511</c:v>
                </c:pt>
                <c:pt idx="16">
                  <c:v>0.0190358467243511</c:v>
                </c:pt>
                <c:pt idx="17">
                  <c:v>0.0190358467243511</c:v>
                </c:pt>
                <c:pt idx="18">
                  <c:v>0.0190358467243511</c:v>
                </c:pt>
                <c:pt idx="19">
                  <c:v>0.0190358467243511</c:v>
                </c:pt>
                <c:pt idx="20">
                  <c:v>0.0190358467243511</c:v>
                </c:pt>
                <c:pt idx="21">
                  <c:v>0.0190358467243511</c:v>
                </c:pt>
                <c:pt idx="22">
                  <c:v>0.0190358467243511</c:v>
                </c:pt>
                <c:pt idx="23">
                  <c:v>0.0190358467243511</c:v>
                </c:pt>
              </c:numCache>
            </c:numRef>
          </c:val>
          <c:smooth val="1"/>
        </c:ser>
        <c:ser>
          <c:idx val="2"/>
          <c:order val="2"/>
          <c:tx>
            <c:strRef>
              <c:f>'E-52 p and np Charts'!E76</c:f>
              <c:strCache>
                <c:ptCount val="1"/>
                <c:pt idx="0">
                  <c:v>UCL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'E-52 p and np Charts'!$B$77:$B$100</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'E-52 p and np Charts'!$E$77:$E$100</c:f>
              <c:numCache>
                <c:formatCode>0.000</c:formatCode>
                <c:ptCount val="24"/>
                <c:pt idx="0">
                  <c:v>0.0427044862694356</c:v>
                </c:pt>
                <c:pt idx="1">
                  <c:v>0.0383612099881234</c:v>
                </c:pt>
                <c:pt idx="2">
                  <c:v>0.0444600439641205</c:v>
                </c:pt>
                <c:pt idx="3">
                  <c:v>0.0412686622544568</c:v>
                </c:pt>
                <c:pt idx="4">
                  <c:v>0.040065984833274</c:v>
                </c:pt>
                <c:pt idx="5">
                  <c:v>0.0383612099881234</c:v>
                </c:pt>
                <c:pt idx="6">
                  <c:v>0.0466748630677331</c:v>
                </c:pt>
                <c:pt idx="7">
                  <c:v>0.0466748630677331</c:v>
                </c:pt>
                <c:pt idx="8">
                  <c:v>0.0395334898434113</c:v>
                </c:pt>
                <c:pt idx="9">
                  <c:v>0.0395334898434113</c:v>
                </c:pt>
                <c:pt idx="10">
                  <c:v>0.0427044862694356</c:v>
                </c:pt>
                <c:pt idx="11">
                  <c:v>0.0435352162041781</c:v>
                </c:pt>
                <c:pt idx="12">
                  <c:v>0.0466748630677331</c:v>
                </c:pt>
                <c:pt idx="13">
                  <c:v>0.0435352162041781</c:v>
                </c:pt>
                <c:pt idx="14">
                  <c:v>0.040065984833274</c:v>
                </c:pt>
                <c:pt idx="15">
                  <c:v>0.0412686622544568</c:v>
                </c:pt>
                <c:pt idx="16">
                  <c:v>0.0412686622544568</c:v>
                </c:pt>
                <c:pt idx="17">
                  <c:v>0.0412686622544568</c:v>
                </c:pt>
                <c:pt idx="18">
                  <c:v>0.0427044862694356</c:v>
                </c:pt>
                <c:pt idx="19">
                  <c:v>0.040065984833274</c:v>
                </c:pt>
                <c:pt idx="20">
                  <c:v>0.040065984833274</c:v>
                </c:pt>
                <c:pt idx="21">
                  <c:v>0.0395334898434113</c:v>
                </c:pt>
                <c:pt idx="22">
                  <c:v>0.0383612099881234</c:v>
                </c:pt>
                <c:pt idx="23">
                  <c:v>0.0435352162041781</c:v>
                </c:pt>
              </c:numCache>
            </c:numRef>
          </c:val>
          <c:smooth val="1"/>
        </c:ser>
        <c:ser>
          <c:idx val="3"/>
          <c:order val="3"/>
          <c:tx>
            <c:strRef>
              <c:f>'E-52 p and np Charts'!F76</c:f>
              <c:strCache>
                <c:ptCount val="1"/>
                <c:pt idx="0">
                  <c:v>LCL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'E-52 p and np Charts'!$B$77:$B$100</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'E-52 p and np Charts'!$F$77:$F$100</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ser>
        <c:hiLowLines>
          <c:spPr>
            <a:ln w="0">
              <a:noFill/>
            </a:ln>
          </c:spPr>
        </c:hiLowLines>
        <c:marker val="0"/>
        <c:axId val="17491885"/>
        <c:axId val="36886371"/>
      </c:lineChart>
      <c:catAx>
        <c:axId val="1749188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Lot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6886371"/>
        <c:crosses val="autoZero"/>
        <c:auto val="1"/>
        <c:lblAlgn val="ctr"/>
        <c:lblOffset val="100"/>
        <c:noMultiLvlLbl val="0"/>
      </c:catAx>
      <c:valAx>
        <c:axId val="3688637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Proportion defective</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749188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u chart - label defects per bottle inspected</a:t>
            </a:r>
          </a:p>
        </c:rich>
      </c:tx>
      <c:overlay val="0"/>
      <c:spPr>
        <a:noFill/>
        <a:ln w="0">
          <a:noFill/>
        </a:ln>
      </c:spPr>
    </c:title>
    <c:autoTitleDeleted val="0"/>
    <c:plotArea>
      <c:lineChart>
        <c:grouping val="standard"/>
        <c:varyColors val="0"/>
        <c:ser>
          <c:idx val="0"/>
          <c:order val="0"/>
          <c:tx>
            <c:strRef>
              <c:f>'E-53 c and u Charts'!C77</c:f>
              <c:strCache>
                <c:ptCount val="1"/>
                <c:pt idx="0">
                  <c:v>u</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'E-53 c and u Charts'!$B$78:$B$101</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'E-53 c and u Charts'!$C$78:$C$101</c:f>
              <c:numCache>
                <c:formatCode>0.00000</c:formatCode>
                <c:ptCount val="24"/>
                <c:pt idx="0">
                  <c:v>0.00947368421052632</c:v>
                </c:pt>
                <c:pt idx="1">
                  <c:v>0.00631578947368421</c:v>
                </c:pt>
                <c:pt idx="2">
                  <c:v>0.00380952380952381</c:v>
                </c:pt>
                <c:pt idx="3">
                  <c:v>0.008</c:v>
                </c:pt>
                <c:pt idx="4">
                  <c:v>0.00761904761904762</c:v>
                </c:pt>
                <c:pt idx="5">
                  <c:v>0.00823529411764706</c:v>
                </c:pt>
                <c:pt idx="6">
                  <c:v>0.0111111111111111</c:v>
                </c:pt>
                <c:pt idx="7">
                  <c:v>0.00777777777777778</c:v>
                </c:pt>
                <c:pt idx="8">
                  <c:v>0.009</c:v>
                </c:pt>
                <c:pt idx="9">
                  <c:v>0.00705882352941177</c:v>
                </c:pt>
                <c:pt idx="10">
                  <c:v>0.03</c:v>
                </c:pt>
                <c:pt idx="11">
                  <c:v>0.01</c:v>
                </c:pt>
                <c:pt idx="12">
                  <c:v>0.00444444444444444</c:v>
                </c:pt>
                <c:pt idx="13">
                  <c:v>0.012</c:v>
                </c:pt>
                <c:pt idx="14">
                  <c:v>0.00315789473684211</c:v>
                </c:pt>
                <c:pt idx="15">
                  <c:v>0.00117647058823529</c:v>
                </c:pt>
                <c:pt idx="16">
                  <c:v>0.008</c:v>
                </c:pt>
                <c:pt idx="17">
                  <c:v>0.00952380952380953</c:v>
                </c:pt>
                <c:pt idx="18">
                  <c:v>0.00526315789473684</c:v>
                </c:pt>
                <c:pt idx="19">
                  <c:v>0.01</c:v>
                </c:pt>
                <c:pt idx="20">
                  <c:v>0.00857142857142857</c:v>
                </c:pt>
                <c:pt idx="21">
                  <c:v>0.00363636363636364</c:v>
                </c:pt>
                <c:pt idx="22">
                  <c:v>0.00857142857142857</c:v>
                </c:pt>
                <c:pt idx="23">
                  <c:v>0.006</c:v>
                </c:pt>
              </c:numCache>
            </c:numRef>
          </c:val>
          <c:smooth val="1"/>
        </c:ser>
        <c:ser>
          <c:idx val="1"/>
          <c:order val="1"/>
          <c:tx>
            <c:strRef>
              <c:f>'E-53 c and u Charts'!D77</c:f>
              <c:strCache>
                <c:ptCount val="1"/>
                <c:pt idx="0">
                  <c:v>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'E-53 c and u Charts'!$B$78:$B$101</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'E-53 c and u Charts'!$D$78:$D$101</c:f>
              <c:numCache>
                <c:formatCode>0.00000</c:formatCode>
                <c:ptCount val="24"/>
                <c:pt idx="0">
                  <c:v>0.00831896551724138</c:v>
                </c:pt>
                <c:pt idx="1">
                  <c:v>0.00831896551724138</c:v>
                </c:pt>
                <c:pt idx="2">
                  <c:v>0.00831896551724138</c:v>
                </c:pt>
                <c:pt idx="3">
                  <c:v>0.00831896551724138</c:v>
                </c:pt>
                <c:pt idx="4">
                  <c:v>0.00831896551724138</c:v>
                </c:pt>
                <c:pt idx="5">
                  <c:v>0.00831896551724138</c:v>
                </c:pt>
                <c:pt idx="6">
                  <c:v>0.00831896551724138</c:v>
                </c:pt>
                <c:pt idx="7">
                  <c:v>0.00831896551724138</c:v>
                </c:pt>
                <c:pt idx="8">
                  <c:v>0.00831896551724138</c:v>
                </c:pt>
                <c:pt idx="9">
                  <c:v>0.00831896551724138</c:v>
                </c:pt>
                <c:pt idx="10">
                  <c:v>0.00831896551724138</c:v>
                </c:pt>
                <c:pt idx="11">
                  <c:v>0.00831896551724138</c:v>
                </c:pt>
                <c:pt idx="12">
                  <c:v>0.00831896551724138</c:v>
                </c:pt>
                <c:pt idx="13">
                  <c:v>0.00831896551724138</c:v>
                </c:pt>
                <c:pt idx="14">
                  <c:v>0.00831896551724138</c:v>
                </c:pt>
                <c:pt idx="15">
                  <c:v>0.00831896551724138</c:v>
                </c:pt>
                <c:pt idx="16">
                  <c:v>0.00831896551724138</c:v>
                </c:pt>
                <c:pt idx="17">
                  <c:v>0.00831896551724138</c:v>
                </c:pt>
                <c:pt idx="18">
                  <c:v>0.00831896551724138</c:v>
                </c:pt>
                <c:pt idx="19">
                  <c:v>0.00831896551724138</c:v>
                </c:pt>
                <c:pt idx="20">
                  <c:v>0.00831896551724138</c:v>
                </c:pt>
                <c:pt idx="21">
                  <c:v>0.00831896551724138</c:v>
                </c:pt>
                <c:pt idx="22">
                  <c:v>0.00831896551724138</c:v>
                </c:pt>
                <c:pt idx="23">
                  <c:v>0.00831896551724138</c:v>
                </c:pt>
              </c:numCache>
            </c:numRef>
          </c:val>
          <c:smooth val="1"/>
        </c:ser>
        <c:ser>
          <c:idx val="2"/>
          <c:order val="2"/>
          <c:tx>
            <c:strRef>
              <c:f>'E-53 c and u Charts'!E77</c:f>
              <c:strCache>
                <c:ptCount val="1"/>
                <c:pt idx="0">
                  <c:v>UCL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'E-53 c and u Charts'!$B$78:$B$101</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'E-53 c and u Charts'!$E$78:$E$101</c:f>
              <c:numCache>
                <c:formatCode>0.00000</c:formatCode>
                <c:ptCount val="24"/>
                <c:pt idx="0">
                  <c:v>0.0171965356954265</c:v>
                </c:pt>
                <c:pt idx="1">
                  <c:v>0.0171965356954265</c:v>
                </c:pt>
                <c:pt idx="2">
                  <c:v>0.0167632191088392</c:v>
                </c:pt>
                <c:pt idx="3">
                  <c:v>0.0169717505980794</c:v>
                </c:pt>
                <c:pt idx="4">
                  <c:v>0.0167632191088392</c:v>
                </c:pt>
                <c:pt idx="5">
                  <c:v>0.0177042286622045</c:v>
                </c:pt>
                <c:pt idx="6">
                  <c:v>0.0174398018370321</c:v>
                </c:pt>
                <c:pt idx="7">
                  <c:v>0.0174398018370321</c:v>
                </c:pt>
                <c:pt idx="8">
                  <c:v>0.0169717505980794</c:v>
                </c:pt>
                <c:pt idx="9">
                  <c:v>0.0177042286622045</c:v>
                </c:pt>
                <c:pt idx="10">
                  <c:v>0.0169717505980794</c:v>
                </c:pt>
                <c:pt idx="11">
                  <c:v>0.0174398018370321</c:v>
                </c:pt>
                <c:pt idx="12">
                  <c:v>0.0174398018370321</c:v>
                </c:pt>
                <c:pt idx="13">
                  <c:v>0.0169717505980794</c:v>
                </c:pt>
                <c:pt idx="14">
                  <c:v>0.0171965356954265</c:v>
                </c:pt>
                <c:pt idx="15">
                  <c:v>0.0177042286622045</c:v>
                </c:pt>
                <c:pt idx="16">
                  <c:v>0.0169717505980794</c:v>
                </c:pt>
                <c:pt idx="17">
                  <c:v>0.0167632191088392</c:v>
                </c:pt>
                <c:pt idx="18">
                  <c:v>0.0171965356954265</c:v>
                </c:pt>
                <c:pt idx="19">
                  <c:v>0.0174398018370321</c:v>
                </c:pt>
                <c:pt idx="20">
                  <c:v>0.0167632191088392</c:v>
                </c:pt>
                <c:pt idx="21">
                  <c:v>0.0165690723846028</c:v>
                </c:pt>
                <c:pt idx="22">
                  <c:v>0.0167632191088392</c:v>
                </c:pt>
                <c:pt idx="23">
                  <c:v>0.0169717505980794</c:v>
                </c:pt>
              </c:numCache>
            </c:numRef>
          </c:val>
          <c:smooth val="1"/>
        </c:ser>
        <c:ser>
          <c:idx val="3"/>
          <c:order val="3"/>
          <c:tx>
            <c:strRef>
              <c:f>'E-53 c and u Charts'!F77</c:f>
              <c:strCache>
                <c:ptCount val="1"/>
                <c:pt idx="0">
                  <c:v>LCL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'E-53 c and u Charts'!$B$78:$B$101</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'E-53 c and u Charts'!$F$78:$F$101</c:f>
              <c:numCache>
                <c:formatCode>0.00000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6.88586498799621E-005</c:v>
                </c:pt>
                <c:pt idx="22">
                  <c:v>0</c:v>
                </c:pt>
                <c:pt idx="23">
                  <c:v>0</c:v>
                </c:pt>
              </c:numCache>
            </c:numRef>
          </c:val>
          <c:smooth val="1"/>
        </c:ser>
        <c:hiLowLines>
          <c:spPr>
            <a:ln w="0">
              <a:noFill/>
            </a:ln>
          </c:spPr>
        </c:hiLowLines>
        <c:marker val="0"/>
        <c:axId val="2976166"/>
        <c:axId val="11459988"/>
      </c:lineChart>
      <c:catAx>
        <c:axId val="2976166"/>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Pallet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1459988"/>
        <c:crosses val="autoZero"/>
        <c:auto val="1"/>
        <c:lblAlgn val="ctr"/>
        <c:lblOffset val="100"/>
        <c:noMultiLvlLbl val="0"/>
      </c:catAx>
      <c:valAx>
        <c:axId val="1145998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Defects per unit</a:t>
                </a:r>
              </a:p>
            </c:rich>
          </c:tx>
          <c:overlay val="0"/>
          <c:spPr>
            <a:noFill/>
            <a:ln w="0">
              <a:noFill/>
            </a:ln>
          </c:spPr>
        </c:title>
        <c:numFmt formatCode="0.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9761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Laney p' chart vs plain p-chart UCL - overall visual defect rate</a:t>
            </a:r>
          </a:p>
        </c:rich>
      </c:tx>
      <c:overlay val="0"/>
      <c:spPr>
        <a:noFill/>
        <a:ln w="0">
          <a:noFill/>
        </a:ln>
      </c:spPr>
    </c:title>
    <c:autoTitleDeleted val="0"/>
    <c:plotArea>
      <c:lineChart>
        <c:grouping val="standard"/>
        <c:varyColors val="0"/>
        <c:ser>
          <c:idx val="0"/>
          <c:order val="0"/>
          <c:tx>
            <c:strRef>
              <c:f>'E-54 Laney p and u Charts'!C83</c:f>
              <c:strCache>
                <c:ptCount val="1"/>
                <c:pt idx="0">
                  <c:v>p</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'E-54 Laney p and u Charts'!$B$84:$B$108</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'E-54 Laney p and u Charts'!$C$84:$C$108</c:f>
              <c:numCache>
                <c:formatCode>0.0000</c:formatCode>
                <c:ptCount val="25"/>
                <c:pt idx="0">
                  <c:v>0.0125714285714286</c:v>
                </c:pt>
                <c:pt idx="1">
                  <c:v>0.0131111111111111</c:v>
                </c:pt>
                <c:pt idx="2">
                  <c:v>0.0106</c:v>
                </c:pt>
                <c:pt idx="3">
                  <c:v>0.014</c:v>
                </c:pt>
                <c:pt idx="4">
                  <c:v>0.0136</c:v>
                </c:pt>
                <c:pt idx="5">
                  <c:v>0.0055</c:v>
                </c:pt>
                <c:pt idx="6">
                  <c:v>0.013</c:v>
                </c:pt>
                <c:pt idx="7">
                  <c:v>0.0235</c:v>
                </c:pt>
                <c:pt idx="8">
                  <c:v>0.017</c:v>
                </c:pt>
                <c:pt idx="9">
                  <c:v>0.015</c:v>
                </c:pt>
                <c:pt idx="10">
                  <c:v>0.024</c:v>
                </c:pt>
                <c:pt idx="11">
                  <c:v>0.0105714285714286</c:v>
                </c:pt>
                <c:pt idx="12">
                  <c:v>0.0113333333333333</c:v>
                </c:pt>
                <c:pt idx="13">
                  <c:v>0.0186</c:v>
                </c:pt>
                <c:pt idx="14">
                  <c:v>0.0142857142857143</c:v>
                </c:pt>
                <c:pt idx="15">
                  <c:v>0.00733333333333333</c:v>
                </c:pt>
                <c:pt idx="16">
                  <c:v>0.0122222222222222</c:v>
                </c:pt>
                <c:pt idx="17">
                  <c:v>0.00675</c:v>
                </c:pt>
                <c:pt idx="18">
                  <c:v>0.0197777777777778</c:v>
                </c:pt>
                <c:pt idx="19">
                  <c:v>0.01825</c:v>
                </c:pt>
                <c:pt idx="20">
                  <c:v>0.0165</c:v>
                </c:pt>
                <c:pt idx="21">
                  <c:v>0.011</c:v>
                </c:pt>
                <c:pt idx="22">
                  <c:v>0.0194285714285714</c:v>
                </c:pt>
                <c:pt idx="23">
                  <c:v>0.0142</c:v>
                </c:pt>
                <c:pt idx="24">
                  <c:v>0.01175</c:v>
                </c:pt>
              </c:numCache>
            </c:numRef>
          </c:val>
          <c:smooth val="1"/>
        </c:ser>
        <c:ser>
          <c:idx val="1"/>
          <c:order val="1"/>
          <c:tx>
            <c:strRef>
              <c:f>'E-54 Laney p and u Charts'!D83</c:f>
              <c:strCache>
                <c:ptCount val="1"/>
                <c:pt idx="0">
                  <c:v>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'E-54 Laney p and u Charts'!$B$84:$B$108</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'E-54 Laney p and u Charts'!$D$84:$D$108</c:f>
              <c:numCache>
                <c:formatCode>0.0000</c:formatCode>
                <c:ptCount val="25"/>
                <c:pt idx="0">
                  <c:v>0.0140585365853659</c:v>
                </c:pt>
                <c:pt idx="1">
                  <c:v>0.0140585365853659</c:v>
                </c:pt>
                <c:pt idx="2">
                  <c:v>0.0140585365853659</c:v>
                </c:pt>
                <c:pt idx="3">
                  <c:v>0.0140585365853659</c:v>
                </c:pt>
                <c:pt idx="4">
                  <c:v>0.0140585365853659</c:v>
                </c:pt>
                <c:pt idx="5">
                  <c:v>0.0140585365853659</c:v>
                </c:pt>
                <c:pt idx="6">
                  <c:v>0.0140585365853659</c:v>
                </c:pt>
                <c:pt idx="7">
                  <c:v>0.0140585365853659</c:v>
                </c:pt>
                <c:pt idx="8">
                  <c:v>0.0140585365853659</c:v>
                </c:pt>
                <c:pt idx="9">
                  <c:v>0.0140585365853659</c:v>
                </c:pt>
                <c:pt idx="10">
                  <c:v>0.0140585365853659</c:v>
                </c:pt>
                <c:pt idx="11">
                  <c:v>0.0140585365853659</c:v>
                </c:pt>
                <c:pt idx="12">
                  <c:v>0.0140585365853659</c:v>
                </c:pt>
                <c:pt idx="13">
                  <c:v>0.0140585365853659</c:v>
                </c:pt>
                <c:pt idx="14">
                  <c:v>0.0140585365853659</c:v>
                </c:pt>
                <c:pt idx="15">
                  <c:v>0.0140585365853659</c:v>
                </c:pt>
                <c:pt idx="16">
                  <c:v>0.0140585365853659</c:v>
                </c:pt>
                <c:pt idx="17">
                  <c:v>0.0140585365853659</c:v>
                </c:pt>
                <c:pt idx="18">
                  <c:v>0.0140585365853659</c:v>
                </c:pt>
                <c:pt idx="19">
                  <c:v>0.0140585365853659</c:v>
                </c:pt>
                <c:pt idx="20">
                  <c:v>0.0140585365853659</c:v>
                </c:pt>
                <c:pt idx="21">
                  <c:v>0.0140585365853659</c:v>
                </c:pt>
                <c:pt idx="22">
                  <c:v>0.0140585365853659</c:v>
                </c:pt>
                <c:pt idx="23">
                  <c:v>0.0140585365853659</c:v>
                </c:pt>
                <c:pt idx="24">
                  <c:v>0.0140585365853659</c:v>
                </c:pt>
              </c:numCache>
            </c:numRef>
          </c:val>
          <c:smooth val="1"/>
        </c:ser>
        <c:ser>
          <c:idx val="2"/>
          <c:order val="2"/>
          <c:tx>
            <c:strRef>
              <c:f>'E-54 Laney p and u Charts'!E83</c:f>
              <c:strCache>
                <c:ptCount val="1"/>
                <c:pt idx="0">
                  <c:v>Laney UCL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'E-54 Laney p and u Charts'!$B$84:$B$108</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'E-54 Laney p and u Charts'!$E$84:$E$108</c:f>
              <c:numCache>
                <c:formatCode>0.0000</c:formatCode>
                <c:ptCount val="25"/>
                <c:pt idx="0">
                  <c:v>0.0296472241391719</c:v>
                </c:pt>
                <c:pt idx="1">
                  <c:v>0.0278064667631187</c:v>
                </c:pt>
                <c:pt idx="2">
                  <c:v>0.0271009683277646</c:v>
                </c:pt>
                <c:pt idx="3">
                  <c:v>0.0296472241391719</c:v>
                </c:pt>
                <c:pt idx="4">
                  <c:v>0.0271009683277646</c:v>
                </c:pt>
                <c:pt idx="5">
                  <c:v>0.0286404185693182</c:v>
                </c:pt>
                <c:pt idx="6">
                  <c:v>0.0286404185693182</c:v>
                </c:pt>
                <c:pt idx="7">
                  <c:v>0.0286404185693182</c:v>
                </c:pt>
                <c:pt idx="8">
                  <c:v>0.0271009683277646</c:v>
                </c:pt>
                <c:pt idx="9">
                  <c:v>0.0308962435628183</c:v>
                </c:pt>
                <c:pt idx="10">
                  <c:v>0.0308962435628183</c:v>
                </c:pt>
                <c:pt idx="11">
                  <c:v>0.0296472241391719</c:v>
                </c:pt>
                <c:pt idx="12">
                  <c:v>0.0308962435628183</c:v>
                </c:pt>
                <c:pt idx="13">
                  <c:v>0.0271009683277646</c:v>
                </c:pt>
                <c:pt idx="14">
                  <c:v>0.0296472241391719</c:v>
                </c:pt>
                <c:pt idx="15">
                  <c:v>0.0278064667631187</c:v>
                </c:pt>
                <c:pt idx="16">
                  <c:v>0.0278064667631187</c:v>
                </c:pt>
                <c:pt idx="17">
                  <c:v>0.0286404185693182</c:v>
                </c:pt>
                <c:pt idx="18">
                  <c:v>0.0278064667631187</c:v>
                </c:pt>
                <c:pt idx="19">
                  <c:v>0.0286404185693182</c:v>
                </c:pt>
                <c:pt idx="20">
                  <c:v>0.0286404185693182</c:v>
                </c:pt>
                <c:pt idx="21">
                  <c:v>0.0271009683277646</c:v>
                </c:pt>
                <c:pt idx="22">
                  <c:v>0.0296472241391719</c:v>
                </c:pt>
                <c:pt idx="23">
                  <c:v>0.0271009683277646</c:v>
                </c:pt>
                <c:pt idx="24">
                  <c:v>0.0286404185693182</c:v>
                </c:pt>
              </c:numCache>
            </c:numRef>
          </c:val>
          <c:smooth val="1"/>
        </c:ser>
        <c:ser>
          <c:idx val="3"/>
          <c:order val="3"/>
          <c:tx>
            <c:strRef>
              <c:f>'E-54 Laney p and u Charts'!F83</c:f>
              <c:strCache>
                <c:ptCount val="1"/>
                <c:pt idx="0">
                  <c:v>Laney LCL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'E-54 Laney p and u Charts'!$B$84:$B$108</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'E-54 Laney p and u Charts'!$F$84:$F$108</c:f>
              <c:numCache>
                <c:formatCode>0.0000</c:formatCode>
                <c:ptCount val="25"/>
                <c:pt idx="0">
                  <c:v>0</c:v>
                </c:pt>
                <c:pt idx="1">
                  <c:v>0.000310606407612992</c:v>
                </c:pt>
                <c:pt idx="2">
                  <c:v>0.00101610484296708</c:v>
                </c:pt>
                <c:pt idx="3">
                  <c:v>0</c:v>
                </c:pt>
                <c:pt idx="4">
                  <c:v>0.00101610484296708</c:v>
                </c:pt>
                <c:pt idx="5">
                  <c:v>0</c:v>
                </c:pt>
                <c:pt idx="6">
                  <c:v>0</c:v>
                </c:pt>
                <c:pt idx="7">
                  <c:v>0</c:v>
                </c:pt>
                <c:pt idx="8">
                  <c:v>0.00101610484296708</c:v>
                </c:pt>
                <c:pt idx="9">
                  <c:v>0</c:v>
                </c:pt>
                <c:pt idx="10">
                  <c:v>0</c:v>
                </c:pt>
                <c:pt idx="11">
                  <c:v>0</c:v>
                </c:pt>
                <c:pt idx="12">
                  <c:v>0</c:v>
                </c:pt>
                <c:pt idx="13">
                  <c:v>0.00101610484296708</c:v>
                </c:pt>
                <c:pt idx="14">
                  <c:v>0</c:v>
                </c:pt>
                <c:pt idx="15">
                  <c:v>0.000310606407612992</c:v>
                </c:pt>
                <c:pt idx="16">
                  <c:v>0.000310606407612992</c:v>
                </c:pt>
                <c:pt idx="17">
                  <c:v>0</c:v>
                </c:pt>
                <c:pt idx="18">
                  <c:v>0.000310606407612992</c:v>
                </c:pt>
                <c:pt idx="19">
                  <c:v>0</c:v>
                </c:pt>
                <c:pt idx="20">
                  <c:v>0</c:v>
                </c:pt>
                <c:pt idx="21">
                  <c:v>0.00101610484296708</c:v>
                </c:pt>
                <c:pt idx="22">
                  <c:v>0</c:v>
                </c:pt>
                <c:pt idx="23">
                  <c:v>0.00101610484296708</c:v>
                </c:pt>
                <c:pt idx="24">
                  <c:v>0</c:v>
                </c:pt>
              </c:numCache>
            </c:numRef>
          </c:val>
          <c:smooth val="1"/>
        </c:ser>
        <c:ser>
          <c:idx val="4"/>
          <c:order val="4"/>
          <c:tx>
            <c:strRef>
              <c:f>'E-54 Laney p and u Charts'!G83</c:f>
              <c:strCache>
                <c:ptCount val="1"/>
                <c:pt idx="0">
                  <c:v>Plain p UCL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'E-54 Laney p and u Charts'!$B$84:$B$108</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'E-54 Laney p and u Charts'!$G$84:$G$108</c:f>
              <c:numCache>
                <c:formatCode>0.0000</c:formatCode>
                <c:ptCount val="25"/>
                <c:pt idx="0">
                  <c:v>0.0200286537703845</c:v>
                </c:pt>
                <c:pt idx="1">
                  <c:v>0.0193236850418567</c:v>
                </c:pt>
                <c:pt idx="2">
                  <c:v>0.0190534949877951</c:v>
                </c:pt>
                <c:pt idx="3">
                  <c:v>0.0200286537703845</c:v>
                </c:pt>
                <c:pt idx="4">
                  <c:v>0.0190534949877951</c:v>
                </c:pt>
                <c:pt idx="5">
                  <c:v>0.0196430698516737</c:v>
                </c:pt>
                <c:pt idx="6">
                  <c:v>0.0196430698516737</c:v>
                </c:pt>
                <c:pt idx="7">
                  <c:v>0.0196430698516737</c:v>
                </c:pt>
                <c:pt idx="8">
                  <c:v>0.0190534949877951</c:v>
                </c:pt>
                <c:pt idx="9">
                  <c:v>0.0205070001545683</c:v>
                </c:pt>
                <c:pt idx="10">
                  <c:v>0.0205070001545683</c:v>
                </c:pt>
                <c:pt idx="11">
                  <c:v>0.0200286537703845</c:v>
                </c:pt>
                <c:pt idx="12">
                  <c:v>0.0205070001545683</c:v>
                </c:pt>
                <c:pt idx="13">
                  <c:v>0.0190534949877951</c:v>
                </c:pt>
                <c:pt idx="14">
                  <c:v>0.0200286537703845</c:v>
                </c:pt>
                <c:pt idx="15">
                  <c:v>0.0193236850418567</c:v>
                </c:pt>
                <c:pt idx="16">
                  <c:v>0.0193236850418567</c:v>
                </c:pt>
                <c:pt idx="17">
                  <c:v>0.0196430698516737</c:v>
                </c:pt>
                <c:pt idx="18">
                  <c:v>0.0193236850418567</c:v>
                </c:pt>
                <c:pt idx="19">
                  <c:v>0.0196430698516737</c:v>
                </c:pt>
                <c:pt idx="20">
                  <c:v>0.0196430698516737</c:v>
                </c:pt>
                <c:pt idx="21">
                  <c:v>0.0190534949877951</c:v>
                </c:pt>
                <c:pt idx="22">
                  <c:v>0.0200286537703845</c:v>
                </c:pt>
                <c:pt idx="23">
                  <c:v>0.0190534949877951</c:v>
                </c:pt>
                <c:pt idx="24">
                  <c:v>0.0196430698516737</c:v>
                </c:pt>
              </c:numCache>
            </c:numRef>
          </c:val>
          <c:smooth val="1"/>
        </c:ser>
        <c:hiLowLines>
          <c:spPr>
            <a:ln w="0">
              <a:noFill/>
            </a:ln>
          </c:spPr>
        </c:hiLowLines>
        <c:marker val="0"/>
        <c:axId val="31128541"/>
        <c:axId val="78004157"/>
      </c:lineChart>
      <c:catAx>
        <c:axId val="31128541"/>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Day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8004157"/>
        <c:crosses val="autoZero"/>
        <c:auto val="1"/>
        <c:lblAlgn val="ctr"/>
        <c:lblOffset val="100"/>
        <c:noMultiLvlLbl val="0"/>
      </c:catAx>
      <c:valAx>
        <c:axId val="7800415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Proportion defective</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112854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EWMA chart - fill volume (ml), lambda = 0.2</a:t>
            </a:r>
          </a:p>
        </c:rich>
      </c:tx>
      <c:overlay val="0"/>
      <c:spPr>
        <a:noFill/>
        <a:ln w="0">
          <a:noFill/>
        </a:ln>
      </c:spPr>
    </c:title>
    <c:autoTitleDeleted val="0"/>
    <c:plotArea>
      <c:lineChart>
        <c:grouping val="standard"/>
        <c:varyColors val="0"/>
        <c:ser>
          <c:idx val="0"/>
          <c:order val="0"/>
          <c:tx>
            <c:strRef>
              <c:f>'E-55 CUSUM and EWMA'!C87</c:f>
              <c:strCache>
                <c:ptCount val="1"/>
                <c:pt idx="0">
                  <c:v>EWMA z</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'E-55 CUSUM and EWMA'!$B$88:$B$112</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'E-55 CUSUM and EWMA'!$C$88:$C$112</c:f>
              <c:numCache>
                <c:formatCode>0.00</c:formatCode>
                <c:ptCount val="25"/>
                <c:pt idx="0">
                  <c:v>500.538</c:v>
                </c:pt>
                <c:pt idx="1">
                  <c:v>500.7724</c:v>
                </c:pt>
                <c:pt idx="2">
                  <c:v>500.86792</c:v>
                </c:pt>
                <c:pt idx="3">
                  <c:v>501.038336</c:v>
                </c:pt>
                <c:pt idx="4">
                  <c:v>501.0646688</c:v>
                </c:pt>
                <c:pt idx="5">
                  <c:v>500.48973504</c:v>
                </c:pt>
                <c:pt idx="6">
                  <c:v>500.313788032</c:v>
                </c:pt>
                <c:pt idx="7">
                  <c:v>500.4810304256</c:v>
                </c:pt>
                <c:pt idx="8">
                  <c:v>500.26682434048</c:v>
                </c:pt>
                <c:pt idx="9">
                  <c:v>499.549459472384</c:v>
                </c:pt>
                <c:pt idx="10">
                  <c:v>499.469567577907</c:v>
                </c:pt>
                <c:pt idx="11">
                  <c:v>499.299654062326</c:v>
                </c:pt>
                <c:pt idx="12">
                  <c:v>499.237723249861</c:v>
                </c:pt>
                <c:pt idx="13">
                  <c:v>499.562178599889</c:v>
                </c:pt>
                <c:pt idx="14">
                  <c:v>499.995742879911</c:v>
                </c:pt>
                <c:pt idx="15">
                  <c:v>500.126594303929</c:v>
                </c:pt>
                <c:pt idx="16">
                  <c:v>500.143275443143</c:v>
                </c:pt>
                <c:pt idx="17">
                  <c:v>500.436620354514</c:v>
                </c:pt>
                <c:pt idx="18">
                  <c:v>500.699296283612</c:v>
                </c:pt>
                <c:pt idx="19">
                  <c:v>500.903437026889</c:v>
                </c:pt>
                <c:pt idx="20">
                  <c:v>501.172749621511</c:v>
                </c:pt>
                <c:pt idx="21">
                  <c:v>501.742199697209</c:v>
                </c:pt>
                <c:pt idx="22">
                  <c:v>501.345759757767</c:v>
                </c:pt>
                <c:pt idx="23">
                  <c:v>501.264607806214</c:v>
                </c:pt>
                <c:pt idx="24">
                  <c:v>501.589686244971</c:v>
                </c:pt>
              </c:numCache>
            </c:numRef>
          </c:val>
          <c:smooth val="1"/>
        </c:ser>
        <c:ser>
          <c:idx val="1"/>
          <c:order val="1"/>
          <c:tx>
            <c:strRef>
              <c:f>'E-55 CUSUM and EWMA'!D87</c:f>
              <c:strCache>
                <c:ptCount val="1"/>
                <c:pt idx="0">
                  <c:v>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'E-55 CUSUM and EWMA'!$B$88:$B$112</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'E-55 CUSUM and EWMA'!$D$88:$D$112</c:f>
              <c:numCache>
                <c:formatCode>0.00</c:formatCode>
                <c:ptCount val="25"/>
                <c:pt idx="0">
                  <c:v>500</c:v>
                </c:pt>
                <c:pt idx="1">
                  <c:v>500</c:v>
                </c:pt>
                <c:pt idx="2">
                  <c:v>500</c:v>
                </c:pt>
                <c:pt idx="3">
                  <c:v>500</c:v>
                </c:pt>
                <c:pt idx="4">
                  <c:v>500</c:v>
                </c:pt>
                <c:pt idx="5">
                  <c:v>500</c:v>
                </c:pt>
                <c:pt idx="6">
                  <c:v>500</c:v>
                </c:pt>
                <c:pt idx="7">
                  <c:v>500</c:v>
                </c:pt>
                <c:pt idx="8">
                  <c:v>500</c:v>
                </c:pt>
                <c:pt idx="9">
                  <c:v>500</c:v>
                </c:pt>
                <c:pt idx="10">
                  <c:v>500</c:v>
                </c:pt>
                <c:pt idx="11">
                  <c:v>500</c:v>
                </c:pt>
                <c:pt idx="12">
                  <c:v>500</c:v>
                </c:pt>
                <c:pt idx="13">
                  <c:v>500</c:v>
                </c:pt>
                <c:pt idx="14">
                  <c:v>500</c:v>
                </c:pt>
                <c:pt idx="15">
                  <c:v>500</c:v>
                </c:pt>
                <c:pt idx="16">
                  <c:v>500</c:v>
                </c:pt>
                <c:pt idx="17">
                  <c:v>500</c:v>
                </c:pt>
                <c:pt idx="18">
                  <c:v>500</c:v>
                </c:pt>
                <c:pt idx="19">
                  <c:v>500</c:v>
                </c:pt>
                <c:pt idx="20">
                  <c:v>500</c:v>
                </c:pt>
                <c:pt idx="21">
                  <c:v>500</c:v>
                </c:pt>
                <c:pt idx="22">
                  <c:v>500</c:v>
                </c:pt>
                <c:pt idx="23">
                  <c:v>500</c:v>
                </c:pt>
                <c:pt idx="24">
                  <c:v>500</c:v>
                </c:pt>
              </c:numCache>
            </c:numRef>
          </c:val>
          <c:smooth val="1"/>
        </c:ser>
        <c:ser>
          <c:idx val="2"/>
          <c:order val="2"/>
          <c:tx>
            <c:strRef>
              <c:f>'E-55 CUSUM and EWMA'!E87</c:f>
              <c:strCache>
                <c:ptCount val="1"/>
                <c:pt idx="0">
                  <c:v>UCL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'E-55 CUSUM and EWMA'!$B$88:$B$112</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'E-55 CUSUM and EWMA'!$E$88:$E$112</c:f>
              <c:numCache>
                <c:formatCode>0.00</c:formatCode>
                <c:ptCount val="25"/>
                <c:pt idx="0">
                  <c:v>500.78</c:v>
                </c:pt>
                <c:pt idx="1">
                  <c:v>500.99888738104</c:v>
                </c:pt>
                <c:pt idx="2">
                  <c:v>501.116681082494</c:v>
                </c:pt>
                <c:pt idx="3">
                  <c:v>501.18594479197</c:v>
                </c:pt>
                <c:pt idx="4">
                  <c:v>501.228225399405</c:v>
                </c:pt>
                <c:pt idx="5">
                  <c:v>501.254537398532</c:v>
                </c:pt>
                <c:pt idx="6">
                  <c:v>501.271091268935</c:v>
                </c:pt>
                <c:pt idx="7">
                  <c:v>501.281573536297</c:v>
                </c:pt>
                <c:pt idx="8">
                  <c:v>501.2882374263</c:v>
                </c:pt>
                <c:pt idx="9">
                  <c:v>501.292484284845</c:v>
                </c:pt>
                <c:pt idx="10">
                  <c:v>501.295194966407</c:v>
                </c:pt>
                <c:pt idx="11">
                  <c:v>501.296926829333</c:v>
                </c:pt>
                <c:pt idx="12">
                  <c:v>501.298034008958</c:v>
                </c:pt>
                <c:pt idx="13">
                  <c:v>501.298742108574</c:v>
                </c:pt>
                <c:pt idx="14">
                  <c:v>501.29919508979</c:v>
                </c:pt>
                <c:pt idx="15">
                  <c:v>501.2994849149</c:v>
                </c:pt>
                <c:pt idx="16">
                  <c:v>501.299670369053</c:v>
                </c:pt>
                <c:pt idx="17">
                  <c:v>501.299789045824</c:v>
                </c:pt>
                <c:pt idx="18">
                  <c:v>501.299864993271</c:v>
                </c:pt>
                <c:pt idx="19">
                  <c:v>501.299913597309</c:v>
                </c:pt>
                <c:pt idx="20">
                  <c:v>501.299944702939</c:v>
                </c:pt>
                <c:pt idx="21">
                  <c:v>501.299964610152</c:v>
                </c:pt>
                <c:pt idx="22">
                  <c:v>501.299977350608</c:v>
                </c:pt>
                <c:pt idx="23">
                  <c:v>501.299985504435</c:v>
                </c:pt>
                <c:pt idx="24">
                  <c:v>501.299990722857</c:v>
                </c:pt>
              </c:numCache>
            </c:numRef>
          </c:val>
          <c:smooth val="1"/>
        </c:ser>
        <c:ser>
          <c:idx val="3"/>
          <c:order val="3"/>
          <c:tx>
            <c:strRef>
              <c:f>'E-55 CUSUM and EWMA'!F87</c:f>
              <c:strCache>
                <c:ptCount val="1"/>
                <c:pt idx="0">
                  <c:v>LCL</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'E-55 CUSUM and EWMA'!$B$88:$B$112</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'E-55 CUSUM and EWMA'!$F$88:$F$112</c:f>
              <c:numCache>
                <c:formatCode>0.00</c:formatCode>
                <c:ptCount val="25"/>
                <c:pt idx="0">
                  <c:v>499.22</c:v>
                </c:pt>
                <c:pt idx="1">
                  <c:v>499.00111261896</c:v>
                </c:pt>
                <c:pt idx="2">
                  <c:v>498.883318917506</c:v>
                </c:pt>
                <c:pt idx="3">
                  <c:v>498.81405520803</c:v>
                </c:pt>
                <c:pt idx="4">
                  <c:v>498.771774600595</c:v>
                </c:pt>
                <c:pt idx="5">
                  <c:v>498.745462601468</c:v>
                </c:pt>
                <c:pt idx="6">
                  <c:v>498.728908731065</c:v>
                </c:pt>
                <c:pt idx="7">
                  <c:v>498.718426463703</c:v>
                </c:pt>
                <c:pt idx="8">
                  <c:v>498.7117625737</c:v>
                </c:pt>
                <c:pt idx="9">
                  <c:v>498.707515715155</c:v>
                </c:pt>
                <c:pt idx="10">
                  <c:v>498.704805033593</c:v>
                </c:pt>
                <c:pt idx="11">
                  <c:v>498.703073170667</c:v>
                </c:pt>
                <c:pt idx="12">
                  <c:v>498.701965991042</c:v>
                </c:pt>
                <c:pt idx="13">
                  <c:v>498.701257891426</c:v>
                </c:pt>
                <c:pt idx="14">
                  <c:v>498.70080491021</c:v>
                </c:pt>
                <c:pt idx="15">
                  <c:v>498.7005150851</c:v>
                </c:pt>
                <c:pt idx="16">
                  <c:v>498.700329630947</c:v>
                </c:pt>
                <c:pt idx="17">
                  <c:v>498.700210954176</c:v>
                </c:pt>
                <c:pt idx="18">
                  <c:v>498.700135006729</c:v>
                </c:pt>
                <c:pt idx="19">
                  <c:v>498.700086402691</c:v>
                </c:pt>
                <c:pt idx="20">
                  <c:v>498.700055297061</c:v>
                </c:pt>
                <c:pt idx="21">
                  <c:v>498.700035389848</c:v>
                </c:pt>
                <c:pt idx="22">
                  <c:v>498.700022649392</c:v>
                </c:pt>
                <c:pt idx="23">
                  <c:v>498.700014495565</c:v>
                </c:pt>
                <c:pt idx="24">
                  <c:v>498.700009277143</c:v>
                </c:pt>
              </c:numCache>
            </c:numRef>
          </c:val>
          <c:smooth val="1"/>
        </c:ser>
        <c:hiLowLines>
          <c:spPr>
            <a:ln w="0">
              <a:noFill/>
            </a:ln>
          </c:spPr>
        </c:hiLowLines>
        <c:marker val="0"/>
        <c:axId val="46236733"/>
        <c:axId val="58419253"/>
      </c:lineChart>
      <c:catAx>
        <c:axId val="46236733"/>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Point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8419253"/>
        <c:crosses val="autoZero"/>
        <c:auto val="1"/>
        <c:lblAlgn val="ctr"/>
        <c:lblOffset val="100"/>
        <c:noMultiLvlLbl val="0"/>
      </c:catAx>
      <c:valAx>
        <c:axId val="5841925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EWMA z (ml)</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623673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Capability histogram - fill volume (ml), with LSL/USL markers</a:t>
            </a:r>
          </a:p>
        </c:rich>
      </c:tx>
      <c:overlay val="0"/>
      <c:spPr>
        <a:noFill/>
        <a:ln w="0">
          <a:noFill/>
        </a:ln>
      </c:spPr>
    </c:title>
    <c:autoTitleDeleted val="0"/>
    <c:plotArea>
      <c:barChart>
        <c:barDir val="col"/>
        <c:grouping val="clustered"/>
        <c:varyColors val="0"/>
        <c:ser>
          <c:idx val="0"/>
          <c:order val="0"/>
          <c:tx>
            <c:strRef>
              <c:f>'E-57 Process Capability'!D81</c:f>
              <c:strCache>
                <c:ptCount val="1"/>
                <c:pt idx="0">
                  <c:v>Frequency</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'E-57 Process Capability'!$B$82:$B$91</c:f>
              <c:strCache>
                <c:ptCount val="10"/>
                <c:pt idx="0">
                  <c:v>495.00</c:v>
                </c:pt>
                <c:pt idx="1">
                  <c:v>496.00</c:v>
                </c:pt>
                <c:pt idx="2">
                  <c:v>497.00</c:v>
                </c:pt>
                <c:pt idx="3">
                  <c:v>498.00</c:v>
                </c:pt>
                <c:pt idx="4">
                  <c:v>499.00</c:v>
                </c:pt>
                <c:pt idx="5">
                  <c:v>500.00</c:v>
                </c:pt>
                <c:pt idx="6">
                  <c:v>501.00</c:v>
                </c:pt>
                <c:pt idx="7">
                  <c:v>502.00</c:v>
                </c:pt>
                <c:pt idx="8">
                  <c:v>503.00</c:v>
                </c:pt>
                <c:pt idx="9">
                  <c:v>504.00</c:v>
                </c:pt>
              </c:strCache>
            </c:strRef>
          </c:cat>
          <c:val>
            <c:numRef>
              <c:f>'E-57 Process Capability'!$D$82:$D$91</c:f>
              <c:numCache>
                <c:formatCode>0</c:formatCode>
                <c:ptCount val="10"/>
                <c:pt idx="0">
                  <c:v>0</c:v>
                </c:pt>
                <c:pt idx="1">
                  <c:v>0</c:v>
                </c:pt>
                <c:pt idx="2">
                  <c:v>0</c:v>
                </c:pt>
                <c:pt idx="3">
                  <c:v>3</c:v>
                </c:pt>
                <c:pt idx="4">
                  <c:v>8</c:v>
                </c:pt>
                <c:pt idx="5">
                  <c:v>9</c:v>
                </c:pt>
                <c:pt idx="6">
                  <c:v>10</c:v>
                </c:pt>
                <c:pt idx="7">
                  <c:v>0</c:v>
                </c:pt>
                <c:pt idx="8">
                  <c:v>0</c:v>
                </c:pt>
                <c:pt idx="9">
                  <c:v>0</c:v>
                </c:pt>
              </c:numCache>
            </c:numRef>
          </c:val>
        </c:ser>
        <c:ser>
          <c:idx val="1"/>
          <c:order val="1"/>
          <c:tx>
            <c:strRef>
              <c:f>'E-57 Process Capability'!E81</c:f>
              <c:strCache>
                <c:ptCount val="1"/>
                <c:pt idx="0">
                  <c:v>LSL marker</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'E-57 Process Capability'!$B$82:$B$91</c:f>
              <c:strCache>
                <c:ptCount val="10"/>
                <c:pt idx="0">
                  <c:v>495.00</c:v>
                </c:pt>
                <c:pt idx="1">
                  <c:v>496.00</c:v>
                </c:pt>
                <c:pt idx="2">
                  <c:v>497.00</c:v>
                </c:pt>
                <c:pt idx="3">
                  <c:v>498.00</c:v>
                </c:pt>
                <c:pt idx="4">
                  <c:v>499.00</c:v>
                </c:pt>
                <c:pt idx="5">
                  <c:v>500.00</c:v>
                </c:pt>
                <c:pt idx="6">
                  <c:v>501.00</c:v>
                </c:pt>
                <c:pt idx="7">
                  <c:v>502.00</c:v>
                </c:pt>
                <c:pt idx="8">
                  <c:v>503.00</c:v>
                </c:pt>
                <c:pt idx="9">
                  <c:v>504.00</c:v>
                </c:pt>
              </c:strCache>
            </c:strRef>
          </c:cat>
          <c:val>
            <c:numRef>
              <c:f>'E-57 Process Capability'!$E$82:$E$91</c:f>
              <c:numCache>
                <c:formatCode>0.0</c:formatCode>
                <c:ptCount val="10"/>
                <c:pt idx="0">
                  <c:v>0</c:v>
                </c:pt>
                <c:pt idx="1">
                  <c:v>11.5</c:v>
                </c:pt>
                <c:pt idx="2">
                  <c:v>0</c:v>
                </c:pt>
                <c:pt idx="3">
                  <c:v>0</c:v>
                </c:pt>
                <c:pt idx="4">
                  <c:v>0</c:v>
                </c:pt>
                <c:pt idx="5">
                  <c:v>0</c:v>
                </c:pt>
                <c:pt idx="6">
                  <c:v>0</c:v>
                </c:pt>
                <c:pt idx="7">
                  <c:v>0</c:v>
                </c:pt>
                <c:pt idx="8">
                  <c:v>0</c:v>
                </c:pt>
                <c:pt idx="9">
                  <c:v>0</c:v>
                </c:pt>
              </c:numCache>
            </c:numRef>
          </c:val>
        </c:ser>
        <c:ser>
          <c:idx val="2"/>
          <c:order val="2"/>
          <c:tx>
            <c:strRef>
              <c:f>'E-57 Process Capability'!F81</c:f>
              <c:strCache>
                <c:ptCount val="1"/>
                <c:pt idx="0">
                  <c:v>USL marker</c:v>
                </c:pt>
              </c:strCache>
            </c:strRef>
          </c:tx>
          <c:spPr>
            <a:solidFill>
              <a:srgbClr val="9BBB59"/>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'E-57 Process Capability'!$B$82:$B$91</c:f>
              <c:strCache>
                <c:ptCount val="10"/>
                <c:pt idx="0">
                  <c:v>495.00</c:v>
                </c:pt>
                <c:pt idx="1">
                  <c:v>496.00</c:v>
                </c:pt>
                <c:pt idx="2">
                  <c:v>497.00</c:v>
                </c:pt>
                <c:pt idx="3">
                  <c:v>498.00</c:v>
                </c:pt>
                <c:pt idx="4">
                  <c:v>499.00</c:v>
                </c:pt>
                <c:pt idx="5">
                  <c:v>500.00</c:v>
                </c:pt>
                <c:pt idx="6">
                  <c:v>501.00</c:v>
                </c:pt>
                <c:pt idx="7">
                  <c:v>502.00</c:v>
                </c:pt>
                <c:pt idx="8">
                  <c:v>503.00</c:v>
                </c:pt>
                <c:pt idx="9">
                  <c:v>504.00</c:v>
                </c:pt>
              </c:strCache>
            </c:strRef>
          </c:cat>
          <c:val>
            <c:numRef>
              <c:f>'E-57 Process Capability'!$F$82:$F$91</c:f>
              <c:numCache>
                <c:formatCode>0.0</c:formatCode>
                <c:ptCount val="10"/>
                <c:pt idx="0">
                  <c:v>0</c:v>
                </c:pt>
                <c:pt idx="1">
                  <c:v>0</c:v>
                </c:pt>
                <c:pt idx="2">
                  <c:v>0</c:v>
                </c:pt>
                <c:pt idx="3">
                  <c:v>0</c:v>
                </c:pt>
                <c:pt idx="4">
                  <c:v>0</c:v>
                </c:pt>
                <c:pt idx="5">
                  <c:v>0</c:v>
                </c:pt>
                <c:pt idx="6">
                  <c:v>0</c:v>
                </c:pt>
                <c:pt idx="7">
                  <c:v>0</c:v>
                </c:pt>
                <c:pt idx="8">
                  <c:v>0</c:v>
                </c:pt>
                <c:pt idx="9">
                  <c:v>11.5</c:v>
                </c:pt>
              </c:numCache>
            </c:numRef>
          </c:val>
        </c:ser>
        <c:gapWidth val="150"/>
        <c:overlap val="0"/>
        <c:axId val="15977149"/>
        <c:axId val="14687506"/>
      </c:barChart>
      <c:catAx>
        <c:axId val="1597714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Bin</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4687506"/>
        <c:crosses val="autoZero"/>
        <c:auto val="1"/>
        <c:lblAlgn val="ctr"/>
        <c:lblOffset val="100"/>
        <c:noMultiLvlLbl val="0"/>
      </c:catAx>
      <c:valAx>
        <c:axId val="1468750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Frequency</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597714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Gage R&amp;R components - % contribution to total variance</a:t>
            </a:r>
          </a:p>
        </c:rich>
      </c:tx>
      <c:overlay val="0"/>
      <c:spPr>
        <a:noFill/>
        <a:ln w="0">
          <a:noFill/>
        </a:ln>
      </c:spPr>
    </c:title>
    <c:autoTitleDeleted val="0"/>
    <c:plotArea>
      <c:barChart>
        <c:barDir val="col"/>
        <c:grouping val="clustered"/>
        <c:varyColors val="0"/>
        <c:ser>
          <c:idx val="0"/>
          <c:order val="0"/>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'E-59 Gage R and R'!$B$127:$B$130</c:f>
              <c:strCache>
                <c:ptCount val="4"/>
                <c:pt idx="0">
                  <c:v>Repeatability (EV)</c:v>
                </c:pt>
                <c:pt idx="1">
                  <c:v>Reproducibility (AV+INT)</c:v>
                </c:pt>
                <c:pt idx="2">
                  <c:v>Total GRR</c:v>
                </c:pt>
                <c:pt idx="3">
                  <c:v>Part-to-part (PV)</c:v>
                </c:pt>
              </c:strCache>
            </c:strRef>
          </c:cat>
          <c:val>
            <c:numRef>
              <c:f>'E-59 Gage R and R'!$C$127:$C$130</c:f>
              <c:numCache>
                <c:formatCode>0.0</c:formatCode>
                <c:ptCount val="4"/>
                <c:pt idx="0">
                  <c:v>4.11535924991235</c:v>
                </c:pt>
                <c:pt idx="1">
                  <c:v>3.79407542603468</c:v>
                </c:pt>
                <c:pt idx="2">
                  <c:v>7.90943467594703</c:v>
                </c:pt>
                <c:pt idx="3">
                  <c:v>92.090565324053</c:v>
                </c:pt>
              </c:numCache>
            </c:numRef>
          </c:val>
        </c:ser>
        <c:gapWidth val="150"/>
        <c:overlap val="0"/>
        <c:axId val="91882707"/>
        <c:axId val="92664269"/>
      </c:barChart>
      <c:catAx>
        <c:axId val="9188270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2664269"/>
        <c:crosses val="autoZero"/>
        <c:auto val="1"/>
        <c:lblAlgn val="ctr"/>
        <c:lblOffset val="100"/>
        <c:noMultiLvlLbl val="0"/>
      </c:catAx>
      <c:valAx>
        <c:axId val="9266426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 Contribution</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188270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OEE waterfall — productive minutes remaining after each of the six big losses</a:t>
            </a:r>
          </a:p>
        </c:rich>
      </c:tx>
      <c:overlay val="0"/>
      <c:spPr>
        <a:noFill/>
        <a:ln w="0">
          <a:noFill/>
        </a:ln>
      </c:spPr>
    </c:title>
    <c:autoTitleDeleted val="0"/>
    <c:plotArea>
      <c:barChart>
        <c:barDir val="col"/>
        <c:grouping val="clustered"/>
        <c:varyColors val="0"/>
        <c:ser>
          <c:idx val="0"/>
          <c:order val="0"/>
          <c:tx>
            <c:strRef>
              <c:f>'L-11 OEE'!D101</c:f>
              <c:strCache>
                <c:ptCount val="1"/>
                <c:pt idx="0">
                  <c:v>Minutes still productive</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'L-11 OEE'!$B$102:$B$109</c:f>
              <c:strCache>
                <c:ptCount val="8"/>
                <c:pt idx="0">
                  <c:v>Planned production time</c:v>
                </c:pt>
                <c:pt idx="1">
                  <c:v>less Breakdowns</c:v>
                </c:pt>
                <c:pt idx="2">
                  <c:v>less Set-up and adjustment</c:v>
                </c:pt>
                <c:pt idx="3">
                  <c:v>less Idling and minor stops</c:v>
                </c:pt>
                <c:pt idx="4">
                  <c:v>less Reduced speed</c:v>
                </c:pt>
                <c:pt idx="5">
                  <c:v>less Defects and rework</c:v>
                </c:pt>
                <c:pt idx="6">
                  <c:v>less Start-up and yield</c:v>
                </c:pt>
                <c:pt idx="7">
                  <c:v>EQUIVALENT FULLY PRODUCTIVE TIME</c:v>
                </c:pt>
              </c:strCache>
            </c:strRef>
          </c:cat>
          <c:val>
            <c:numRef>
              <c:f>'L-11 OEE'!$D$102:$D$109</c:f>
              <c:numCache>
                <c:formatCode>0</c:formatCode>
                <c:ptCount val="8"/>
                <c:pt idx="0">
                  <c:v>425</c:v>
                </c:pt>
                <c:pt idx="1">
                  <c:v>387</c:v>
                </c:pt>
                <c:pt idx="2">
                  <c:v>341</c:v>
                </c:pt>
                <c:pt idx="3">
                  <c:v>312</c:v>
                </c:pt>
                <c:pt idx="4">
                  <c:v>290</c:v>
                </c:pt>
                <c:pt idx="5">
                  <c:v>276</c:v>
                </c:pt>
                <c:pt idx="6">
                  <c:v>267.333333333333</c:v>
                </c:pt>
                <c:pt idx="7">
                  <c:v>267.333333333333</c:v>
                </c:pt>
              </c:numCache>
            </c:numRef>
          </c:val>
        </c:ser>
        <c:gapWidth val="150"/>
        <c:overlap val="0"/>
        <c:axId val="48319425"/>
        <c:axId val="16029765"/>
      </c:barChart>
      <c:catAx>
        <c:axId val="4831942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Loss step</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6029765"/>
        <c:crosses val="autoZero"/>
        <c:auto val="1"/>
        <c:lblAlgn val="ctr"/>
        <c:lblOffset val="100"/>
        <c:noMultiLvlLbl val="0"/>
      </c:catAx>
      <c:valAx>
        <c:axId val="1602976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Minutes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831942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Changeover time by element — before and after SMED</a:t>
            </a:r>
          </a:p>
        </c:rich>
      </c:tx>
      <c:overlay val="0"/>
      <c:spPr>
        <a:noFill/>
        <a:ln w="0">
          <a:noFill/>
        </a:ln>
      </c:spPr>
    </c:title>
    <c:autoTitleDeleted val="0"/>
    <c:plotArea>
      <c:barChart>
        <c:barDir val="col"/>
        <c:grouping val="clustered"/>
        <c:varyColors val="0"/>
        <c:ser>
          <c:idx val="0"/>
          <c:order val="0"/>
          <c:tx>
            <c:strRef>
              <c:f>'L-15 SMED'!H75</c:f>
              <c:strCache>
                <c:ptCount val="1"/>
                <c:pt idx="0">
                  <c:v>Internal minutes today</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'L-15 SMED'!$B$76:$B$87</c:f>
              <c:strCache>
                <c:ptCount val="12"/>
                <c:pt idx="0">
                  <c:v>Fetch change parts from the store</c:v>
                </c:pt>
                <c:pt idx="1">
                  <c:v>Fetch tools and setting sheet</c:v>
                </c:pt>
                <c:pt idx="2">
                  <c:v>Drain and empty the filler bowl</c:v>
                </c:pt>
                <c:pt idx="3">
                  <c:v>Remove neck guides and star wheels</c:v>
                </c:pt>
                <c:pt idx="4">
                  <c:v>Change filling valve cages</c:v>
                </c:pt>
                <c:pt idx="5">
                  <c:v>Change labeller format set</c:v>
                </c:pt>
                <c:pt idx="6">
                  <c:v>Adjust height column by trial and error</c:v>
                </c:pt>
                <c:pt idx="7">
                  <c:v>Change blow moulder recipe</c:v>
                </c:pt>
                <c:pt idx="8">
                  <c:v>Clear packaging of the previous format</c:v>
                </c:pt>
                <c:pt idx="9">
                  <c:v>First article and fill-volume check</c:v>
                </c:pt>
                <c:pt idx="10">
                  <c:v>Re-adjust after a failed first article</c:v>
                </c:pt>
                <c:pt idx="11">
                  <c:v>Return change parts to the store</c:v>
                </c:pt>
              </c:strCache>
            </c:strRef>
          </c:cat>
          <c:val>
            <c:numRef>
              <c:f>'L-15 SMED'!$H$76:$H$87</c:f>
              <c:numCache>
                <c:formatCode>0</c:formatCode>
                <c:ptCount val="12"/>
                <c:pt idx="0">
                  <c:v>18</c:v>
                </c:pt>
                <c:pt idx="1">
                  <c:v>9</c:v>
                </c:pt>
                <c:pt idx="2">
                  <c:v>12</c:v>
                </c:pt>
                <c:pt idx="3">
                  <c:v>16</c:v>
                </c:pt>
                <c:pt idx="4">
                  <c:v>35</c:v>
                </c:pt>
                <c:pt idx="5">
                  <c:v>22</c:v>
                </c:pt>
                <c:pt idx="6">
                  <c:v>14</c:v>
                </c:pt>
                <c:pt idx="7">
                  <c:v>15</c:v>
                </c:pt>
                <c:pt idx="8">
                  <c:v>9</c:v>
                </c:pt>
                <c:pt idx="9">
                  <c:v>20</c:v>
                </c:pt>
                <c:pt idx="10">
                  <c:v>14</c:v>
                </c:pt>
                <c:pt idx="11">
                  <c:v>11</c:v>
                </c:pt>
              </c:numCache>
            </c:numRef>
          </c:val>
        </c:ser>
        <c:ser>
          <c:idx val="1"/>
          <c:order val="1"/>
          <c:tx>
            <c:strRef>
              <c:f>'L-15 SMED'!I75</c:f>
              <c:strCache>
                <c:ptCount val="1"/>
                <c:pt idx="0">
                  <c:v>Internal minutes after</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'L-15 SMED'!$B$76:$B$87</c:f>
              <c:strCache>
                <c:ptCount val="12"/>
                <c:pt idx="0">
                  <c:v>Fetch change parts from the store</c:v>
                </c:pt>
                <c:pt idx="1">
                  <c:v>Fetch tools and setting sheet</c:v>
                </c:pt>
                <c:pt idx="2">
                  <c:v>Drain and empty the filler bowl</c:v>
                </c:pt>
                <c:pt idx="3">
                  <c:v>Remove neck guides and star wheels</c:v>
                </c:pt>
                <c:pt idx="4">
                  <c:v>Change filling valve cages</c:v>
                </c:pt>
                <c:pt idx="5">
                  <c:v>Change labeller format set</c:v>
                </c:pt>
                <c:pt idx="6">
                  <c:v>Adjust height column by trial and error</c:v>
                </c:pt>
                <c:pt idx="7">
                  <c:v>Change blow moulder recipe</c:v>
                </c:pt>
                <c:pt idx="8">
                  <c:v>Clear packaging of the previous format</c:v>
                </c:pt>
                <c:pt idx="9">
                  <c:v>First article and fill-volume check</c:v>
                </c:pt>
                <c:pt idx="10">
                  <c:v>Re-adjust after a failed first article</c:v>
                </c:pt>
                <c:pt idx="11">
                  <c:v>Return change parts to the store</c:v>
                </c:pt>
              </c:strCache>
            </c:strRef>
          </c:cat>
          <c:val>
            <c:numRef>
              <c:f>'L-15 SMED'!$I$76:$I$87</c:f>
              <c:numCache>
                <c:formatCode>0</c:formatCode>
                <c:ptCount val="12"/>
                <c:pt idx="0">
                  <c:v>0</c:v>
                </c:pt>
                <c:pt idx="1">
                  <c:v>0</c:v>
                </c:pt>
                <c:pt idx="2">
                  <c:v>6</c:v>
                </c:pt>
                <c:pt idx="3">
                  <c:v>8</c:v>
                </c:pt>
                <c:pt idx="4">
                  <c:v>20</c:v>
                </c:pt>
                <c:pt idx="5">
                  <c:v>12</c:v>
                </c:pt>
                <c:pt idx="6">
                  <c:v>3</c:v>
                </c:pt>
                <c:pt idx="7">
                  <c:v>0</c:v>
                </c:pt>
                <c:pt idx="8">
                  <c:v>0</c:v>
                </c:pt>
                <c:pt idx="9">
                  <c:v>10</c:v>
                </c:pt>
                <c:pt idx="10">
                  <c:v>0</c:v>
                </c:pt>
                <c:pt idx="11">
                  <c:v>0</c:v>
                </c:pt>
              </c:numCache>
            </c:numRef>
          </c:val>
        </c:ser>
        <c:gapWidth val="150"/>
        <c:overlap val="0"/>
        <c:axId val="22054744"/>
        <c:axId val="31466623"/>
      </c:barChart>
      <c:catAx>
        <c:axId val="22054744"/>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Changeover element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1466623"/>
        <c:crosses val="autoZero"/>
        <c:auto val="1"/>
        <c:lblAlgn val="ctr"/>
        <c:lblOffset val="100"/>
        <c:noMultiLvlLbl val="0"/>
      </c:catAx>
      <c:valAx>
        <c:axId val="3146662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Minutes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205474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Pareto of defects — counts with the cumulative percentage line</a:t>
            </a:r>
          </a:p>
        </c:rich>
      </c:tx>
      <c:overlay val="0"/>
      <c:spPr>
        <a:noFill/>
        <a:ln w="0">
          <a:noFill/>
        </a:ln>
      </c:spPr>
    </c:title>
    <c:autoTitleDeleted val="0"/>
    <c:plotArea>
      <c:barChart>
        <c:barDir val="col"/>
        <c:grouping val="clustered"/>
        <c:varyColors val="0"/>
        <c:ser>
          <c:idx val="0"/>
          <c:order val="0"/>
          <c:tx>
            <c:strRef>
              <c:f>'H-06 Pareto Analysis'!C68</c:f>
              <c:strCache>
                <c:ptCount val="1"/>
                <c:pt idx="0">
                  <c:v>Count</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'H-06 Pareto Analysis'!$B$69:$B$76</c:f>
              <c:strCache>
                <c:ptCount val="8"/>
                <c:pt idx="0">
                  <c:v>Label crooked</c:v>
                </c:pt>
                <c:pt idx="1">
                  <c:v>Low fill</c:v>
                </c:pt>
                <c:pt idx="2">
                  <c:v>Cap askew</c:v>
                </c:pt>
                <c:pt idx="3">
                  <c:v>High fill</c:v>
                </c:pt>
                <c:pt idx="4">
                  <c:v>Label bubble</c:v>
                </c:pt>
                <c:pt idx="5">
                  <c:v>Bottle deformed</c:v>
                </c:pt>
                <c:pt idx="6">
                  <c:v>Other</c:v>
                </c:pt>
                <c:pt idx="7">
                  <c:v>Foreign body</c:v>
                </c:pt>
              </c:strCache>
            </c:strRef>
          </c:cat>
          <c:val>
            <c:numRef>
              <c:f>'H-06 Pareto Analysis'!$C$69:$C$76</c:f>
              <c:numCache>
                <c:formatCode>#,##0</c:formatCode>
                <c:ptCount val="8"/>
                <c:pt idx="0">
                  <c:v>418</c:v>
                </c:pt>
                <c:pt idx="1">
                  <c:v>185</c:v>
                </c:pt>
                <c:pt idx="2">
                  <c:v>90</c:v>
                </c:pt>
                <c:pt idx="3">
                  <c:v>86</c:v>
                </c:pt>
                <c:pt idx="4">
                  <c:v>46</c:v>
                </c:pt>
                <c:pt idx="5">
                  <c:v>35</c:v>
                </c:pt>
                <c:pt idx="6">
                  <c:v>25</c:v>
                </c:pt>
                <c:pt idx="7">
                  <c:v>4</c:v>
                </c:pt>
              </c:numCache>
            </c:numRef>
          </c:val>
        </c:ser>
        <c:gapWidth val="150"/>
        <c:overlap val="0"/>
        <c:axId val="87654463"/>
        <c:axId val="87912916"/>
      </c:barChart>
      <c:lineChart>
        <c:grouping val="standard"/>
        <c:varyColors val="0"/>
        <c:ser>
          <c:idx val="1"/>
          <c:order val="1"/>
          <c:tx>
            <c:strRef>
              <c:f>'H-06 Pareto Analysis'!E68</c:f>
              <c:strCache>
                <c:ptCount val="1"/>
                <c:pt idx="0">
                  <c:v>Cumulative %</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'H-06 Pareto Analysis'!$B$69:$B$76</c:f>
              <c:strCache>
                <c:ptCount val="8"/>
                <c:pt idx="0">
                  <c:v>Label crooked</c:v>
                </c:pt>
                <c:pt idx="1">
                  <c:v>Low fill</c:v>
                </c:pt>
                <c:pt idx="2">
                  <c:v>Cap askew</c:v>
                </c:pt>
                <c:pt idx="3">
                  <c:v>High fill</c:v>
                </c:pt>
                <c:pt idx="4">
                  <c:v>Label bubble</c:v>
                </c:pt>
                <c:pt idx="5">
                  <c:v>Bottle deformed</c:v>
                </c:pt>
                <c:pt idx="6">
                  <c:v>Other</c:v>
                </c:pt>
                <c:pt idx="7">
                  <c:v>Foreign body</c:v>
                </c:pt>
              </c:strCache>
            </c:strRef>
          </c:cat>
          <c:val>
            <c:numRef>
              <c:f>'H-06 Pareto Analysis'!$E$69:$E$76</c:f>
              <c:numCache>
                <c:formatCode>0.0%</c:formatCode>
                <c:ptCount val="8"/>
                <c:pt idx="0">
                  <c:v>0.470191226096738</c:v>
                </c:pt>
                <c:pt idx="1">
                  <c:v>0.678290213723285</c:v>
                </c:pt>
                <c:pt idx="2">
                  <c:v>0.779527559055118</c:v>
                </c:pt>
                <c:pt idx="3">
                  <c:v>0.876265466816648</c:v>
                </c:pt>
                <c:pt idx="4">
                  <c:v>0.928008998875141</c:v>
                </c:pt>
                <c:pt idx="5">
                  <c:v>0.967379077615298</c:v>
                </c:pt>
                <c:pt idx="6">
                  <c:v>0.995500562429696</c:v>
                </c:pt>
                <c:pt idx="7">
                  <c:v>1</c:v>
                </c:pt>
              </c:numCache>
            </c:numRef>
          </c:val>
          <c:smooth val="1"/>
        </c:ser>
        <c:hiLowLines>
          <c:spPr>
            <a:ln w="0">
              <a:noFill/>
            </a:ln>
          </c:spPr>
        </c:hiLowLines>
        <c:marker val="0"/>
        <c:axId val="77717759"/>
        <c:axId val="66732234"/>
      </c:lineChart>
      <c:catAx>
        <c:axId val="87654463"/>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Defect type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7912916"/>
        <c:crosses val="autoZero"/>
        <c:auto val="1"/>
        <c:lblAlgn val="ctr"/>
        <c:lblOffset val="100"/>
        <c:noMultiLvlLbl val="0"/>
      </c:catAx>
      <c:valAx>
        <c:axId val="87912916"/>
        <c:scaling>
          <c:orientation val="minMax"/>
        </c:scaling>
        <c:delete val="0"/>
        <c:axPos val="l"/>
        <c:title>
          <c:tx>
            <c:rich>
              <a:bodyPr rot="-5400000"/>
              <a:lstStyle/>
              <a:p>
                <a:pPr>
                  <a:defRPr sz="1300" b="0" u="none" strike="noStrike">
                    <a:uFillTx/>
                    <a:latin typeface="Arial"/>
                  </a:defRPr>
                </a:pPr>
                <a:r>
                  <a:rPr sz="1000" b="1" u="none" strike="noStrike">
                    <a:solidFill>
                      <a:srgbClr val="000000"/>
                    </a:solidFill>
                    <a:uFillTx/>
                    <a:latin typeface="Calibri"/>
                  </a:rPr>
                  <a:t>Defect count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7654463"/>
        <c:crosses val="autoZero"/>
        <c:crossBetween val="between"/>
      </c:valAx>
      <c:catAx>
        <c:axId val="77717759"/>
        <c:scaling>
          <c:orientation val="minMax"/>
        </c:scaling>
        <c:delete val="0"/>
        <c:axPos val="t"/>
        <c:title>
          <c:tx>
            <c:rich>
              <a:bodyPr rot="0"/>
              <a:lstStyle/>
              <a:p>
                <a:pPr>
                  <a:defRPr sz="1300" b="0" u="none" strike="noStrike">
                    <a:uFillTx/>
                    <a:latin typeface="Arial"/>
                  </a:defRPr>
                </a:pPr>
                <a:r>
                  <a:rPr sz="1000" b="1" u="none" strike="noStrike">
                    <a:solidFill>
                      <a:srgbClr val="000000"/>
                    </a:solidFill>
                    <a:uFillTx/>
                    <a:latin typeface="Calibri"/>
                  </a:rPr>
                  <a:t>Defect type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6732234"/>
        <c:crosses val="autoZero"/>
        <c:auto val="1"/>
        <c:lblAlgn val="ctr"/>
        <c:lblOffset val="100"/>
        <c:noMultiLvlLbl val="0"/>
      </c:catAx>
      <c:valAx>
        <c:axId val="66732234"/>
        <c:scaling>
          <c:orientation val="minMax"/>
        </c:scaling>
        <c:delete val="0"/>
        <c:axPos val="r"/>
        <c:title>
          <c:tx>
            <c:rich>
              <a:bodyPr rot="-5400000"/>
              <a:lstStyle/>
              <a:p>
                <a:pPr>
                  <a:defRPr sz="1300" b="0" u="none" strike="noStrike">
                    <a:uFillTx/>
                    <a:latin typeface="Arial"/>
                  </a:defRPr>
                </a:pPr>
                <a:r>
                  <a:rPr sz="1000" b="1" u="none" strike="noStrike">
                    <a:solidFill>
                      <a:srgbClr val="000000"/>
                    </a:solidFill>
                    <a:uFillTx/>
                    <a:latin typeface="Calibri"/>
                  </a:rPr>
                  <a:t>Cumulative %</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771775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Histogram of fill volume with the specification limits marked in the table</a:t>
            </a:r>
          </a:p>
        </c:rich>
      </c:tx>
      <c:overlay val="0"/>
      <c:spPr>
        <a:noFill/>
        <a:ln w="0">
          <a:noFill/>
        </a:ln>
      </c:spPr>
    </c:title>
    <c:autoTitleDeleted val="0"/>
    <c:plotArea>
      <c:barChart>
        <c:barDir val="col"/>
        <c:grouping val="clustered"/>
        <c:varyColors val="0"/>
        <c:ser>
          <c:idx val="0"/>
          <c:order val="0"/>
          <c:tx>
            <c:strRef>
              <c:f>'H-07 Histogram and Box Plot'!E110</c:f>
              <c:strCache>
                <c:ptCount val="1"/>
                <c:pt idx="0">
                  <c:v>Frequency</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'H-07 Histogram and Box Plot'!$B$111:$B$122</c:f>
              <c:strCache>
                <c:ptCount val="12"/>
                <c:pt idx="0">
                  <c:v>500.5 to 501.0</c:v>
                </c:pt>
                <c:pt idx="1">
                  <c:v>501.0 to 501.5</c:v>
                </c:pt>
                <c:pt idx="2">
                  <c:v>501.5 to 502.0</c:v>
                </c:pt>
                <c:pt idx="3">
                  <c:v>502.0 to 502.5</c:v>
                </c:pt>
                <c:pt idx="4">
                  <c:v>502.5 to 503.0</c:v>
                </c:pt>
                <c:pt idx="5">
                  <c:v>503.0 to 503.5</c:v>
                </c:pt>
                <c:pt idx="6">
                  <c:v>503.5 to 504.0</c:v>
                </c:pt>
                <c:pt idx="7">
                  <c:v>504.0 to 504.5</c:v>
                </c:pt>
                <c:pt idx="8">
                  <c:v>504.5 to 505.0</c:v>
                </c:pt>
                <c:pt idx="9">
                  <c:v>505.0 to 505.5</c:v>
                </c:pt>
                <c:pt idx="10">
                  <c:v>505.5 to 506.0</c:v>
                </c:pt>
                <c:pt idx="11">
                  <c:v>506.0 to 506.5</c:v>
                </c:pt>
              </c:strCache>
            </c:strRef>
          </c:cat>
          <c:val>
            <c:numRef>
              <c:f>'H-07 Histogram and Box Plot'!$E$111:$E$122</c:f>
              <c:numCache>
                <c:formatCode>0</c:formatCode>
                <c:ptCount val="12"/>
                <c:pt idx="0">
                  <c:v>0</c:v>
                </c:pt>
                <c:pt idx="1">
                  <c:v>2</c:v>
                </c:pt>
                <c:pt idx="2">
                  <c:v>5</c:v>
                </c:pt>
                <c:pt idx="3">
                  <c:v>10</c:v>
                </c:pt>
                <c:pt idx="4">
                  <c:v>12</c:v>
                </c:pt>
                <c:pt idx="5">
                  <c:v>9</c:v>
                </c:pt>
                <c:pt idx="6">
                  <c:v>5</c:v>
                </c:pt>
                <c:pt idx="7">
                  <c:v>3</c:v>
                </c:pt>
                <c:pt idx="8">
                  <c:v>4</c:v>
                </c:pt>
                <c:pt idx="9">
                  <c:v>3</c:v>
                </c:pt>
                <c:pt idx="10">
                  <c:v>4</c:v>
                </c:pt>
                <c:pt idx="11">
                  <c:v>3</c:v>
                </c:pt>
              </c:numCache>
            </c:numRef>
          </c:val>
        </c:ser>
        <c:gapWidth val="5"/>
        <c:overlap val="0"/>
        <c:axId val="56450900"/>
        <c:axId val="32578901"/>
      </c:barChart>
      <c:catAx>
        <c:axId val="5645090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Bin (ml)</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2578901"/>
        <c:crosses val="autoZero"/>
        <c:auto val="1"/>
        <c:lblAlgn val="ctr"/>
        <c:lblOffset val="100"/>
        <c:noMultiLvlLbl val="0"/>
      </c:catAx>
      <c:valAx>
        <c:axId val="3257890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Frequency</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6450900"/>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Box plot approximation by shift (stacked: lower whisker, Q1-median, median-Q3, upper whisker)</a:t>
            </a:r>
          </a:p>
        </c:rich>
      </c:tx>
      <c:overlay val="0"/>
      <c:spPr>
        <a:noFill/>
        <a:ln w="0">
          <a:noFill/>
        </a:ln>
      </c:spPr>
    </c:title>
    <c:autoTitleDeleted val="0"/>
    <c:plotArea>
      <c:barChart>
        <c:barDir val="bar"/>
        <c:grouping val="stacked"/>
        <c:varyColors val="0"/>
        <c:ser>
          <c:idx val="0"/>
          <c:order val="0"/>
          <c:tx>
            <c:strRef>
              <c:f>'H-07 Histogram and Box Plot'!C125</c:f>
              <c:strCache>
                <c:ptCount val="1"/>
                <c:pt idx="0">
                  <c:v>Base (minimum)</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'H-07 Histogram and Box Plot'!$B$126:$B$129</c:f>
              <c:strCache>
                <c:ptCount val="4"/>
                <c:pt idx="0">
                  <c:v>Shift A</c:v>
                </c:pt>
                <c:pt idx="1">
                  <c:v>Shift B</c:v>
                </c:pt>
                <c:pt idx="2">
                  <c:v>Shift C</c:v>
                </c:pt>
                <c:pt idx="3">
                  <c:v>Shift D</c:v>
                </c:pt>
              </c:strCache>
            </c:strRef>
          </c:cat>
          <c:val>
            <c:numRef>
              <c:f>'H-07 Histogram and Box Plot'!$C$126:$C$129</c:f>
              <c:numCache>
                <c:formatCode>0.00</c:formatCode>
                <c:ptCount val="4"/>
                <c:pt idx="0">
                  <c:v>501.2</c:v>
                </c:pt>
                <c:pt idx="1">
                  <c:v>501.4</c:v>
                </c:pt>
                <c:pt idx="2">
                  <c:v>504.3</c:v>
                </c:pt>
                <c:pt idx="3">
                  <c:v>502.1</c:v>
                </c:pt>
              </c:numCache>
            </c:numRef>
          </c:val>
        </c:ser>
        <c:ser>
          <c:idx val="1"/>
          <c:order val="1"/>
          <c:tx>
            <c:strRef>
              <c:f>'H-07 Histogram and Box Plot'!D125</c:f>
              <c:strCache>
                <c:ptCount val="1"/>
                <c:pt idx="0">
                  <c:v>Min to Q1</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'H-07 Histogram and Box Plot'!$B$126:$B$129</c:f>
              <c:strCache>
                <c:ptCount val="4"/>
                <c:pt idx="0">
                  <c:v>Shift A</c:v>
                </c:pt>
                <c:pt idx="1">
                  <c:v>Shift B</c:v>
                </c:pt>
                <c:pt idx="2">
                  <c:v>Shift C</c:v>
                </c:pt>
                <c:pt idx="3">
                  <c:v>Shift D</c:v>
                </c:pt>
              </c:strCache>
            </c:strRef>
          </c:cat>
          <c:val>
            <c:numRef>
              <c:f>'H-07 Histogram and Box Plot'!$D$126:$D$129</c:f>
              <c:numCache>
                <c:formatCode>0.00</c:formatCode>
                <c:ptCount val="4"/>
                <c:pt idx="0">
                  <c:v>1.09999999999997</c:v>
                </c:pt>
                <c:pt idx="1">
                  <c:v>0.550000000000011</c:v>
                </c:pt>
                <c:pt idx="2">
                  <c:v>0.550000000000011</c:v>
                </c:pt>
                <c:pt idx="3">
                  <c:v>0.349999999999966</c:v>
                </c:pt>
              </c:numCache>
            </c:numRef>
          </c:val>
        </c:ser>
        <c:ser>
          <c:idx val="2"/>
          <c:order val="2"/>
          <c:tx>
            <c:strRef>
              <c:f>'H-07 Histogram and Box Plot'!E125</c:f>
              <c:strCache>
                <c:ptCount val="1"/>
                <c:pt idx="0">
                  <c:v>Q1 to median</c:v>
                </c:pt>
              </c:strCache>
            </c:strRef>
          </c:tx>
          <c:spPr>
            <a:solidFill>
              <a:srgbClr val="9BBB59"/>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'H-07 Histogram and Box Plot'!$B$126:$B$129</c:f>
              <c:strCache>
                <c:ptCount val="4"/>
                <c:pt idx="0">
                  <c:v>Shift A</c:v>
                </c:pt>
                <c:pt idx="1">
                  <c:v>Shift B</c:v>
                </c:pt>
                <c:pt idx="2">
                  <c:v>Shift C</c:v>
                </c:pt>
                <c:pt idx="3">
                  <c:v>Shift D</c:v>
                </c:pt>
              </c:strCache>
            </c:strRef>
          </c:cat>
          <c:val>
            <c:numRef>
              <c:f>'H-07 Histogram and Box Plot'!$E$126:$E$129</c:f>
              <c:numCache>
                <c:formatCode>0.00</c:formatCode>
                <c:ptCount val="4"/>
                <c:pt idx="0">
                  <c:v>0.600000000000023</c:v>
                </c:pt>
                <c:pt idx="1">
                  <c:v>0.350000000000023</c:v>
                </c:pt>
                <c:pt idx="2">
                  <c:v>0.449999999999989</c:v>
                </c:pt>
                <c:pt idx="3">
                  <c:v>0.350000000000023</c:v>
                </c:pt>
              </c:numCache>
            </c:numRef>
          </c:val>
        </c:ser>
        <c:ser>
          <c:idx val="3"/>
          <c:order val="3"/>
          <c:tx>
            <c:strRef>
              <c:f>'H-07 Histogram and Box Plot'!F125</c:f>
              <c:strCache>
                <c:ptCount val="1"/>
                <c:pt idx="0">
                  <c:v>Median to Q3</c:v>
                </c:pt>
              </c:strCache>
            </c:strRef>
          </c:tx>
          <c:spPr>
            <a:solidFill>
              <a:srgbClr val="8064A2"/>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'H-07 Histogram and Box Plot'!$B$126:$B$129</c:f>
              <c:strCache>
                <c:ptCount val="4"/>
                <c:pt idx="0">
                  <c:v>Shift A</c:v>
                </c:pt>
                <c:pt idx="1">
                  <c:v>Shift B</c:v>
                </c:pt>
                <c:pt idx="2">
                  <c:v>Shift C</c:v>
                </c:pt>
                <c:pt idx="3">
                  <c:v>Shift D</c:v>
                </c:pt>
              </c:strCache>
            </c:strRef>
          </c:cat>
          <c:val>
            <c:numRef>
              <c:f>'H-07 Histogram and Box Plot'!$F$126:$F$129</c:f>
              <c:numCache>
                <c:formatCode>0.00</c:formatCode>
                <c:ptCount val="4"/>
                <c:pt idx="0">
                  <c:v>0.600000000000023</c:v>
                </c:pt>
                <c:pt idx="1">
                  <c:v>0.550000000000011</c:v>
                </c:pt>
                <c:pt idx="2">
                  <c:v>0.550000000000011</c:v>
                </c:pt>
                <c:pt idx="3">
                  <c:v>0.349999999999966</c:v>
                </c:pt>
              </c:numCache>
            </c:numRef>
          </c:val>
        </c:ser>
        <c:ser>
          <c:idx val="4"/>
          <c:order val="4"/>
          <c:tx>
            <c:strRef>
              <c:f>'H-07 Histogram and Box Plot'!G125</c:f>
              <c:strCache>
                <c:ptCount val="1"/>
                <c:pt idx="0">
                  <c:v>Q3 to maximum</c:v>
                </c:pt>
              </c:strCache>
            </c:strRef>
          </c:tx>
          <c:spPr>
            <a:solidFill>
              <a:srgbClr val="4BACC6"/>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'H-07 Histogram and Box Plot'!$B$126:$B$129</c:f>
              <c:strCache>
                <c:ptCount val="4"/>
                <c:pt idx="0">
                  <c:v>Shift A</c:v>
                </c:pt>
                <c:pt idx="1">
                  <c:v>Shift B</c:v>
                </c:pt>
                <c:pt idx="2">
                  <c:v>Shift C</c:v>
                </c:pt>
                <c:pt idx="3">
                  <c:v>Shift D</c:v>
                </c:pt>
              </c:strCache>
            </c:strRef>
          </c:cat>
          <c:val>
            <c:numRef>
              <c:f>'H-07 Histogram and Box Plot'!$G$126:$G$129</c:f>
              <c:numCache>
                <c:formatCode>0.00</c:formatCode>
                <c:ptCount val="4"/>
                <c:pt idx="0">
                  <c:v>1</c:v>
                </c:pt>
                <c:pt idx="1">
                  <c:v>0.949999999999989</c:v>
                </c:pt>
                <c:pt idx="2">
                  <c:v>0.549999999999955</c:v>
                </c:pt>
                <c:pt idx="3">
                  <c:v>0.550000000000011</c:v>
                </c:pt>
              </c:numCache>
            </c:numRef>
          </c:val>
        </c:ser>
        <c:gapWidth val="150"/>
        <c:overlap val="100"/>
        <c:axId val="53605154"/>
        <c:axId val="69400777"/>
      </c:barChart>
      <c:catAx>
        <c:axId val="53605154"/>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Fill volume (ml)</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9400777"/>
        <c:crosses val="autoZero"/>
        <c:auto val="1"/>
        <c:lblAlgn val="ctr"/>
        <c:lblOffset val="100"/>
        <c:noMultiLvlLbl val="0"/>
      </c:catAx>
      <c:valAx>
        <c:axId val="69400777"/>
        <c:scaling>
          <c:orientation val="minMax"/>
        </c:scaling>
        <c:delete val="0"/>
        <c:axPos val="l"/>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360515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Run chart — observations in time order, with the median</a:t>
            </a:r>
          </a:p>
        </c:rich>
      </c:tx>
      <c:overlay val="0"/>
      <c:spPr>
        <a:noFill/>
        <a:ln w="0">
          <a:noFill/>
        </a:ln>
      </c:spPr>
    </c:title>
    <c:autoTitleDeleted val="0"/>
    <c:plotArea>
      <c:lineChart>
        <c:grouping val="standard"/>
        <c:varyColors val="0"/>
        <c:ser>
          <c:idx val="0"/>
          <c:order val="0"/>
          <c:tx>
            <c:strRef>
              <c:f>'H-08 Run Chart'!D72</c:f>
              <c:strCache>
                <c:ptCount val="1"/>
                <c:pt idx="0">
                  <c:v>Changeover time (min)</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'H-08 Run Chart'!$B$73:$B$102</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'H-08 Run Chart'!$D$73:$D$102</c:f>
              <c:numCache>
                <c:formatCode>0</c:formatCode>
                <c:ptCount val="30"/>
                <c:pt idx="0">
                  <c:v>188</c:v>
                </c:pt>
                <c:pt idx="1">
                  <c:v>195</c:v>
                </c:pt>
                <c:pt idx="2">
                  <c:v>201</c:v>
                </c:pt>
                <c:pt idx="3">
                  <c:v>187</c:v>
                </c:pt>
                <c:pt idx="4">
                  <c:v>199</c:v>
                </c:pt>
                <c:pt idx="5">
                  <c:v>192</c:v>
                </c:pt>
                <c:pt idx="6">
                  <c:v>205</c:v>
                </c:pt>
                <c:pt idx="7">
                  <c:v>196</c:v>
                </c:pt>
                <c:pt idx="8">
                  <c:v>190</c:v>
                </c:pt>
                <c:pt idx="9">
                  <c:v>198</c:v>
                </c:pt>
                <c:pt idx="10">
                  <c:v>193</c:v>
                </c:pt>
                <c:pt idx="11">
                  <c:v>202</c:v>
                </c:pt>
                <c:pt idx="12">
                  <c:v>186</c:v>
                </c:pt>
                <c:pt idx="13">
                  <c:v>197</c:v>
                </c:pt>
                <c:pt idx="14">
                  <c:v>191</c:v>
                </c:pt>
                <c:pt idx="15">
                  <c:v>194</c:v>
                </c:pt>
                <c:pt idx="16">
                  <c:v>200</c:v>
                </c:pt>
                <c:pt idx="17">
                  <c:v>189</c:v>
                </c:pt>
                <c:pt idx="18">
                  <c:v>196</c:v>
                </c:pt>
                <c:pt idx="19">
                  <c:v>203</c:v>
                </c:pt>
                <c:pt idx="20">
                  <c:v>72</c:v>
                </c:pt>
                <c:pt idx="21">
                  <c:v>65</c:v>
                </c:pt>
                <c:pt idx="22">
                  <c:v>58</c:v>
                </c:pt>
                <c:pt idx="23">
                  <c:v>61</c:v>
                </c:pt>
                <c:pt idx="24">
                  <c:v>55</c:v>
                </c:pt>
                <c:pt idx="25">
                  <c:v>63</c:v>
                </c:pt>
                <c:pt idx="26">
                  <c:v>57</c:v>
                </c:pt>
                <c:pt idx="27">
                  <c:v>60</c:v>
                </c:pt>
                <c:pt idx="28">
                  <c:v>54</c:v>
                </c:pt>
                <c:pt idx="29">
                  <c:v>59</c:v>
                </c:pt>
              </c:numCache>
            </c:numRef>
          </c:val>
          <c:smooth val="1"/>
        </c:ser>
        <c:ser>
          <c:idx val="1"/>
          <c:order val="1"/>
          <c:tx>
            <c:strRef>
              <c:f>'H-08 Run Chart'!E72</c:f>
              <c:strCache>
                <c:ptCount val="1"/>
                <c:pt idx="0">
                  <c:v>Median (constant)</c:v>
                </c:pt>
              </c:strCache>
            </c:strRef>
          </c:tx>
          <c:spPr>
            <a:solidFill>
              <a:srgbClr val="FFFFFF"/>
            </a:solidFill>
            <a:ln w="0">
              <a:solidFill>
                <a:srgbClr val="FFFFFF"/>
              </a:solidFill>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'H-08 Run Chart'!$B$73:$B$102</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'H-08 Run Chart'!$E$73:$E$102</c:f>
              <c:numCache>
                <c:formatCode>0.0</c:formatCode>
                <c:ptCount val="30"/>
                <c:pt idx="0">
                  <c:v>190.5</c:v>
                </c:pt>
                <c:pt idx="1">
                  <c:v>190.5</c:v>
                </c:pt>
                <c:pt idx="2">
                  <c:v>190.5</c:v>
                </c:pt>
                <c:pt idx="3">
                  <c:v>190.5</c:v>
                </c:pt>
                <c:pt idx="4">
                  <c:v>190.5</c:v>
                </c:pt>
                <c:pt idx="5">
                  <c:v>190.5</c:v>
                </c:pt>
                <c:pt idx="6">
                  <c:v>190.5</c:v>
                </c:pt>
                <c:pt idx="7">
                  <c:v>190.5</c:v>
                </c:pt>
                <c:pt idx="8">
                  <c:v>190.5</c:v>
                </c:pt>
                <c:pt idx="9">
                  <c:v>190.5</c:v>
                </c:pt>
                <c:pt idx="10">
                  <c:v>190.5</c:v>
                </c:pt>
                <c:pt idx="11">
                  <c:v>190.5</c:v>
                </c:pt>
                <c:pt idx="12">
                  <c:v>190.5</c:v>
                </c:pt>
                <c:pt idx="13">
                  <c:v>190.5</c:v>
                </c:pt>
                <c:pt idx="14">
                  <c:v>190.5</c:v>
                </c:pt>
                <c:pt idx="15">
                  <c:v>190.5</c:v>
                </c:pt>
                <c:pt idx="16">
                  <c:v>190.5</c:v>
                </c:pt>
                <c:pt idx="17">
                  <c:v>190.5</c:v>
                </c:pt>
                <c:pt idx="18">
                  <c:v>190.5</c:v>
                </c:pt>
                <c:pt idx="19">
                  <c:v>190.5</c:v>
                </c:pt>
                <c:pt idx="20">
                  <c:v>190.5</c:v>
                </c:pt>
                <c:pt idx="21">
                  <c:v>190.5</c:v>
                </c:pt>
                <c:pt idx="22">
                  <c:v>190.5</c:v>
                </c:pt>
                <c:pt idx="23">
                  <c:v>190.5</c:v>
                </c:pt>
                <c:pt idx="24">
                  <c:v>190.5</c:v>
                </c:pt>
                <c:pt idx="25">
                  <c:v>190.5</c:v>
                </c:pt>
                <c:pt idx="26">
                  <c:v>190.5</c:v>
                </c:pt>
                <c:pt idx="27">
                  <c:v>190.5</c:v>
                </c:pt>
                <c:pt idx="28">
                  <c:v>190.5</c:v>
                </c:pt>
                <c:pt idx="29">
                  <c:v>190.5</c:v>
                </c:pt>
              </c:numCache>
            </c:numRef>
          </c:val>
          <c:smooth val="1"/>
        </c:ser>
        <c:hiLowLines>
          <c:spPr>
            <a:ln w="0">
              <a:noFill/>
            </a:ln>
          </c:spPr>
        </c:hiLowLines>
        <c:marker val="0"/>
        <c:axId val="52140228"/>
        <c:axId val="76472315"/>
      </c:lineChart>
      <c:catAx>
        <c:axId val="52140228"/>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Observation number (time order)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6472315"/>
        <c:crosses val="autoZero"/>
        <c:auto val="1"/>
        <c:lblAlgn val="ctr"/>
        <c:lblOffset val="100"/>
        <c:noMultiLvlLbl val="0"/>
      </c:catAx>
      <c:valAx>
        <c:axId val="7647231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Changeover time (min)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2140228"/>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Project Gantt — offset from project start (invisible) plus duration</a:t>
            </a:r>
          </a:p>
        </c:rich>
      </c:tx>
      <c:overlay val="0"/>
      <c:spPr>
        <a:noFill/>
        <a:ln w="0">
          <a:noFill/>
        </a:ln>
      </c:spPr>
    </c:title>
    <c:autoTitleDeleted val="0"/>
    <c:plotArea>
      <c:barChart>
        <c:barDir val="bar"/>
        <c:grouping val="stacked"/>
        <c:varyColors val="0"/>
        <c:ser>
          <c:idx val="0"/>
          <c:order val="0"/>
          <c:tx>
            <c:strRef>
              <c:f>'G-08 Schedule and CPM'!C138</c:f>
              <c:strCache>
                <c:ptCount val="1"/>
                <c:pt idx="0">
                  <c:v>Offset from project start (invisible bar)</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'G-08 Schedule and CPM'!$B$139:$B$151</c:f>
              <c:strCache>
                <c:ptCount val="13"/>
                <c:pt idx="0">
                  <c:v>A  Charter approved and team formed</c:v>
                </c:pt>
                <c:pt idx="1">
                  <c:v>B  Data collection plan and MSA</c:v>
                </c:pt>
                <c:pt idx="2">
                  <c:v>C  Baseline data collection</c:v>
                </c:pt>
                <c:pt idx="3">
                  <c:v>D  Baseline capability analysis</c:v>
                </c:pt>
                <c:pt idx="4">
                  <c:v>E  Stratification and root cause analysis</c:v>
                </c:pt>
                <c:pt idx="5">
                  <c:v>F  Verify causes with data</c:v>
                </c:pt>
                <c:pt idx="6">
                  <c:v>H  Solution selection workshop</c:v>
                </c:pt>
                <c:pt idx="7">
                  <c:v>I  Pilot design and sample size</c:v>
                </c:pt>
                <c:pt idx="8">
                  <c:v>J  Pilot execution</c:v>
                </c:pt>
                <c:pt idx="9">
                  <c:v>K  Confirmation analysis</c:v>
                </c:pt>
                <c:pt idx="10">
                  <c:v>L  Standard work and training</c:v>
                </c:pt>
                <c:pt idx="11">
                  <c:v>M  Control plan and handover</c:v>
                </c:pt>
                <c:pt idx="12">
                  <c:v>N  Benefit validation and closure</c:v>
                </c:pt>
              </c:strCache>
            </c:strRef>
          </c:cat>
          <c:val>
            <c:numRef>
              <c:f>'G-08 Schedule and CPM'!$C$139:$C$151</c:f>
              <c:numCache>
                <c:formatCode>0.0</c:formatCode>
                <c:ptCount val="13"/>
                <c:pt idx="0">
                  <c:v>0</c:v>
                </c:pt>
                <c:pt idx="1">
                  <c:v>5.33333333333333</c:v>
                </c:pt>
                <c:pt idx="2">
                  <c:v>15.8333333333333</c:v>
                </c:pt>
                <c:pt idx="3">
                  <c:v>36.6666666666667</c:v>
                </c:pt>
                <c:pt idx="4">
                  <c:v>40</c:v>
                </c:pt>
                <c:pt idx="5">
                  <c:v>52.6666666666667</c:v>
                </c:pt>
                <c:pt idx="6">
                  <c:v>63</c:v>
                </c:pt>
                <c:pt idx="7">
                  <c:v>65</c:v>
                </c:pt>
                <c:pt idx="8">
                  <c:v>68.1666666666667</c:v>
                </c:pt>
                <c:pt idx="9">
                  <c:v>96.8333333333333</c:v>
                </c:pt>
                <c:pt idx="10">
                  <c:v>102</c:v>
                </c:pt>
                <c:pt idx="11">
                  <c:v>108.333333333333</c:v>
                </c:pt>
                <c:pt idx="12">
                  <c:v>113.5</c:v>
                </c:pt>
              </c:numCache>
            </c:numRef>
          </c:val>
        </c:ser>
        <c:ser>
          <c:idx val="1"/>
          <c:order val="1"/>
          <c:tx>
            <c:strRef>
              <c:f>'G-08 Schedule and CPM'!D138</c:f>
              <c:strCache>
                <c:ptCount val="1"/>
                <c:pt idx="0">
                  <c:v>Duration (visible bar)</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'G-08 Schedule and CPM'!$B$139:$B$151</c:f>
              <c:strCache>
                <c:ptCount val="13"/>
                <c:pt idx="0">
                  <c:v>A  Charter approved and team formed</c:v>
                </c:pt>
                <c:pt idx="1">
                  <c:v>B  Data collection plan and MSA</c:v>
                </c:pt>
                <c:pt idx="2">
                  <c:v>C  Baseline data collection</c:v>
                </c:pt>
                <c:pt idx="3">
                  <c:v>D  Baseline capability analysis</c:v>
                </c:pt>
                <c:pt idx="4">
                  <c:v>E  Stratification and root cause analysis</c:v>
                </c:pt>
                <c:pt idx="5">
                  <c:v>F  Verify causes with data</c:v>
                </c:pt>
                <c:pt idx="6">
                  <c:v>H  Solution selection workshop</c:v>
                </c:pt>
                <c:pt idx="7">
                  <c:v>I  Pilot design and sample size</c:v>
                </c:pt>
                <c:pt idx="8">
                  <c:v>J  Pilot execution</c:v>
                </c:pt>
                <c:pt idx="9">
                  <c:v>K  Confirmation analysis</c:v>
                </c:pt>
                <c:pt idx="10">
                  <c:v>L  Standard work and training</c:v>
                </c:pt>
                <c:pt idx="11">
                  <c:v>M  Control plan and handover</c:v>
                </c:pt>
                <c:pt idx="12">
                  <c:v>N  Benefit validation and closure</c:v>
                </c:pt>
              </c:strCache>
            </c:strRef>
          </c:cat>
          <c:val>
            <c:numRef>
              <c:f>'G-08 Schedule and CPM'!$D$139:$D$151</c:f>
              <c:numCache>
                <c:formatCode>0.0</c:formatCode>
                <c:ptCount val="13"/>
                <c:pt idx="0">
                  <c:v>5.33333333333333</c:v>
                </c:pt>
                <c:pt idx="1">
                  <c:v>10.5</c:v>
                </c:pt>
                <c:pt idx="2">
                  <c:v>20.8333333333333</c:v>
                </c:pt>
                <c:pt idx="3">
                  <c:v>3.33333333333333</c:v>
                </c:pt>
                <c:pt idx="4">
                  <c:v>12.6666666666667</c:v>
                </c:pt>
                <c:pt idx="5">
                  <c:v>10.3333333333333</c:v>
                </c:pt>
                <c:pt idx="6">
                  <c:v>2</c:v>
                </c:pt>
                <c:pt idx="7">
                  <c:v>3.16666666666667</c:v>
                </c:pt>
                <c:pt idx="8">
                  <c:v>28.6666666666667</c:v>
                </c:pt>
                <c:pt idx="9">
                  <c:v>5.16666666666667</c:v>
                </c:pt>
                <c:pt idx="10">
                  <c:v>6.33333333333333</c:v>
                </c:pt>
                <c:pt idx="11">
                  <c:v>5.16666666666667</c:v>
                </c:pt>
                <c:pt idx="12">
                  <c:v>8.16666666666667</c:v>
                </c:pt>
              </c:numCache>
            </c:numRef>
          </c:val>
        </c:ser>
        <c:gapWidth val="150"/>
        <c:overlap val="100"/>
        <c:axId val="40948240"/>
        <c:axId val="69331260"/>
      </c:barChart>
      <c:catAx>
        <c:axId val="40948240"/>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Days from project start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9331260"/>
        <c:crosses val="autoZero"/>
        <c:auto val="1"/>
        <c:lblAlgn val="ctr"/>
        <c:lblOffset val="100"/>
        <c:noMultiLvlLbl val="0"/>
      </c:catAx>
      <c:valAx>
        <c:axId val="69331260"/>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Task</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094824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_rels/drawing6.xml.rels><?xml version="1.0" encoding="UTF-8"?>
<Relationships xmlns="http://schemas.openxmlformats.org/package/2006/relationships"><Relationship Id="rId1" Type="http://schemas.openxmlformats.org/officeDocument/2006/relationships/chart" Target="../charts/chart6.xml"/>
</Relationships>
</file>

<file path=xl/drawings/_rels/drawing7.xml.rels><?xml version="1.0" encoding="UTF-8"?>
<Relationships xmlns="http://schemas.openxmlformats.org/package/2006/relationships"><Relationship Id="rId1" Type="http://schemas.openxmlformats.org/officeDocument/2006/relationships/chart" Target="../charts/chart7.xml"/>
</Relationships>
</file>

<file path=xl/drawings/_rels/drawing8.xml.rels><?xml version="1.0" encoding="UTF-8"?>
<Relationships xmlns="http://schemas.openxmlformats.org/package/2006/relationships"><Relationship Id="rId1" Type="http://schemas.openxmlformats.org/officeDocument/2006/relationships/chart" Target="../charts/chart8.xml"/>
</Relationships>
</file>

<file path=xl/drawings/_rels/drawing9.xml.rels><?xml version="1.0" encoding="UTF-8"?>
<Relationships xmlns="http://schemas.openxmlformats.org/package/2006/relationships"><Relationship Id="rId1" Type="http://schemas.openxmlformats.org/officeDocument/2006/relationships/chart" Target="../charts/chart9.xml"/>
</Relationships>
</file>

<file path=xl/drawings/_rels/drawing10.xml.rels><?xml version="1.0" encoding="UTF-8"?>
<Relationships xmlns="http://schemas.openxmlformats.org/package/2006/relationships"><Relationship Id="rId1" Type="http://schemas.openxmlformats.org/officeDocument/2006/relationships/chart" Target="../charts/chart10.xml"/>
</Relationships>
</file>

<file path=xl/drawings/_rels/drawing11.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
</Relationships>
</file>

<file path=xl/drawings/_rels/drawing12.xml.rels><?xml version="1.0" encoding="UTF-8"?>
<Relationships xmlns="http://schemas.openxmlformats.org/package/2006/relationships"><Relationship Id="rId1" Type="http://schemas.openxmlformats.org/officeDocument/2006/relationships/chart" Target="../charts/chart15.xml"/>
</Relationships>
</file>

<file path=xl/drawings/_rels/drawing13.xml.rels><?xml version="1.0" encoding="UTF-8"?>
<Relationships xmlns="http://schemas.openxmlformats.org/package/2006/relationships"><Relationship Id="rId1" Type="http://schemas.openxmlformats.org/officeDocument/2006/relationships/chart" Target="../charts/chart16.xml"/>
</Relationships>
</file>

<file path=xl/drawings/_rels/drawing14.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
</Relationships>
</file>

<file path=xl/drawings/_rels/drawing15.xml.rels><?xml version="1.0" encoding="UTF-8"?>
<Relationships xmlns="http://schemas.openxmlformats.org/package/2006/relationships"><Relationship Id="rId1" Type="http://schemas.openxmlformats.org/officeDocument/2006/relationships/chart" Target="../charts/chart19.xml"/>
</Relationships>
</file>

<file path=xl/drawings/_rels/drawing16.xml.rels><?xml version="1.0" encoding="UTF-8"?>
<Relationships xmlns="http://schemas.openxmlformats.org/package/2006/relationships"><Relationship Id="rId1" Type="http://schemas.openxmlformats.org/officeDocument/2006/relationships/chart" Target="../charts/chart20.xml"/>
</Relationships>
</file>

<file path=xl/drawings/_rels/drawing17.xml.rels><?xml version="1.0" encoding="UTF-8"?>
<Relationships xmlns="http://schemas.openxmlformats.org/package/2006/relationships"><Relationship Id="rId1" Type="http://schemas.openxmlformats.org/officeDocument/2006/relationships/chart" Target="../charts/chart21.xml"/>
</Relationships>
</file>

<file path=xl/drawings/_rels/drawing18.xml.rels><?xml version="1.0" encoding="UTF-8"?>
<Relationships xmlns="http://schemas.openxmlformats.org/package/2006/relationships"><Relationship Id="rId1" Type="http://schemas.openxmlformats.org/officeDocument/2006/relationships/chart" Target="../charts/chart22.xml"/>
</Relationships>
</file>

<file path=xl/drawings/_rels/drawing19.xml.rels><?xml version="1.0" encoding="UTF-8"?>
<Relationships xmlns="http://schemas.openxmlformats.org/package/2006/relationships"><Relationship Id="rId1" Type="http://schemas.openxmlformats.org/officeDocument/2006/relationships/chart" Target="../charts/chart23.xml"/>
</Relationships>
</file>

<file path=xl/drawings/_rels/drawing20.xml.rels><?xml version="1.0" encoding="UTF-8"?>
<Relationships xmlns="http://schemas.openxmlformats.org/package/2006/relationships"><Relationship Id="rId1" Type="http://schemas.openxmlformats.org/officeDocument/2006/relationships/chart" Target="../charts/chart24.xml"/>
</Relationships>
</file>

<file path=xl/drawings/_rels/drawing21.xml.rels><?xml version="1.0" encoding="UTF-8"?>
<Relationships xmlns="http://schemas.openxmlformats.org/package/2006/relationships"><Relationship Id="rId1" Type="http://schemas.openxmlformats.org/officeDocument/2006/relationships/chart" Target="../charts/chart25.xml"/>
</Relationships>
</file>

<file path=xl/drawings/_rels/drawing22.xml.rels><?xml version="1.0" encoding="UTF-8"?>
<Relationships xmlns="http://schemas.openxmlformats.org/package/2006/relationships"><Relationship Id="rId1" Type="http://schemas.openxmlformats.org/officeDocument/2006/relationships/chart" Target="../charts/chart26.xml"/>
</Relationships>
</file>

<file path=xl/drawings/_rels/drawing23.xml.rels><?xml version="1.0" encoding="UTF-8"?>
<Relationships xmlns="http://schemas.openxmlformats.org/package/2006/relationships"><Relationship Id="rId1" Type="http://schemas.openxmlformats.org/officeDocument/2006/relationships/chart" Target="../charts/chart27.xml"/>
</Relationships>
</file>

<file path=xl/drawings/_rels/drawing24.xml.rels><?xml version="1.0" encoding="UTF-8"?>
<Relationships xmlns="http://schemas.openxmlformats.org/package/2006/relationships"><Relationship Id="rId1" Type="http://schemas.openxmlformats.org/officeDocument/2006/relationships/chart" Target="../charts/chart28.xml"/>
</Relationships>
</file>

<file path=xl/drawings/_rels/drawing25.xml.rels><?xml version="1.0" encoding="UTF-8"?>
<Relationships xmlns="http://schemas.openxmlformats.org/package/2006/relationships"><Relationship Id="rId1" Type="http://schemas.openxmlformats.org/officeDocument/2006/relationships/chart" Target="../charts/chart29.xml"/>
</Relationships>
</file>

<file path=xl/drawings/_rels/drawing26.xml.rels><?xml version="1.0" encoding="UTF-8"?>
<Relationships xmlns="http://schemas.openxmlformats.org/package/2006/relationships"><Relationship Id="rId1" Type="http://schemas.openxmlformats.org/officeDocument/2006/relationships/chart" Target="../charts/chart30.xml"/>
</Relationships>
</file>

<file path=xl/drawings/_rels/drawing27.xml.rels><?xml version="1.0" encoding="UTF-8"?>
<Relationships xmlns="http://schemas.openxmlformats.org/package/2006/relationships"><Relationship Id="rId1" Type="http://schemas.openxmlformats.org/officeDocument/2006/relationships/chart" Target="../charts/chart31.xml"/>
</Relationships>
</file>

<file path=xl/drawings/_rels/drawing28.xml.rels><?xml version="1.0" encoding="UTF-8"?>
<Relationships xmlns="http://schemas.openxmlformats.org/package/2006/relationships"><Relationship Id="rId1" Type="http://schemas.openxmlformats.org/officeDocument/2006/relationships/chart" Target="../charts/chart32.xml"/>
</Relationships>
</file>

<file path=xl/drawings/_rels/drawing29.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chart" Target="../charts/chart34.xml"/>
</Relationships>
</file>

<file path=xl/drawings/_rels/drawing30.xml.rels><?xml version="1.0" encoding="UTF-8"?>
<Relationships xmlns="http://schemas.openxmlformats.org/package/2006/relationships"><Relationship Id="rId1" Type="http://schemas.openxmlformats.org/officeDocument/2006/relationships/chart" Target="../charts/chart35.xml"/>
</Relationships>
</file>

<file path=xl/drawings/_rels/drawing31.xml.rels><?xml version="1.0" encoding="UTF-8"?>
<Relationships xmlns="http://schemas.openxmlformats.org/package/2006/relationships"><Relationship Id="rId1" Type="http://schemas.openxmlformats.org/officeDocument/2006/relationships/chart" Target="../charts/chart36.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88</xdr:row>
      <xdr:rowOff>147600</xdr:rowOff>
    </xdr:from>
    <xdr:to>
      <xdr:col>13</xdr:col>
      <xdr:colOff>5146200</xdr:colOff>
      <xdr:row>102</xdr:row>
      <xdr:rowOff>63000</xdr:rowOff>
    </xdr:to>
    <xdr:graphicFrame>
      <xdr:nvGraphicFramePr>
        <xdr:cNvPr id="1" name="Chart 1"/>
        <xdr:cNvGraphicFramePr/>
      </xdr:nvGraphicFramePr>
      <xdr:xfrm>
        <a:off x="21826800" y="21454920"/>
        <a:ext cx="5757120" cy="305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76</xdr:row>
      <xdr:rowOff>147600</xdr:rowOff>
    </xdr:from>
    <xdr:to>
      <xdr:col>13</xdr:col>
      <xdr:colOff>5146200</xdr:colOff>
      <xdr:row>90</xdr:row>
      <xdr:rowOff>158400</xdr:rowOff>
    </xdr:to>
    <xdr:graphicFrame>
      <xdr:nvGraphicFramePr>
        <xdr:cNvPr id="2" name="Chart 1"/>
        <xdr:cNvGraphicFramePr/>
      </xdr:nvGraphicFramePr>
      <xdr:xfrm>
        <a:off x="21826800" y="18273600"/>
        <a:ext cx="5757120" cy="287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0</xdr:colOff>
      <xdr:row>72</xdr:row>
      <xdr:rowOff>147240</xdr:rowOff>
    </xdr:from>
    <xdr:to>
      <xdr:col>30</xdr:col>
      <xdr:colOff>254160</xdr:colOff>
      <xdr:row>86</xdr:row>
      <xdr:rowOff>158040</xdr:rowOff>
    </xdr:to>
    <xdr:graphicFrame>
      <xdr:nvGraphicFramePr>
        <xdr:cNvPr id="3" name="Chart 1"/>
        <xdr:cNvGraphicFramePr/>
      </xdr:nvGraphicFramePr>
      <xdr:xfrm>
        <a:off x="33409800" y="20273400"/>
        <a:ext cx="5752080" cy="319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0</xdr:colOff>
      <xdr:row>89</xdr:row>
      <xdr:rowOff>166320</xdr:rowOff>
    </xdr:from>
    <xdr:to>
      <xdr:col>30</xdr:col>
      <xdr:colOff>254160</xdr:colOff>
      <xdr:row>100</xdr:row>
      <xdr:rowOff>81720</xdr:rowOff>
    </xdr:to>
    <xdr:graphicFrame>
      <xdr:nvGraphicFramePr>
        <xdr:cNvPr id="4" name="Chart 2"/>
        <xdr:cNvGraphicFramePr/>
      </xdr:nvGraphicFramePr>
      <xdr:xfrm>
        <a:off x="33409800" y="24083640"/>
        <a:ext cx="5752080" cy="34776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72</xdr:row>
      <xdr:rowOff>147240</xdr:rowOff>
    </xdr:from>
    <xdr:to>
      <xdr:col>13</xdr:col>
      <xdr:colOff>5146200</xdr:colOff>
      <xdr:row>86</xdr:row>
      <xdr:rowOff>158040</xdr:rowOff>
    </xdr:to>
    <xdr:graphicFrame>
      <xdr:nvGraphicFramePr>
        <xdr:cNvPr id="5" name="Chart 1"/>
        <xdr:cNvGraphicFramePr/>
      </xdr:nvGraphicFramePr>
      <xdr:xfrm>
        <a:off x="21826800" y="17520840"/>
        <a:ext cx="5757120" cy="287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80</xdr:row>
      <xdr:rowOff>147240</xdr:rowOff>
    </xdr:from>
    <xdr:to>
      <xdr:col>13</xdr:col>
      <xdr:colOff>5146200</xdr:colOff>
      <xdr:row>94</xdr:row>
      <xdr:rowOff>158040</xdr:rowOff>
    </xdr:to>
    <xdr:graphicFrame>
      <xdr:nvGraphicFramePr>
        <xdr:cNvPr id="6" name="Chart 1"/>
        <xdr:cNvGraphicFramePr/>
      </xdr:nvGraphicFramePr>
      <xdr:xfrm>
        <a:off x="21826800" y="19216440"/>
        <a:ext cx="5757120" cy="287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123</xdr:row>
      <xdr:rowOff>169560</xdr:rowOff>
    </xdr:from>
    <xdr:to>
      <xdr:col>13</xdr:col>
      <xdr:colOff>5146560</xdr:colOff>
      <xdr:row>137</xdr:row>
      <xdr:rowOff>86760</xdr:rowOff>
    </xdr:to>
    <xdr:graphicFrame>
      <xdr:nvGraphicFramePr>
        <xdr:cNvPr id="7" name="Chart 1"/>
        <xdr:cNvGraphicFramePr/>
      </xdr:nvGraphicFramePr>
      <xdr:xfrm>
        <a:off x="21826800" y="26973000"/>
        <a:ext cx="5757480" cy="3660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71</xdr:row>
      <xdr:rowOff>137520</xdr:rowOff>
    </xdr:from>
    <xdr:to>
      <xdr:col>13</xdr:col>
      <xdr:colOff>5146560</xdr:colOff>
      <xdr:row>87</xdr:row>
      <xdr:rowOff>165960</xdr:rowOff>
    </xdr:to>
    <xdr:graphicFrame>
      <xdr:nvGraphicFramePr>
        <xdr:cNvPr id="8" name="Chart 1"/>
        <xdr:cNvGraphicFramePr/>
      </xdr:nvGraphicFramePr>
      <xdr:xfrm>
        <a:off x="21826800" y="17711280"/>
        <a:ext cx="5757480" cy="3285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60</xdr:row>
      <xdr:rowOff>137880</xdr:rowOff>
    </xdr:from>
    <xdr:to>
      <xdr:col>13</xdr:col>
      <xdr:colOff>5146560</xdr:colOff>
      <xdr:row>77</xdr:row>
      <xdr:rowOff>137520</xdr:rowOff>
    </xdr:to>
    <xdr:graphicFrame>
      <xdr:nvGraphicFramePr>
        <xdr:cNvPr id="9" name="Chart 1"/>
        <xdr:cNvGraphicFramePr/>
      </xdr:nvGraphicFramePr>
      <xdr:xfrm>
        <a:off x="21826800" y="14320440"/>
        <a:ext cx="5757480" cy="327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61</xdr:row>
      <xdr:rowOff>137880</xdr:rowOff>
    </xdr:from>
    <xdr:to>
      <xdr:col>13</xdr:col>
      <xdr:colOff>5146560</xdr:colOff>
      <xdr:row>78</xdr:row>
      <xdr:rowOff>137520</xdr:rowOff>
    </xdr:to>
    <xdr:graphicFrame>
      <xdr:nvGraphicFramePr>
        <xdr:cNvPr id="10" name="Chart 1"/>
        <xdr:cNvGraphicFramePr/>
      </xdr:nvGraphicFramePr>
      <xdr:xfrm>
        <a:off x="21826800" y="14587200"/>
        <a:ext cx="5757480" cy="3314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63</xdr:row>
      <xdr:rowOff>137880</xdr:rowOff>
    </xdr:from>
    <xdr:to>
      <xdr:col>13</xdr:col>
      <xdr:colOff>4678200</xdr:colOff>
      <xdr:row>76</xdr:row>
      <xdr:rowOff>179640</xdr:rowOff>
    </xdr:to>
    <xdr:graphicFrame>
      <xdr:nvGraphicFramePr>
        <xdr:cNvPr id="11" name="Chart 1"/>
        <xdr:cNvGraphicFramePr/>
      </xdr:nvGraphicFramePr>
      <xdr:xfrm>
        <a:off x="22437720" y="15968520"/>
        <a:ext cx="4678200" cy="273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78</xdr:row>
      <xdr:rowOff>137880</xdr:rowOff>
    </xdr:from>
    <xdr:to>
      <xdr:col>13</xdr:col>
      <xdr:colOff>4678200</xdr:colOff>
      <xdr:row>91</xdr:row>
      <xdr:rowOff>179640</xdr:rowOff>
    </xdr:to>
    <xdr:graphicFrame>
      <xdr:nvGraphicFramePr>
        <xdr:cNvPr id="12" name="Chart 2"/>
        <xdr:cNvGraphicFramePr/>
      </xdr:nvGraphicFramePr>
      <xdr:xfrm>
        <a:off x="22437720" y="19045080"/>
        <a:ext cx="4678200" cy="2518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0</xdr:colOff>
      <xdr:row>78</xdr:row>
      <xdr:rowOff>137880</xdr:rowOff>
    </xdr:from>
    <xdr:to>
      <xdr:col>28</xdr:col>
      <xdr:colOff>397440</xdr:colOff>
      <xdr:row>91</xdr:row>
      <xdr:rowOff>179640</xdr:rowOff>
    </xdr:to>
    <xdr:graphicFrame>
      <xdr:nvGraphicFramePr>
        <xdr:cNvPr id="13" name="Chart 3"/>
        <xdr:cNvGraphicFramePr/>
      </xdr:nvGraphicFramePr>
      <xdr:xfrm>
        <a:off x="33409800" y="19045080"/>
        <a:ext cx="4673520" cy="2518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0</xdr:colOff>
      <xdr:row>63</xdr:row>
      <xdr:rowOff>137880</xdr:rowOff>
    </xdr:from>
    <xdr:to>
      <xdr:col>28</xdr:col>
      <xdr:colOff>397440</xdr:colOff>
      <xdr:row>76</xdr:row>
      <xdr:rowOff>179640</xdr:rowOff>
    </xdr:to>
    <xdr:graphicFrame>
      <xdr:nvGraphicFramePr>
        <xdr:cNvPr id="14" name="Chart 4"/>
        <xdr:cNvGraphicFramePr/>
      </xdr:nvGraphicFramePr>
      <xdr:xfrm>
        <a:off x="33409800" y="15968520"/>
        <a:ext cx="4673520" cy="27370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61</xdr:row>
      <xdr:rowOff>137880</xdr:rowOff>
    </xdr:from>
    <xdr:to>
      <xdr:col>13</xdr:col>
      <xdr:colOff>5398200</xdr:colOff>
      <xdr:row>76</xdr:row>
      <xdr:rowOff>158760</xdr:rowOff>
    </xdr:to>
    <xdr:graphicFrame>
      <xdr:nvGraphicFramePr>
        <xdr:cNvPr id="15" name="Chart 1"/>
        <xdr:cNvGraphicFramePr/>
      </xdr:nvGraphicFramePr>
      <xdr:xfrm>
        <a:off x="22437720" y="14853960"/>
        <a:ext cx="5398200" cy="313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71</xdr:row>
      <xdr:rowOff>140400</xdr:rowOff>
    </xdr:from>
    <xdr:to>
      <xdr:col>13</xdr:col>
      <xdr:colOff>5758200</xdr:colOff>
      <xdr:row>87</xdr:row>
      <xdr:rowOff>92520</xdr:rowOff>
    </xdr:to>
    <xdr:graphicFrame>
      <xdr:nvGraphicFramePr>
        <xdr:cNvPr id="16" name="Chart 1"/>
        <xdr:cNvGraphicFramePr/>
      </xdr:nvGraphicFramePr>
      <xdr:xfrm>
        <a:off x="22437720" y="17561520"/>
        <a:ext cx="5758200" cy="323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87</xdr:row>
      <xdr:rowOff>0</xdr:rowOff>
    </xdr:from>
    <xdr:to>
      <xdr:col>10</xdr:col>
      <xdr:colOff>1169640</xdr:colOff>
      <xdr:row>98</xdr:row>
      <xdr:rowOff>179280</xdr:rowOff>
    </xdr:to>
    <xdr:graphicFrame>
      <xdr:nvGraphicFramePr>
        <xdr:cNvPr id="17" name="Chart 1"/>
        <xdr:cNvGraphicFramePr/>
      </xdr:nvGraphicFramePr>
      <xdr:xfrm>
        <a:off x="6837120" y="19888200"/>
        <a:ext cx="5398560" cy="2884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105</xdr:row>
      <xdr:rowOff>0</xdr:rowOff>
    </xdr:from>
    <xdr:to>
      <xdr:col>10</xdr:col>
      <xdr:colOff>1169640</xdr:colOff>
      <xdr:row>116</xdr:row>
      <xdr:rowOff>744840</xdr:rowOff>
    </xdr:to>
    <xdr:graphicFrame>
      <xdr:nvGraphicFramePr>
        <xdr:cNvPr id="18" name="Chart 2"/>
        <xdr:cNvGraphicFramePr/>
      </xdr:nvGraphicFramePr>
      <xdr:xfrm>
        <a:off x="6837120" y="23926680"/>
        <a:ext cx="5398560" cy="2878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92</xdr:row>
      <xdr:rowOff>0</xdr:rowOff>
    </xdr:from>
    <xdr:to>
      <xdr:col>10</xdr:col>
      <xdr:colOff>472320</xdr:colOff>
      <xdr:row>108</xdr:row>
      <xdr:rowOff>188640</xdr:rowOff>
    </xdr:to>
    <xdr:graphicFrame>
      <xdr:nvGraphicFramePr>
        <xdr:cNvPr id="19" name="Chart 1"/>
        <xdr:cNvGraphicFramePr/>
      </xdr:nvGraphicFramePr>
      <xdr:xfrm>
        <a:off x="5779800" y="20478600"/>
        <a:ext cx="5758560" cy="3255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99</xdr:row>
      <xdr:rowOff>0</xdr:rowOff>
    </xdr:from>
    <xdr:to>
      <xdr:col>5</xdr:col>
      <xdr:colOff>550080</xdr:colOff>
      <xdr:row>115</xdr:row>
      <xdr:rowOff>190800</xdr:rowOff>
    </xdr:to>
    <xdr:graphicFrame>
      <xdr:nvGraphicFramePr>
        <xdr:cNvPr id="20" name="Chart 1"/>
        <xdr:cNvGraphicFramePr/>
      </xdr:nvGraphicFramePr>
      <xdr:xfrm>
        <a:off x="211320" y="22021920"/>
        <a:ext cx="6118560" cy="32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84</xdr:row>
      <xdr:rowOff>0</xdr:rowOff>
    </xdr:from>
    <xdr:to>
      <xdr:col>11</xdr:col>
      <xdr:colOff>338760</xdr:colOff>
      <xdr:row>100</xdr:row>
      <xdr:rowOff>190440</xdr:rowOff>
    </xdr:to>
    <xdr:graphicFrame>
      <xdr:nvGraphicFramePr>
        <xdr:cNvPr id="21" name="Chart 1"/>
        <xdr:cNvGraphicFramePr/>
      </xdr:nvGraphicFramePr>
      <xdr:xfrm>
        <a:off x="7542000" y="18278640"/>
        <a:ext cx="6118560" cy="323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82</xdr:row>
      <xdr:rowOff>0</xdr:rowOff>
    </xdr:from>
    <xdr:to>
      <xdr:col>13</xdr:col>
      <xdr:colOff>104040</xdr:colOff>
      <xdr:row>98</xdr:row>
      <xdr:rowOff>190800</xdr:rowOff>
    </xdr:to>
    <xdr:graphicFrame>
      <xdr:nvGraphicFramePr>
        <xdr:cNvPr id="22" name="Chart 1"/>
        <xdr:cNvGraphicFramePr/>
      </xdr:nvGraphicFramePr>
      <xdr:xfrm>
        <a:off x="8528760" y="17659440"/>
        <a:ext cx="6118560" cy="32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78</xdr:row>
      <xdr:rowOff>0</xdr:rowOff>
    </xdr:from>
    <xdr:to>
      <xdr:col>13</xdr:col>
      <xdr:colOff>104040</xdr:colOff>
      <xdr:row>94</xdr:row>
      <xdr:rowOff>190440</xdr:rowOff>
    </xdr:to>
    <xdr:graphicFrame>
      <xdr:nvGraphicFramePr>
        <xdr:cNvPr id="23" name="Chart 1"/>
        <xdr:cNvGraphicFramePr/>
      </xdr:nvGraphicFramePr>
      <xdr:xfrm>
        <a:off x="8528760" y="16687800"/>
        <a:ext cx="6118560" cy="32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76</xdr:row>
      <xdr:rowOff>0</xdr:rowOff>
    </xdr:from>
    <xdr:to>
      <xdr:col>11</xdr:col>
      <xdr:colOff>338760</xdr:colOff>
      <xdr:row>93</xdr:row>
      <xdr:rowOff>360</xdr:rowOff>
    </xdr:to>
    <xdr:graphicFrame>
      <xdr:nvGraphicFramePr>
        <xdr:cNvPr id="24" name="Chart 1"/>
        <xdr:cNvGraphicFramePr/>
      </xdr:nvGraphicFramePr>
      <xdr:xfrm>
        <a:off x="7542000" y="17916480"/>
        <a:ext cx="6118560" cy="323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77</xdr:row>
      <xdr:rowOff>0</xdr:rowOff>
    </xdr:from>
    <xdr:to>
      <xdr:col>11</xdr:col>
      <xdr:colOff>338760</xdr:colOff>
      <xdr:row>93</xdr:row>
      <xdr:rowOff>188640</xdr:rowOff>
    </xdr:to>
    <xdr:graphicFrame>
      <xdr:nvGraphicFramePr>
        <xdr:cNvPr id="25" name="Chart 1"/>
        <xdr:cNvGraphicFramePr/>
      </xdr:nvGraphicFramePr>
      <xdr:xfrm>
        <a:off x="7542000" y="17821440"/>
        <a:ext cx="6118560" cy="3236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83</xdr:row>
      <xdr:rowOff>0</xdr:rowOff>
    </xdr:from>
    <xdr:to>
      <xdr:col>22</xdr:col>
      <xdr:colOff>9720</xdr:colOff>
      <xdr:row>99</xdr:row>
      <xdr:rowOff>219240</xdr:rowOff>
    </xdr:to>
    <xdr:graphicFrame>
      <xdr:nvGraphicFramePr>
        <xdr:cNvPr id="26" name="Chart 1"/>
        <xdr:cNvGraphicFramePr/>
      </xdr:nvGraphicFramePr>
      <xdr:xfrm>
        <a:off x="13932360" y="19811880"/>
        <a:ext cx="12203640" cy="3724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87</xdr:row>
      <xdr:rowOff>0</xdr:rowOff>
    </xdr:from>
    <xdr:to>
      <xdr:col>21</xdr:col>
      <xdr:colOff>10080</xdr:colOff>
      <xdr:row>103</xdr:row>
      <xdr:rowOff>190440</xdr:rowOff>
    </xdr:to>
    <xdr:graphicFrame>
      <xdr:nvGraphicFramePr>
        <xdr:cNvPr id="27" name="Chart 1"/>
        <xdr:cNvGraphicFramePr/>
      </xdr:nvGraphicFramePr>
      <xdr:xfrm>
        <a:off x="13321800" y="19811880"/>
        <a:ext cx="12204000" cy="32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81</xdr:row>
      <xdr:rowOff>0</xdr:rowOff>
    </xdr:from>
    <xdr:to>
      <xdr:col>11</xdr:col>
      <xdr:colOff>338760</xdr:colOff>
      <xdr:row>97</xdr:row>
      <xdr:rowOff>188640</xdr:rowOff>
    </xdr:to>
    <xdr:graphicFrame>
      <xdr:nvGraphicFramePr>
        <xdr:cNvPr id="28" name="Chart 1"/>
        <xdr:cNvGraphicFramePr/>
      </xdr:nvGraphicFramePr>
      <xdr:xfrm>
        <a:off x="7542000" y="18316440"/>
        <a:ext cx="6118560" cy="3522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126</xdr:row>
      <xdr:rowOff>0</xdr:rowOff>
    </xdr:from>
    <xdr:to>
      <xdr:col>8</xdr:col>
      <xdr:colOff>887760</xdr:colOff>
      <xdr:row>141</xdr:row>
      <xdr:rowOff>20880</xdr:rowOff>
    </xdr:to>
    <xdr:graphicFrame>
      <xdr:nvGraphicFramePr>
        <xdr:cNvPr id="29" name="Chart 1"/>
        <xdr:cNvGraphicFramePr/>
      </xdr:nvGraphicFramePr>
      <xdr:xfrm>
        <a:off x="4863600" y="25774560"/>
        <a:ext cx="5398560" cy="287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101</xdr:row>
      <xdr:rowOff>0</xdr:rowOff>
    </xdr:from>
    <xdr:to>
      <xdr:col>23</xdr:col>
      <xdr:colOff>582840</xdr:colOff>
      <xdr:row>114</xdr:row>
      <xdr:rowOff>282960</xdr:rowOff>
    </xdr:to>
    <xdr:graphicFrame>
      <xdr:nvGraphicFramePr>
        <xdr:cNvPr id="30" name="Chart 1"/>
        <xdr:cNvGraphicFramePr/>
      </xdr:nvGraphicFramePr>
      <xdr:xfrm>
        <a:off x="16705080" y="27860760"/>
        <a:ext cx="7918920" cy="3664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75</xdr:row>
      <xdr:rowOff>0</xdr:rowOff>
    </xdr:from>
    <xdr:to>
      <xdr:col>26</xdr:col>
      <xdr:colOff>188280</xdr:colOff>
      <xdr:row>93</xdr:row>
      <xdr:rowOff>57600</xdr:rowOff>
    </xdr:to>
    <xdr:graphicFrame>
      <xdr:nvGraphicFramePr>
        <xdr:cNvPr id="31" name="Chart 1"/>
        <xdr:cNvGraphicFramePr/>
      </xdr:nvGraphicFramePr>
      <xdr:xfrm>
        <a:off x="17832600" y="19573920"/>
        <a:ext cx="9358920" cy="4762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68</xdr:row>
      <xdr:rowOff>0</xdr:rowOff>
    </xdr:from>
    <xdr:to>
      <xdr:col>25</xdr:col>
      <xdr:colOff>79920</xdr:colOff>
      <xdr:row>81</xdr:row>
      <xdr:rowOff>186480</xdr:rowOff>
    </xdr:to>
    <xdr:graphicFrame>
      <xdr:nvGraphicFramePr>
        <xdr:cNvPr id="32" name="Chart 1"/>
        <xdr:cNvGraphicFramePr/>
      </xdr:nvGraphicFramePr>
      <xdr:xfrm>
        <a:off x="16282080" y="17840160"/>
        <a:ext cx="8638920" cy="3787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110</xdr:row>
      <xdr:rowOff>0</xdr:rowOff>
    </xdr:from>
    <xdr:to>
      <xdr:col>22</xdr:col>
      <xdr:colOff>474120</xdr:colOff>
      <xdr:row>126</xdr:row>
      <xdr:rowOff>78480</xdr:rowOff>
    </xdr:to>
    <xdr:graphicFrame>
      <xdr:nvGraphicFramePr>
        <xdr:cNvPr id="33" name="Chart 1"/>
        <xdr:cNvGraphicFramePr/>
      </xdr:nvGraphicFramePr>
      <xdr:xfrm>
        <a:off x="13815000" y="29298960"/>
        <a:ext cx="7198920" cy="371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125</xdr:row>
      <xdr:rowOff>0</xdr:rowOff>
    </xdr:from>
    <xdr:to>
      <xdr:col>22</xdr:col>
      <xdr:colOff>474120</xdr:colOff>
      <xdr:row>133</xdr:row>
      <xdr:rowOff>210600</xdr:rowOff>
    </xdr:to>
    <xdr:graphicFrame>
      <xdr:nvGraphicFramePr>
        <xdr:cNvPr id="34" name="Chart 2"/>
        <xdr:cNvGraphicFramePr/>
      </xdr:nvGraphicFramePr>
      <xdr:xfrm>
        <a:off x="13815000" y="32727960"/>
        <a:ext cx="7198920" cy="2963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72</xdr:row>
      <xdr:rowOff>0</xdr:rowOff>
    </xdr:from>
    <xdr:to>
      <xdr:col>26</xdr:col>
      <xdr:colOff>188280</xdr:colOff>
      <xdr:row>89</xdr:row>
      <xdr:rowOff>360</xdr:rowOff>
    </xdr:to>
    <xdr:graphicFrame>
      <xdr:nvGraphicFramePr>
        <xdr:cNvPr id="35" name="Chart 1"/>
        <xdr:cNvGraphicFramePr/>
      </xdr:nvGraphicFramePr>
      <xdr:xfrm>
        <a:off x="15577200" y="18154800"/>
        <a:ext cx="9358920" cy="3724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138</xdr:row>
      <xdr:rowOff>0</xdr:rowOff>
    </xdr:from>
    <xdr:to>
      <xdr:col>26</xdr:col>
      <xdr:colOff>188640</xdr:colOff>
      <xdr:row>155</xdr:row>
      <xdr:rowOff>37440</xdr:rowOff>
    </xdr:to>
    <xdr:graphicFrame>
      <xdr:nvGraphicFramePr>
        <xdr:cNvPr id="36" name="Chart 1"/>
        <xdr:cNvGraphicFramePr/>
      </xdr:nvGraphicFramePr>
      <xdr:xfrm>
        <a:off x="16845840" y="33718680"/>
        <a:ext cx="9359280" cy="7371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_rels/sheet15.xml.rels><?xml version="1.0" encoding="UTF-8"?>
<Relationships xmlns="http://schemas.openxmlformats.org/package/2006/relationships"><Relationship Id="rId1" Type="http://schemas.openxmlformats.org/officeDocument/2006/relationships/drawing" Target="../drawings/drawing3.xml"/>
</Relationships>
</file>

<file path=xl/worksheets/_rels/sheet16.xml.rels><?xml version="1.0" encoding="UTF-8"?>
<Relationships xmlns="http://schemas.openxmlformats.org/package/2006/relationships"><Relationship Id="rId1" Type="http://schemas.openxmlformats.org/officeDocument/2006/relationships/drawing" Target="../drawings/drawing4.xml"/>
</Relationships>
</file>

<file path=xl/worksheets/_rels/sheet18.xml.rels><?xml version="1.0" encoding="UTF-8"?>
<Relationships xmlns="http://schemas.openxmlformats.org/package/2006/relationships"><Relationship Id="rId1" Type="http://schemas.openxmlformats.org/officeDocument/2006/relationships/drawing" Target="../drawings/drawing5.xml"/>
</Relationships>
</file>

<file path=xl/worksheets/_rels/sheet19.xml.rels><?xml version="1.0" encoding="UTF-8"?>
<Relationships xmlns="http://schemas.openxmlformats.org/package/2006/relationships"><Relationship Id="rId1" Type="http://schemas.openxmlformats.org/officeDocument/2006/relationships/drawing" Target="../drawings/drawing6.xml"/>
</Relationships>
</file>

<file path=xl/worksheets/_rels/sheet34.xml.rels><?xml version="1.0" encoding="UTF-8"?>
<Relationships xmlns="http://schemas.openxmlformats.org/package/2006/relationships"><Relationship Id="rId1" Type="http://schemas.openxmlformats.org/officeDocument/2006/relationships/drawing" Target="../drawings/drawing7.xml"/>
</Relationships>
</file>

<file path=xl/worksheets/_rels/sheet40.xml.rels><?xml version="1.0" encoding="UTF-8"?>
<Relationships xmlns="http://schemas.openxmlformats.org/package/2006/relationships"><Relationship Id="rId1" Type="http://schemas.openxmlformats.org/officeDocument/2006/relationships/drawing" Target="../drawings/drawing8.xml"/>
</Relationships>
</file>

<file path=xl/worksheets/_rels/sheet42.xml.rels><?xml version="1.0" encoding="UTF-8"?>
<Relationships xmlns="http://schemas.openxmlformats.org/package/2006/relationships"><Relationship Id="rId1" Type="http://schemas.openxmlformats.org/officeDocument/2006/relationships/drawing" Target="../drawings/drawing9.xml"/>
</Relationships>
</file>

<file path=xl/worksheets/_rels/sheet44.xml.rels><?xml version="1.0" encoding="UTF-8"?>
<Relationships xmlns="http://schemas.openxmlformats.org/package/2006/relationships"><Relationship Id="rId1" Type="http://schemas.openxmlformats.org/officeDocument/2006/relationships/drawing" Target="../drawings/drawing10.xml"/>
</Relationships>
</file>

<file path=xl/worksheets/_rels/sheet45.xml.rels><?xml version="1.0" encoding="UTF-8"?>
<Relationships xmlns="http://schemas.openxmlformats.org/package/2006/relationships"><Relationship Id="rId1" Type="http://schemas.openxmlformats.org/officeDocument/2006/relationships/drawing" Target="../drawings/drawing11.xml"/>
</Relationships>
</file>

<file path=xl/worksheets/_rels/sheet47.xml.rels><?xml version="1.0" encoding="UTF-8"?>
<Relationships xmlns="http://schemas.openxmlformats.org/package/2006/relationships"><Relationship Id="rId1" Type="http://schemas.openxmlformats.org/officeDocument/2006/relationships/drawing" Target="../drawings/drawing12.xml"/>
</Relationships>
</file>

<file path=xl/worksheets/_rels/sheet48.xml.rels><?xml version="1.0" encoding="UTF-8"?>
<Relationships xmlns="http://schemas.openxmlformats.org/package/2006/relationships"><Relationship Id="rId1" Type="http://schemas.openxmlformats.org/officeDocument/2006/relationships/drawing" Target="../drawings/drawing13.xml"/>
</Relationships>
</file>

<file path=xl/worksheets/_rels/sheet50.xml.rels><?xml version="1.0" encoding="UTF-8"?>
<Relationships xmlns="http://schemas.openxmlformats.org/package/2006/relationships"><Relationship Id="rId1" Type="http://schemas.openxmlformats.org/officeDocument/2006/relationships/drawing" Target="../drawings/drawing14.xml"/>
</Relationships>
</file>

<file path=xl/worksheets/_rels/sheet51.xml.rels><?xml version="1.0" encoding="UTF-8"?>
<Relationships xmlns="http://schemas.openxmlformats.org/package/2006/relationships"><Relationship Id="rId1" Type="http://schemas.openxmlformats.org/officeDocument/2006/relationships/drawing" Target="../drawings/drawing15.xml"/>
</Relationships>
</file>

<file path=xl/worksheets/_rels/sheet54.xml.rels><?xml version="1.0" encoding="UTF-8"?>
<Relationships xmlns="http://schemas.openxmlformats.org/package/2006/relationships"><Relationship Id="rId1" Type="http://schemas.openxmlformats.org/officeDocument/2006/relationships/drawing" Target="../drawings/drawing16.xml"/>
</Relationships>
</file>

<file path=xl/worksheets/_rels/sheet57.xml.rels><?xml version="1.0" encoding="UTF-8"?>
<Relationships xmlns="http://schemas.openxmlformats.org/package/2006/relationships"><Relationship Id="rId1" Type="http://schemas.openxmlformats.org/officeDocument/2006/relationships/drawing" Target="../drawings/drawing17.xml"/>
</Relationships>
</file>

<file path=xl/worksheets/_rels/sheet58.xml.rels><?xml version="1.0" encoding="UTF-8"?>
<Relationships xmlns="http://schemas.openxmlformats.org/package/2006/relationships"><Relationship Id="rId1" Type="http://schemas.openxmlformats.org/officeDocument/2006/relationships/drawing" Target="../drawings/drawing18.xml"/>
</Relationships>
</file>

<file path=xl/worksheets/_rels/sheet59.xml.rels><?xml version="1.0" encoding="UTF-8"?>
<Relationships xmlns="http://schemas.openxmlformats.org/package/2006/relationships"><Relationship Id="rId1" Type="http://schemas.openxmlformats.org/officeDocument/2006/relationships/drawing" Target="../drawings/drawing19.xml"/>
</Relationships>
</file>

<file path=xl/worksheets/_rels/sheet60.xml.rels><?xml version="1.0" encoding="UTF-8"?>
<Relationships xmlns="http://schemas.openxmlformats.org/package/2006/relationships"><Relationship Id="rId1" Type="http://schemas.openxmlformats.org/officeDocument/2006/relationships/drawing" Target="../drawings/drawing20.xml"/>
</Relationships>
</file>

<file path=xl/worksheets/_rels/sheet61.xml.rels><?xml version="1.0" encoding="UTF-8"?>
<Relationships xmlns="http://schemas.openxmlformats.org/package/2006/relationships"><Relationship Id="rId1" Type="http://schemas.openxmlformats.org/officeDocument/2006/relationships/drawing" Target="../drawings/drawing21.xml"/>
</Relationships>
</file>

<file path=xl/worksheets/_rels/sheet62.xml.rels><?xml version="1.0" encoding="UTF-8"?>
<Relationships xmlns="http://schemas.openxmlformats.org/package/2006/relationships"><Relationship Id="rId1" Type="http://schemas.openxmlformats.org/officeDocument/2006/relationships/drawing" Target="../drawings/drawing22.xml"/>
</Relationships>
</file>

<file path=xl/worksheets/_rels/sheet63.xml.rels><?xml version="1.0" encoding="UTF-8"?>
<Relationships xmlns="http://schemas.openxmlformats.org/package/2006/relationships"><Relationship Id="rId1" Type="http://schemas.openxmlformats.org/officeDocument/2006/relationships/drawing" Target="../drawings/drawing23.xml"/>
</Relationships>
</file>

<file path=xl/worksheets/_rels/sheet65.xml.rels><?xml version="1.0" encoding="UTF-8"?>
<Relationships xmlns="http://schemas.openxmlformats.org/package/2006/relationships"><Relationship Id="rId1" Type="http://schemas.openxmlformats.org/officeDocument/2006/relationships/drawing" Target="../drawings/drawing24.xml"/>
</Relationships>
</file>

<file path=xl/worksheets/_rels/sheet67.xml.rels><?xml version="1.0" encoding="UTF-8"?>
<Relationships xmlns="http://schemas.openxmlformats.org/package/2006/relationships"><Relationship Id="rId1" Type="http://schemas.openxmlformats.org/officeDocument/2006/relationships/drawing" Target="../drawings/drawing25.xml"/>
</Relationships>
</file>

<file path=xl/worksheets/_rels/sheet79.xml.rels><?xml version="1.0" encoding="UTF-8"?>
<Relationships xmlns="http://schemas.openxmlformats.org/package/2006/relationships"><Relationship Id="rId1" Type="http://schemas.openxmlformats.org/officeDocument/2006/relationships/drawing" Target="../drawings/drawing26.xml"/>
</Relationships>
</file>

<file path=xl/worksheets/_rels/sheet83.xml.rels><?xml version="1.0" encoding="UTF-8"?>
<Relationships xmlns="http://schemas.openxmlformats.org/package/2006/relationships"><Relationship Id="rId1" Type="http://schemas.openxmlformats.org/officeDocument/2006/relationships/drawing" Target="../drawings/drawing27.xml"/>
</Relationships>
</file>

<file path=xl/worksheets/_rels/sheet100.xml.rels><?xml version="1.0" encoding="UTF-8"?>
<Relationships xmlns="http://schemas.openxmlformats.org/package/2006/relationships"><Relationship Id="rId1" Type="http://schemas.openxmlformats.org/officeDocument/2006/relationships/drawing" Target="../drawings/drawing28.xml"/>
</Relationships>
</file>

<file path=xl/worksheets/_rels/sheet101.xml.rels><?xml version="1.0" encoding="UTF-8"?>
<Relationships xmlns="http://schemas.openxmlformats.org/package/2006/relationships"><Relationship Id="rId1" Type="http://schemas.openxmlformats.org/officeDocument/2006/relationships/drawing" Target="../drawings/drawing29.xml"/>
</Relationships>
</file>

<file path=xl/worksheets/_rels/sheet102.xml.rels><?xml version="1.0" encoding="UTF-8"?>
<Relationships xmlns="http://schemas.openxmlformats.org/package/2006/relationships"><Relationship Id="rId1" Type="http://schemas.openxmlformats.org/officeDocument/2006/relationships/drawing" Target="../drawings/drawing30.xml"/>
</Relationships>
</file>

<file path=xl/worksheets/_rels/sheet118.xml.rels><?xml version="1.0" encoding="UTF-8"?>
<Relationships xmlns="http://schemas.openxmlformats.org/package/2006/relationships"><Relationship Id="rId1" Type="http://schemas.openxmlformats.org/officeDocument/2006/relationships/drawing" Target="../drawings/drawing3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4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pane xSplit="0" ySplit="4" topLeftCell="A5" activePane="bottomLeft" state="frozen"/>
      <selection pane="topLeft" activeCell="A1" activeCellId="0" sqref="A1"/>
      <selection pane="bottomLeft" activeCell="H32" activeCellId="0" sqref="H32"/>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10" min="3" style="1" width="16"/>
    <col collapsed="false" customWidth="true" hidden="false" outlineLevel="0" max="11" min="11" style="1" width="40"/>
  </cols>
  <sheetData>
    <row r="1" customFormat="false" ht="15" hidden="false" customHeight="true" outlineLevel="0" collapsed="false">
      <c r="A1" s="2" t="s">
        <v>0</v>
      </c>
    </row>
    <row r="2" customFormat="false" ht="22.5" hidden="false" customHeight="true" outlineLevel="0" collapsed="false">
      <c r="B2" s="3" t="s">
        <v>1</v>
      </c>
      <c r="C2" s="3"/>
      <c r="D2" s="3"/>
      <c r="E2" s="3"/>
      <c r="F2" s="3"/>
      <c r="G2" s="3"/>
      <c r="H2" s="3"/>
      <c r="I2" s="3"/>
      <c r="J2" s="3"/>
      <c r="K2" s="4" t="s">
        <v>2</v>
      </c>
    </row>
    <row r="3" customFormat="false" ht="28.5" hidden="false" customHeight="true" outlineLevel="0" collapsed="false">
      <c r="B3" s="5" t="s">
        <v>3</v>
      </c>
      <c r="D3" s="6" t="s">
        <v>4</v>
      </c>
      <c r="E3" s="6"/>
      <c r="F3" s="6"/>
      <c r="G3" s="6"/>
      <c r="H3" s="6"/>
    </row>
    <row r="5" customFormat="false" ht="15.75" hidden="false" customHeight="true" outlineLevel="0" collapsed="false">
      <c r="B5" s="7" t="s">
        <v>5</v>
      </c>
      <c r="C5" s="8"/>
      <c r="D5" s="8"/>
      <c r="E5" s="8"/>
      <c r="F5" s="8"/>
      <c r="G5" s="8"/>
      <c r="H5" s="8"/>
      <c r="I5" s="8"/>
      <c r="J5" s="8"/>
      <c r="K5" s="8"/>
    </row>
    <row r="7" customFormat="false" ht="17.25" hidden="false" customHeight="true" outlineLevel="0" collapsed="false">
      <c r="B7" s="9" t="s">
        <v>6</v>
      </c>
      <c r="C7" s="9"/>
      <c r="D7" s="9"/>
      <c r="E7" s="9"/>
      <c r="F7" s="9"/>
      <c r="G7" s="9"/>
      <c r="H7" s="9"/>
      <c r="I7" s="9"/>
      <c r="J7" s="9"/>
    </row>
    <row r="8" customFormat="false" ht="15.75" hidden="false" customHeight="true" outlineLevel="0" collapsed="false">
      <c r="B8" s="9" t="s">
        <v>7</v>
      </c>
      <c r="C8" s="9"/>
      <c r="D8" s="9"/>
      <c r="E8" s="9"/>
      <c r="F8" s="9"/>
      <c r="G8" s="9"/>
      <c r="H8" s="9"/>
      <c r="I8" s="9"/>
      <c r="J8" s="9"/>
    </row>
    <row r="9" customFormat="false" ht="15.75" hidden="false" customHeight="true" outlineLevel="0" collapsed="false">
      <c r="B9" s="9"/>
      <c r="C9" s="9"/>
      <c r="D9" s="9"/>
      <c r="E9" s="9"/>
      <c r="F9" s="9"/>
      <c r="G9" s="9"/>
      <c r="H9" s="9"/>
      <c r="I9" s="9"/>
      <c r="J9" s="9"/>
    </row>
    <row r="10" customFormat="false" ht="15.75" hidden="false" customHeight="true" outlineLevel="0" collapsed="false">
      <c r="B10" s="9" t="s">
        <v>8</v>
      </c>
      <c r="C10" s="9"/>
      <c r="D10" s="9"/>
      <c r="E10" s="9"/>
      <c r="F10" s="9"/>
      <c r="G10" s="9"/>
      <c r="H10" s="9"/>
      <c r="I10" s="9"/>
      <c r="J10" s="9"/>
    </row>
    <row r="11" customFormat="false" ht="15.75" hidden="false" customHeight="true" outlineLevel="0" collapsed="false">
      <c r="B11" s="9"/>
      <c r="C11" s="9"/>
      <c r="D11" s="9"/>
      <c r="E11" s="9"/>
      <c r="F11" s="9"/>
      <c r="G11" s="9"/>
      <c r="H11" s="9"/>
      <c r="I11" s="9"/>
      <c r="J11" s="9"/>
    </row>
    <row r="12" customFormat="false" ht="17.25" hidden="false" customHeight="true" outlineLevel="0" collapsed="false">
      <c r="B12" s="9" t="s">
        <v>9</v>
      </c>
      <c r="C12" s="9"/>
      <c r="D12" s="9"/>
      <c r="E12" s="9"/>
      <c r="F12" s="9"/>
      <c r="G12" s="9"/>
      <c r="H12" s="9"/>
      <c r="I12" s="9"/>
      <c r="J12" s="9"/>
    </row>
    <row r="14" customFormat="false" ht="15.75" hidden="false" customHeight="true" outlineLevel="0" collapsed="false">
      <c r="B14" s="7" t="s">
        <v>10</v>
      </c>
      <c r="C14" s="8"/>
      <c r="D14" s="8"/>
      <c r="E14" s="8"/>
      <c r="F14" s="8"/>
      <c r="G14" s="8"/>
      <c r="H14" s="8"/>
      <c r="I14" s="8"/>
      <c r="J14" s="8"/>
      <c r="K14" s="8"/>
    </row>
    <row r="16" customFormat="false" ht="17.25" hidden="false" customHeight="true" outlineLevel="0" collapsed="false">
      <c r="B16" s="10" t="s">
        <v>11</v>
      </c>
      <c r="C16" s="9" t="s">
        <v>12</v>
      </c>
      <c r="D16" s="9"/>
      <c r="E16" s="9"/>
      <c r="F16" s="9"/>
    </row>
    <row r="17" customFormat="false" ht="17.25" hidden="false" customHeight="true" outlineLevel="0" collapsed="false">
      <c r="B17" s="10" t="s">
        <v>13</v>
      </c>
      <c r="C17" s="9" t="s">
        <v>14</v>
      </c>
      <c r="D17" s="9"/>
      <c r="E17" s="9"/>
      <c r="F17" s="9"/>
    </row>
    <row r="18" customFormat="false" ht="17.25" hidden="false" customHeight="true" outlineLevel="0" collapsed="false">
      <c r="B18" s="10" t="s">
        <v>15</v>
      </c>
      <c r="C18" s="9" t="s">
        <v>16</v>
      </c>
      <c r="D18" s="9"/>
      <c r="E18" s="9"/>
      <c r="F18" s="9"/>
    </row>
    <row r="19" customFormat="false" ht="17.25" hidden="false" customHeight="true" outlineLevel="0" collapsed="false">
      <c r="B19" s="10" t="s">
        <v>17</v>
      </c>
      <c r="C19" s="9" t="s">
        <v>18</v>
      </c>
      <c r="D19" s="9"/>
      <c r="E19" s="9"/>
      <c r="F19" s="9"/>
    </row>
    <row r="20" customFormat="false" ht="17.25" hidden="false" customHeight="true" outlineLevel="0" collapsed="false">
      <c r="B20" s="10" t="s">
        <v>19</v>
      </c>
      <c r="C20" s="9" t="s">
        <v>20</v>
      </c>
      <c r="D20" s="9"/>
      <c r="E20" s="9"/>
      <c r="F20" s="9"/>
    </row>
    <row r="21" customFormat="false" ht="17.25" hidden="false" customHeight="true" outlineLevel="0" collapsed="false">
      <c r="B21" s="10" t="s">
        <v>21</v>
      </c>
      <c r="C21" s="9" t="s">
        <v>22</v>
      </c>
      <c r="D21" s="9"/>
      <c r="E21" s="9"/>
      <c r="F21" s="9"/>
    </row>
    <row r="22" customFormat="false" ht="17.25" hidden="false" customHeight="true" outlineLevel="0" collapsed="false">
      <c r="B22" s="10" t="s">
        <v>23</v>
      </c>
      <c r="C22" s="9" t="s">
        <v>24</v>
      </c>
      <c r="D22" s="9"/>
      <c r="E22" s="9"/>
      <c r="F22" s="9"/>
    </row>
    <row r="23" customFormat="false" ht="17.25" hidden="false" customHeight="true" outlineLevel="0" collapsed="false">
      <c r="B23" s="10" t="s">
        <v>25</v>
      </c>
      <c r="C23" s="9" t="s">
        <v>26</v>
      </c>
      <c r="D23" s="9"/>
      <c r="E23" s="9"/>
      <c r="F23" s="9"/>
    </row>
    <row r="25" customFormat="false" ht="15.75" hidden="false" customHeight="true" outlineLevel="0" collapsed="false">
      <c r="B25" s="7" t="s">
        <v>27</v>
      </c>
      <c r="C25" s="8"/>
      <c r="D25" s="8"/>
      <c r="E25" s="8"/>
      <c r="F25" s="8"/>
      <c r="G25" s="8"/>
      <c r="H25" s="8"/>
      <c r="I25" s="8"/>
      <c r="J25" s="8"/>
      <c r="K25" s="8"/>
    </row>
    <row r="27" customFormat="false" ht="16.5" hidden="false" customHeight="true" outlineLevel="0" collapsed="false">
      <c r="B27" s="11" t="s">
        <v>28</v>
      </c>
      <c r="C27" s="11" t="s">
        <v>29</v>
      </c>
      <c r="D27" s="11" t="s">
        <v>30</v>
      </c>
      <c r="E27" s="11" t="s">
        <v>31</v>
      </c>
    </row>
    <row r="28" customFormat="false" ht="16.5" hidden="false" customHeight="true" outlineLevel="0" collapsed="false">
      <c r="B28" s="12" t="s">
        <v>32</v>
      </c>
      <c r="C28" s="12" t="s">
        <v>33</v>
      </c>
      <c r="D28" s="12" t="n">
        <v>8</v>
      </c>
      <c r="E28" s="12" t="s">
        <v>34</v>
      </c>
    </row>
    <row r="29" customFormat="false" ht="16.5" hidden="false" customHeight="true" outlineLevel="0" collapsed="false">
      <c r="B29" s="12" t="s">
        <v>35</v>
      </c>
      <c r="C29" s="12" t="s">
        <v>36</v>
      </c>
      <c r="D29" s="12" t="n">
        <v>60</v>
      </c>
      <c r="E29" s="12" t="s">
        <v>37</v>
      </c>
    </row>
    <row r="30" customFormat="false" ht="30.75" hidden="false" customHeight="true" outlineLevel="0" collapsed="false">
      <c r="B30" s="12" t="s">
        <v>38</v>
      </c>
      <c r="C30" s="12" t="s">
        <v>39</v>
      </c>
      <c r="D30" s="12" t="n">
        <v>26</v>
      </c>
      <c r="E30" s="12" t="s">
        <v>40</v>
      </c>
    </row>
    <row r="31" customFormat="false" ht="30.75" hidden="false" customHeight="true" outlineLevel="0" collapsed="false">
      <c r="B31" s="12" t="s">
        <v>41</v>
      </c>
      <c r="C31" s="12" t="s">
        <v>42</v>
      </c>
      <c r="D31" s="12" t="n">
        <v>16</v>
      </c>
      <c r="E31" s="12" t="s">
        <v>40</v>
      </c>
    </row>
    <row r="32" customFormat="false" ht="30.75" hidden="false" customHeight="true" outlineLevel="0" collapsed="false">
      <c r="B32" s="12" t="s">
        <v>43</v>
      </c>
      <c r="C32" s="12" t="s">
        <v>44</v>
      </c>
      <c r="D32" s="12" t="n">
        <v>10</v>
      </c>
      <c r="E32" s="12" t="s">
        <v>45</v>
      </c>
    </row>
    <row r="33" customFormat="false" ht="30.75" hidden="false" customHeight="true" outlineLevel="0" collapsed="false">
      <c r="B33" s="12" t="s">
        <v>46</v>
      </c>
      <c r="C33" s="12" t="s">
        <v>47</v>
      </c>
      <c r="D33" s="12" t="n">
        <v>10</v>
      </c>
      <c r="E33" s="12" t="s">
        <v>45</v>
      </c>
    </row>
    <row r="34" customFormat="false" ht="16.5" hidden="false" customHeight="true" outlineLevel="0" collapsed="false">
      <c r="B34" s="13" t="s">
        <v>48</v>
      </c>
      <c r="C34" s="13"/>
      <c r="D34" s="13" t="n">
        <v>130</v>
      </c>
      <c r="E34" s="13" t="s">
        <v>49</v>
      </c>
    </row>
    <row r="36" customFormat="false" ht="15.75" hidden="false" customHeight="true" outlineLevel="0" collapsed="false">
      <c r="B36" s="7" t="s">
        <v>50</v>
      </c>
      <c r="C36" s="8"/>
      <c r="D36" s="8"/>
      <c r="E36" s="8"/>
      <c r="F36" s="8"/>
      <c r="G36" s="8"/>
      <c r="H36" s="8"/>
      <c r="I36" s="8"/>
      <c r="J36" s="8"/>
      <c r="K36" s="8"/>
    </row>
    <row r="38" customFormat="false" ht="17.25" hidden="false" customHeight="true" outlineLevel="0" collapsed="false">
      <c r="B38" s="11" t="s">
        <v>13</v>
      </c>
      <c r="C38" s="11" t="s">
        <v>51</v>
      </c>
      <c r="D38" s="11" t="s">
        <v>52</v>
      </c>
      <c r="E38" s="11" t="s">
        <v>53</v>
      </c>
      <c r="F38" s="11" t="s">
        <v>54</v>
      </c>
      <c r="G38" s="11"/>
    </row>
    <row r="39" customFormat="false" ht="58.5" hidden="false" customHeight="true" outlineLevel="0" collapsed="false">
      <c r="B39" s="12" t="s">
        <v>55</v>
      </c>
      <c r="C39" s="12" t="s">
        <v>56</v>
      </c>
      <c r="D39" s="12" t="s">
        <v>57</v>
      </c>
      <c r="E39" s="12" t="s">
        <v>58</v>
      </c>
      <c r="F39" s="12" t="s">
        <v>59</v>
      </c>
      <c r="G39" s="12"/>
    </row>
    <row r="40" customFormat="false" ht="99.75" hidden="false" customHeight="true" outlineLevel="0" collapsed="false">
      <c r="B40" s="14" t="s">
        <v>60</v>
      </c>
      <c r="C40" s="14" t="s">
        <v>61</v>
      </c>
      <c r="D40" s="14" t="s">
        <v>62</v>
      </c>
      <c r="E40" s="15" t="s">
        <v>63</v>
      </c>
      <c r="F40" s="14" t="s">
        <v>59</v>
      </c>
      <c r="G40" s="14"/>
    </row>
    <row r="41" customFormat="false" ht="86.25" hidden="false" customHeight="true" outlineLevel="0" collapsed="false">
      <c r="B41" s="14" t="s">
        <v>60</v>
      </c>
      <c r="C41" s="14" t="s">
        <v>61</v>
      </c>
      <c r="D41" s="14" t="s">
        <v>64</v>
      </c>
      <c r="E41" s="15" t="s">
        <v>65</v>
      </c>
      <c r="F41" s="14" t="s">
        <v>59</v>
      </c>
      <c r="G41" s="14"/>
    </row>
    <row r="42" customFormat="false" ht="135" hidden="false" customHeight="true" outlineLevel="0" collapsed="false">
      <c r="B42" s="14" t="s">
        <v>66</v>
      </c>
      <c r="C42" s="14" t="s">
        <v>61</v>
      </c>
      <c r="D42" s="14" t="s">
        <v>67</v>
      </c>
      <c r="E42" s="15" t="s">
        <v>68</v>
      </c>
      <c r="F42" s="14" t="s">
        <v>59</v>
      </c>
      <c r="G42" s="14"/>
    </row>
    <row r="43" customFormat="false" ht="135" hidden="false" customHeight="true" outlineLevel="0" collapsed="false">
      <c r="B43" s="14" t="s">
        <v>69</v>
      </c>
      <c r="C43" s="14" t="s">
        <v>61</v>
      </c>
      <c r="D43" s="14" t="s">
        <v>70</v>
      </c>
      <c r="E43" s="15" t="s">
        <v>71</v>
      </c>
      <c r="F43" s="14" t="s">
        <v>59</v>
      </c>
      <c r="G43" s="14"/>
    </row>
    <row r="44" customFormat="false" ht="135" hidden="false" customHeight="true" outlineLevel="0" collapsed="false">
      <c r="B44" s="14" t="s">
        <v>72</v>
      </c>
      <c r="C44" s="14" t="s">
        <v>73</v>
      </c>
      <c r="D44" s="14" t="s">
        <v>74</v>
      </c>
      <c r="E44" s="15" t="s">
        <v>75</v>
      </c>
      <c r="F44" s="14" t="s">
        <v>59</v>
      </c>
      <c r="G44" s="14"/>
    </row>
    <row r="46" customFormat="false" ht="15.75" hidden="false" customHeight="true" outlineLevel="0" collapsed="false">
      <c r="B46" s="16" t="s">
        <v>76</v>
      </c>
      <c r="C46" s="16"/>
      <c r="D46" s="16"/>
      <c r="E46" s="16"/>
      <c r="F46" s="16"/>
      <c r="G46" s="16"/>
      <c r="H46" s="16"/>
      <c r="I46" s="16"/>
      <c r="J46" s="16"/>
    </row>
  </sheetData>
  <mergeCells count="22">
    <mergeCell ref="B2:J2"/>
    <mergeCell ref="D3:H3"/>
    <mergeCell ref="B7:J7"/>
    <mergeCell ref="B8:J9"/>
    <mergeCell ref="B10:J11"/>
    <mergeCell ref="B12:J12"/>
    <mergeCell ref="C16:F16"/>
    <mergeCell ref="C17:F17"/>
    <mergeCell ref="C18:F18"/>
    <mergeCell ref="C19:F19"/>
    <mergeCell ref="C20:F20"/>
    <mergeCell ref="C21:F21"/>
    <mergeCell ref="C22:F22"/>
    <mergeCell ref="C23:F23"/>
    <mergeCell ref="F38:G38"/>
    <mergeCell ref="F39:G39"/>
    <mergeCell ref="F40:G40"/>
    <mergeCell ref="F41:G41"/>
    <mergeCell ref="F42:G42"/>
    <mergeCell ref="F43:G43"/>
    <mergeCell ref="F44:G44"/>
    <mergeCell ref="B46:J46"/>
  </mergeCells>
  <hyperlinks>
    <hyperlink ref="B3" location="'N-03 Index DMAIC'!A1" display="← Back to Inde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56"/>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4" topLeftCell="A5" activePane="bottomLeft" state="frozen"/>
      <selection pane="topLeft" activeCell="A1" activeCellId="0" sqref="A1"/>
      <selection pane="bottomLeft" activeCell="D45" activeCellId="0" sqref="D45"/>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7" min="3" style="1" width="22"/>
    <col collapsed="false" customWidth="true" hidden="false" outlineLevel="0" max="10" min="8" style="1" width="14"/>
    <col collapsed="false" customWidth="true" hidden="false" outlineLevel="0" max="11" min="11" style="1" width="40"/>
  </cols>
  <sheetData>
    <row r="1" customFormat="false" ht="15" hidden="false" customHeight="true" outlineLevel="0" collapsed="false">
      <c r="A1" s="2" t="s">
        <v>0</v>
      </c>
    </row>
    <row r="2" customFormat="false" ht="22.5" hidden="false" customHeight="true" outlineLevel="0" collapsed="false">
      <c r="B2" s="3" t="s">
        <v>77</v>
      </c>
      <c r="C2" s="3"/>
      <c r="D2" s="3"/>
      <c r="E2" s="3"/>
      <c r="F2" s="3"/>
      <c r="G2" s="3"/>
      <c r="H2" s="3"/>
      <c r="I2" s="3"/>
      <c r="J2" s="3"/>
      <c r="K2" s="4" t="s">
        <v>2</v>
      </c>
    </row>
    <row r="3" customFormat="false" ht="28.5" hidden="false" customHeight="true" outlineLevel="0" collapsed="false">
      <c r="B3" s="5" t="s">
        <v>3</v>
      </c>
      <c r="D3" s="6" t="s">
        <v>78</v>
      </c>
      <c r="E3" s="6"/>
      <c r="F3" s="6"/>
      <c r="G3" s="6"/>
      <c r="H3" s="6"/>
    </row>
    <row r="5" customFormat="false" ht="15.75" hidden="false" customHeight="true" outlineLevel="0" collapsed="false">
      <c r="B5" s="7" t="s">
        <v>79</v>
      </c>
      <c r="C5" s="8"/>
      <c r="D5" s="8"/>
      <c r="E5" s="8"/>
      <c r="F5" s="8"/>
      <c r="G5" s="8"/>
      <c r="H5" s="8"/>
      <c r="I5" s="8"/>
      <c r="J5" s="8"/>
      <c r="K5" s="8"/>
    </row>
    <row r="7" customFormat="false" ht="15" hidden="false" customHeight="true" outlineLevel="0" collapsed="false">
      <c r="B7" s="17" t="s">
        <v>80</v>
      </c>
      <c r="C7" s="18"/>
      <c r="D7" s="18"/>
      <c r="E7" s="18"/>
      <c r="F7" s="18"/>
      <c r="G7" s="18"/>
      <c r="H7" s="18"/>
    </row>
    <row r="8" customFormat="false" ht="15" hidden="false" customHeight="true" outlineLevel="0" collapsed="false">
      <c r="B8" s="17" t="s">
        <v>81</v>
      </c>
      <c r="C8" s="18"/>
      <c r="D8" s="18"/>
      <c r="E8" s="18"/>
      <c r="F8" s="18"/>
      <c r="G8" s="18"/>
      <c r="H8" s="18"/>
    </row>
    <row r="9" customFormat="false" ht="15" hidden="false" customHeight="true" outlineLevel="0" collapsed="false">
      <c r="B9" s="17" t="s">
        <v>82</v>
      </c>
      <c r="C9" s="18"/>
      <c r="D9" s="18"/>
      <c r="E9" s="18"/>
      <c r="F9" s="18"/>
      <c r="G9" s="18"/>
      <c r="H9" s="18"/>
    </row>
    <row r="10" customFormat="false" ht="15" hidden="false" customHeight="true" outlineLevel="0" collapsed="false">
      <c r="B10" s="5" t="s">
        <v>83</v>
      </c>
    </row>
    <row r="12" customFormat="false" ht="15.75" hidden="false" customHeight="true" outlineLevel="0" collapsed="false">
      <c r="B12" s="7" t="s">
        <v>84</v>
      </c>
      <c r="C12" s="8"/>
      <c r="D12" s="8"/>
      <c r="E12" s="8"/>
      <c r="F12" s="8"/>
      <c r="G12" s="8"/>
      <c r="H12" s="8"/>
      <c r="I12" s="8"/>
      <c r="J12" s="8"/>
      <c r="K12" s="8"/>
    </row>
    <row r="14" customFormat="false" ht="15" hidden="false" customHeight="true" outlineLevel="0" collapsed="false">
      <c r="B14" s="19" t="s">
        <v>85</v>
      </c>
      <c r="C14" s="20" t="s">
        <v>86</v>
      </c>
      <c r="D14" s="19"/>
    </row>
    <row r="16" customFormat="false" ht="16.5" hidden="false" customHeight="true" outlineLevel="0" collapsed="false">
      <c r="B16" s="11" t="s">
        <v>87</v>
      </c>
      <c r="C16" s="11" t="s">
        <v>88</v>
      </c>
      <c r="D16" s="11" t="s">
        <v>89</v>
      </c>
    </row>
    <row r="17" customFormat="false" ht="44.25" hidden="false" customHeight="true" outlineLevel="0" collapsed="false">
      <c r="B17" s="12" t="s">
        <v>90</v>
      </c>
      <c r="C17" s="12" t="s">
        <v>91</v>
      </c>
      <c r="D17" s="12" t="s">
        <v>92</v>
      </c>
    </row>
    <row r="18" customFormat="false" ht="44.25" hidden="false" customHeight="true" outlineLevel="0" collapsed="false">
      <c r="B18" s="12" t="s">
        <v>93</v>
      </c>
      <c r="C18" s="12" t="s">
        <v>94</v>
      </c>
      <c r="D18" s="12" t="s">
        <v>95</v>
      </c>
    </row>
    <row r="19" customFormat="false" ht="30.75" hidden="false" customHeight="true" outlineLevel="0" collapsed="false">
      <c r="B19" s="12" t="s">
        <v>96</v>
      </c>
      <c r="C19" s="12" t="s">
        <v>97</v>
      </c>
      <c r="D19" s="12" t="s">
        <v>98</v>
      </c>
    </row>
    <row r="20" customFormat="false" ht="16.5" hidden="false" customHeight="true" outlineLevel="0" collapsed="false">
      <c r="B20" s="12" t="s">
        <v>99</v>
      </c>
      <c r="C20" s="12" t="s">
        <v>100</v>
      </c>
      <c r="D20" s="12" t="s">
        <v>98</v>
      </c>
    </row>
    <row r="21" customFormat="false" ht="30.75" hidden="false" customHeight="true" outlineLevel="0" collapsed="false">
      <c r="B21" s="12" t="s">
        <v>101</v>
      </c>
      <c r="C21" s="12" t="s">
        <v>102</v>
      </c>
      <c r="D21" s="12" t="s">
        <v>103</v>
      </c>
    </row>
    <row r="23" customFormat="false" ht="15.75" hidden="false" customHeight="true" outlineLevel="0" collapsed="false">
      <c r="B23" s="7" t="s">
        <v>104</v>
      </c>
      <c r="C23" s="8"/>
      <c r="D23" s="8"/>
      <c r="E23" s="8"/>
      <c r="F23" s="8"/>
      <c r="G23" s="8"/>
      <c r="H23" s="8"/>
      <c r="I23" s="8"/>
      <c r="J23" s="8"/>
      <c r="K23" s="8"/>
    </row>
    <row r="25" customFormat="false" ht="17.25" hidden="false" customHeight="true" outlineLevel="0" collapsed="false">
      <c r="B25" s="21" t="s">
        <v>105</v>
      </c>
      <c r="C25" s="21"/>
      <c r="D25" s="21"/>
      <c r="E25" s="21"/>
      <c r="F25" s="21"/>
      <c r="G25" s="21"/>
      <c r="H25" s="21"/>
      <c r="I25" s="21"/>
      <c r="J25" s="21"/>
    </row>
    <row r="27" customFormat="false" ht="17.25" hidden="false" customHeight="true" outlineLevel="0" collapsed="false">
      <c r="B27" s="11" t="s">
        <v>28</v>
      </c>
      <c r="C27" s="11" t="s">
        <v>106</v>
      </c>
      <c r="D27" s="11" t="s">
        <v>107</v>
      </c>
      <c r="E27" s="11"/>
    </row>
    <row r="28" customFormat="false" ht="44.25" hidden="false" customHeight="true" outlineLevel="0" collapsed="false">
      <c r="B28" s="12" t="s">
        <v>108</v>
      </c>
      <c r="C28" s="12" t="s">
        <v>109</v>
      </c>
      <c r="D28" s="12" t="s">
        <v>110</v>
      </c>
      <c r="E28" s="12"/>
    </row>
    <row r="29" customFormat="false" ht="72" hidden="false" customHeight="true" outlineLevel="0" collapsed="false">
      <c r="B29" s="12" t="s">
        <v>111</v>
      </c>
      <c r="C29" s="12" t="s">
        <v>112</v>
      </c>
      <c r="D29" s="12" t="s">
        <v>113</v>
      </c>
      <c r="E29" s="12"/>
    </row>
    <row r="30" customFormat="false" ht="44.25" hidden="false" customHeight="true" outlineLevel="0" collapsed="false">
      <c r="B30" s="12" t="s">
        <v>114</v>
      </c>
      <c r="C30" s="12" t="s">
        <v>115</v>
      </c>
      <c r="D30" s="12" t="s">
        <v>116</v>
      </c>
      <c r="E30" s="12"/>
    </row>
    <row r="31" customFormat="false" ht="72" hidden="false" customHeight="true" outlineLevel="0" collapsed="false">
      <c r="B31" s="12" t="s">
        <v>117</v>
      </c>
      <c r="C31" s="12" t="s">
        <v>118</v>
      </c>
      <c r="D31" s="12" t="s">
        <v>119</v>
      </c>
      <c r="E31" s="12"/>
    </row>
    <row r="32" customFormat="false" ht="58.5" hidden="false" customHeight="true" outlineLevel="0" collapsed="false">
      <c r="B32" s="12" t="s">
        <v>120</v>
      </c>
      <c r="C32" s="12" t="s">
        <v>121</v>
      </c>
      <c r="D32" s="12" t="s">
        <v>122</v>
      </c>
      <c r="E32" s="12"/>
    </row>
    <row r="33" customFormat="false" ht="58.5" hidden="false" customHeight="true" outlineLevel="0" collapsed="false">
      <c r="B33" s="12" t="s">
        <v>123</v>
      </c>
      <c r="C33" s="12" t="s">
        <v>124</v>
      </c>
      <c r="D33" s="12" t="s">
        <v>125</v>
      </c>
      <c r="E33" s="12"/>
    </row>
    <row r="34" customFormat="false" ht="58.5" hidden="false" customHeight="true" outlineLevel="0" collapsed="false">
      <c r="B34" s="12" t="s">
        <v>126</v>
      </c>
      <c r="C34" s="12" t="s">
        <v>127</v>
      </c>
      <c r="D34" s="12" t="s">
        <v>128</v>
      </c>
      <c r="E34" s="12"/>
    </row>
    <row r="35" customFormat="false" ht="58.5" hidden="false" customHeight="true" outlineLevel="0" collapsed="false">
      <c r="B35" s="12" t="s">
        <v>129</v>
      </c>
      <c r="C35" s="12" t="s">
        <v>130</v>
      </c>
      <c r="D35" s="12" t="s">
        <v>131</v>
      </c>
      <c r="E35" s="12"/>
    </row>
    <row r="36" customFormat="false" ht="58.5" hidden="false" customHeight="true" outlineLevel="0" collapsed="false">
      <c r="B36" s="12" t="s">
        <v>132</v>
      </c>
      <c r="C36" s="12" t="s">
        <v>133</v>
      </c>
      <c r="D36" s="12" t="s">
        <v>134</v>
      </c>
      <c r="E36" s="12"/>
    </row>
    <row r="37" customFormat="false" ht="58.5" hidden="false" customHeight="true" outlineLevel="0" collapsed="false">
      <c r="B37" s="12" t="s">
        <v>135</v>
      </c>
      <c r="C37" s="12" t="s">
        <v>136</v>
      </c>
      <c r="D37" s="12" t="s">
        <v>137</v>
      </c>
      <c r="E37" s="12"/>
    </row>
    <row r="39" customFormat="false" ht="15.75" hidden="false" customHeight="true" outlineLevel="0" collapsed="false">
      <c r="B39" s="7" t="s">
        <v>138</v>
      </c>
      <c r="C39" s="8"/>
      <c r="D39" s="8"/>
      <c r="E39" s="8"/>
      <c r="F39" s="8"/>
      <c r="G39" s="8"/>
      <c r="H39" s="8"/>
      <c r="I39" s="8"/>
      <c r="J39" s="8"/>
      <c r="K39" s="8"/>
    </row>
    <row r="41" customFormat="false" ht="16.5" hidden="false" customHeight="true" outlineLevel="0" collapsed="false">
      <c r="B41" s="11" t="s">
        <v>139</v>
      </c>
      <c r="C41" s="11" t="s">
        <v>140</v>
      </c>
      <c r="D41" s="11" t="s">
        <v>141</v>
      </c>
    </row>
    <row r="42" customFormat="false" ht="30.75" hidden="false" customHeight="true" outlineLevel="0" collapsed="false">
      <c r="B42" s="12" t="s">
        <v>142</v>
      </c>
      <c r="C42" s="22" t="s">
        <v>143</v>
      </c>
      <c r="D42" s="12" t="s">
        <v>144</v>
      </c>
    </row>
    <row r="43" customFormat="false" ht="30.75" hidden="false" customHeight="true" outlineLevel="0" collapsed="false">
      <c r="B43" s="12" t="s">
        <v>145</v>
      </c>
      <c r="C43" s="22" t="s">
        <v>146</v>
      </c>
      <c r="D43" s="12" t="s">
        <v>147</v>
      </c>
    </row>
    <row r="44" customFormat="false" ht="30.75" hidden="false" customHeight="true" outlineLevel="0" collapsed="false">
      <c r="B44" s="12" t="s">
        <v>148</v>
      </c>
      <c r="C44" s="22" t="s">
        <v>149</v>
      </c>
      <c r="D44" s="12" t="s">
        <v>150</v>
      </c>
    </row>
    <row r="45" customFormat="false" ht="30.75" hidden="false" customHeight="true" outlineLevel="0" collapsed="false">
      <c r="B45" s="12" t="s">
        <v>151</v>
      </c>
      <c r="C45" s="22" t="s">
        <v>152</v>
      </c>
      <c r="D45" s="12" t="s">
        <v>153</v>
      </c>
    </row>
    <row r="47" customFormat="false" ht="31.5" hidden="false" customHeight="true" outlineLevel="0" collapsed="false">
      <c r="B47" s="23" t="s">
        <v>154</v>
      </c>
      <c r="C47" s="23"/>
      <c r="D47" s="23"/>
      <c r="E47" s="23"/>
      <c r="F47" s="23"/>
      <c r="G47" s="23"/>
      <c r="H47" s="23"/>
      <c r="I47" s="23"/>
      <c r="J47" s="23"/>
    </row>
    <row r="50" customFormat="false" ht="15.75" hidden="false" customHeight="true" outlineLevel="0" collapsed="false">
      <c r="B50" s="7" t="s">
        <v>155</v>
      </c>
      <c r="C50" s="8"/>
      <c r="D50" s="8"/>
      <c r="E50" s="8"/>
      <c r="F50" s="8"/>
      <c r="G50" s="8"/>
      <c r="H50" s="8"/>
      <c r="I50" s="8"/>
      <c r="J50" s="8"/>
      <c r="K50" s="8"/>
    </row>
    <row r="52" customFormat="false" ht="31.5" hidden="false" customHeight="true" outlineLevel="0" collapsed="false">
      <c r="B52" s="9" t="s">
        <v>156</v>
      </c>
      <c r="C52" s="9"/>
      <c r="D52" s="9"/>
      <c r="E52" s="9"/>
      <c r="F52" s="9"/>
      <c r="G52" s="9"/>
      <c r="H52" s="9"/>
      <c r="I52" s="9"/>
      <c r="J52" s="9"/>
    </row>
    <row r="53" customFormat="false" ht="17.25" hidden="false" customHeight="true" outlineLevel="0" collapsed="false">
      <c r="B53" s="9" t="s">
        <v>157</v>
      </c>
      <c r="C53" s="9"/>
      <c r="D53" s="9"/>
      <c r="E53" s="9"/>
      <c r="F53" s="9"/>
      <c r="G53" s="9"/>
      <c r="H53" s="9"/>
      <c r="I53" s="9"/>
      <c r="J53" s="9"/>
    </row>
    <row r="54" customFormat="false" ht="31.5" hidden="false" customHeight="true" outlineLevel="0" collapsed="false">
      <c r="B54" s="9" t="s">
        <v>158</v>
      </c>
      <c r="C54" s="9"/>
      <c r="D54" s="9"/>
      <c r="E54" s="9"/>
      <c r="F54" s="9"/>
      <c r="G54" s="9"/>
      <c r="H54" s="9"/>
      <c r="I54" s="9"/>
      <c r="J54" s="9"/>
    </row>
    <row r="55" customFormat="false" ht="31.5" hidden="false" customHeight="true" outlineLevel="0" collapsed="false">
      <c r="B55" s="9" t="s">
        <v>159</v>
      </c>
      <c r="C55" s="9"/>
      <c r="D55" s="9"/>
      <c r="E55" s="9"/>
      <c r="F55" s="9"/>
      <c r="G55" s="9"/>
      <c r="H55" s="9"/>
      <c r="I55" s="9"/>
      <c r="J55" s="9"/>
    </row>
    <row r="56" customFormat="false" ht="17.25" hidden="false" customHeight="true" outlineLevel="0" collapsed="false">
      <c r="B56" s="9" t="s">
        <v>160</v>
      </c>
      <c r="C56" s="9"/>
      <c r="D56" s="9"/>
      <c r="E56" s="9"/>
      <c r="F56" s="9"/>
      <c r="G56" s="9"/>
      <c r="H56" s="9"/>
      <c r="I56" s="9"/>
      <c r="J56" s="9"/>
    </row>
  </sheetData>
  <mergeCells count="20">
    <mergeCell ref="B2:J2"/>
    <mergeCell ref="D3:H3"/>
    <mergeCell ref="B25:J25"/>
    <mergeCell ref="D27:E27"/>
    <mergeCell ref="D28:E28"/>
    <mergeCell ref="D29:E29"/>
    <mergeCell ref="D30:E30"/>
    <mergeCell ref="D31:E31"/>
    <mergeCell ref="D32:E32"/>
    <mergeCell ref="D33:E33"/>
    <mergeCell ref="D34:E34"/>
    <mergeCell ref="D35:E35"/>
    <mergeCell ref="D36:E36"/>
    <mergeCell ref="D37:E37"/>
    <mergeCell ref="B47:J47"/>
    <mergeCell ref="B52:J52"/>
    <mergeCell ref="B53:J53"/>
    <mergeCell ref="B54:J54"/>
    <mergeCell ref="B55:J55"/>
    <mergeCell ref="B56:J56"/>
  </mergeCells>
  <hyperlinks>
    <hyperlink ref="B3" location="'N-03 Index DMAIC'!A1" display="← Back to Index"/>
    <hyperlink ref="B10" location="'N-06 Index by Problem'!A1" display="→ Go to N-06 Index by Problem"/>
    <hyperlink ref="C42" location="'N-03 Index DMAIC'!A1" display="N-03 Index DMAIC"/>
    <hyperlink ref="C43" location="'N-04 Index by Question'!A1" display="N-04 Index by Question"/>
    <hyperlink ref="C44" location="'N-05 Test Selector'!A1" display="N-05 Test Selector"/>
    <hyperlink ref="C45" location="'N-06 Index by Problem'!A1" display="N-06 Index by Proble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143"/>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8"/>
    <col collapsed="false" customWidth="true" hidden="false" outlineLevel="0" max="3" min="3" style="1" width="32"/>
    <col collapsed="false" customWidth="true" hidden="false" outlineLevel="0" max="5" min="4" style="1" width="12"/>
    <col collapsed="false" customWidth="true" hidden="false" outlineLevel="0" max="6" min="6" style="1" width="54"/>
    <col collapsed="false" customWidth="true" hidden="false" outlineLevel="0" max="7" min="7" style="1" width="30"/>
    <col collapsed="false" customWidth="true" hidden="false" outlineLevel="0" max="8" min="8" style="1" width="12"/>
    <col collapsed="false" customWidth="true" hidden="false" outlineLevel="0" max="9" min="9" style="1" width="13"/>
    <col collapsed="false" customWidth="true" hidden="false" outlineLevel="0" max="10" min="10" style="1" width="38"/>
    <col collapsed="false" customWidth="true" hidden="false" outlineLevel="0" max="11" min="11" style="1" width="8"/>
  </cols>
  <sheetData>
    <row r="1" customFormat="false" ht="15" hidden="false" customHeight="true" outlineLevel="0" collapsed="false">
      <c r="A1" s="2" t="s">
        <v>0</v>
      </c>
    </row>
    <row r="2" customFormat="false" ht="22.5" hidden="false" customHeight="true" outlineLevel="0" collapsed="false">
      <c r="B2" s="3" t="s">
        <v>161</v>
      </c>
      <c r="C2" s="3"/>
      <c r="D2" s="3"/>
      <c r="E2" s="3"/>
      <c r="F2" s="3"/>
      <c r="G2" s="3"/>
      <c r="H2" s="3"/>
      <c r="I2" s="3"/>
      <c r="J2" s="3"/>
      <c r="K2" s="4" t="s">
        <v>2</v>
      </c>
    </row>
    <row r="3" customFormat="false" ht="28.5" hidden="false" customHeight="true" outlineLevel="0" collapsed="false">
      <c r="B3" s="24" t="s">
        <v>3</v>
      </c>
      <c r="C3" s="24"/>
      <c r="D3" s="6" t="s">
        <v>162</v>
      </c>
      <c r="E3" s="6"/>
      <c r="F3" s="6"/>
      <c r="G3" s="6"/>
    </row>
    <row r="5" customFormat="false" ht="30.75" hidden="false" customHeight="true" outlineLevel="0" collapsed="false">
      <c r="B5" s="11" t="s">
        <v>163</v>
      </c>
      <c r="C5" s="11" t="s">
        <v>164</v>
      </c>
      <c r="D5" s="11" t="s">
        <v>28</v>
      </c>
      <c r="E5" s="11" t="s">
        <v>165</v>
      </c>
      <c r="F5" s="11" t="s">
        <v>166</v>
      </c>
      <c r="G5" s="11" t="s">
        <v>167</v>
      </c>
      <c r="H5" s="11" t="s">
        <v>168</v>
      </c>
      <c r="I5" s="11" t="s">
        <v>169</v>
      </c>
      <c r="J5" s="11" t="s">
        <v>170</v>
      </c>
      <c r="K5" s="11" t="s">
        <v>171</v>
      </c>
    </row>
    <row r="6" customFormat="false" ht="15" hidden="false" customHeight="true" outlineLevel="0" collapsed="false">
      <c r="B6" s="25" t="s">
        <v>172</v>
      </c>
      <c r="C6" s="26"/>
      <c r="D6" s="26"/>
      <c r="E6" s="26"/>
      <c r="F6" s="26"/>
      <c r="G6" s="26"/>
      <c r="H6" s="26"/>
      <c r="I6" s="26"/>
      <c r="J6" s="26"/>
      <c r="K6" s="26"/>
    </row>
    <row r="7" customFormat="false" ht="16.5" hidden="false" customHeight="true" outlineLevel="0" collapsed="false">
      <c r="B7" s="27" t="s">
        <v>173</v>
      </c>
      <c r="C7" s="22" t="s">
        <v>174</v>
      </c>
      <c r="D7" s="27" t="s">
        <v>41</v>
      </c>
      <c r="E7" s="27" t="s">
        <v>175</v>
      </c>
      <c r="F7" s="12" t="s">
        <v>176</v>
      </c>
      <c r="G7" s="12" t="s">
        <v>177</v>
      </c>
      <c r="H7" s="27" t="s">
        <v>178</v>
      </c>
      <c r="I7" s="27" t="n">
        <v>2</v>
      </c>
      <c r="J7" s="12" t="s">
        <v>179</v>
      </c>
      <c r="K7" s="28" t="s">
        <v>180</v>
      </c>
    </row>
    <row r="8" customFormat="false" ht="16.5" hidden="false" customHeight="true" outlineLevel="0" collapsed="false">
      <c r="B8" s="27" t="s">
        <v>181</v>
      </c>
      <c r="C8" s="22" t="s">
        <v>182</v>
      </c>
      <c r="D8" s="27" t="s">
        <v>41</v>
      </c>
      <c r="E8" s="27" t="s">
        <v>175</v>
      </c>
      <c r="F8" s="12" t="s">
        <v>183</v>
      </c>
      <c r="G8" s="12" t="s">
        <v>184</v>
      </c>
      <c r="H8" s="27" t="s">
        <v>178</v>
      </c>
      <c r="I8" s="27" t="n">
        <v>1</v>
      </c>
      <c r="J8" s="12" t="s">
        <v>185</v>
      </c>
      <c r="K8" s="28" t="s">
        <v>180</v>
      </c>
    </row>
    <row r="9" customFormat="false" ht="16.5" hidden="false" customHeight="true" outlineLevel="0" collapsed="false">
      <c r="B9" s="27" t="s">
        <v>186</v>
      </c>
      <c r="C9" s="22" t="s">
        <v>187</v>
      </c>
      <c r="D9" s="27" t="s">
        <v>41</v>
      </c>
      <c r="E9" s="27" t="s">
        <v>175</v>
      </c>
      <c r="F9" s="12" t="s">
        <v>188</v>
      </c>
      <c r="G9" s="12" t="s">
        <v>189</v>
      </c>
      <c r="H9" s="27" t="s">
        <v>178</v>
      </c>
      <c r="I9" s="27" t="n">
        <v>2</v>
      </c>
      <c r="J9" s="12" t="s">
        <v>190</v>
      </c>
      <c r="K9" s="28" t="s">
        <v>180</v>
      </c>
    </row>
    <row r="10" customFormat="false" ht="16.5" hidden="false" customHeight="true" outlineLevel="0" collapsed="false">
      <c r="B10" s="27" t="s">
        <v>191</v>
      </c>
      <c r="C10" s="22" t="s">
        <v>192</v>
      </c>
      <c r="D10" s="27" t="s">
        <v>41</v>
      </c>
      <c r="E10" s="27" t="s">
        <v>175</v>
      </c>
      <c r="F10" s="12" t="s">
        <v>193</v>
      </c>
      <c r="G10" s="12" t="s">
        <v>194</v>
      </c>
      <c r="H10" s="27" t="s">
        <v>178</v>
      </c>
      <c r="I10" s="27" t="n">
        <v>2</v>
      </c>
      <c r="J10" s="12" t="s">
        <v>195</v>
      </c>
      <c r="K10" s="28" t="s">
        <v>180</v>
      </c>
    </row>
    <row r="11" customFormat="false" ht="16.5" hidden="false" customHeight="true" outlineLevel="0" collapsed="false">
      <c r="B11" s="27" t="s">
        <v>196</v>
      </c>
      <c r="C11" s="22" t="s">
        <v>197</v>
      </c>
      <c r="D11" s="27" t="s">
        <v>43</v>
      </c>
      <c r="E11" s="27" t="s">
        <v>175</v>
      </c>
      <c r="F11" s="12" t="s">
        <v>198</v>
      </c>
      <c r="G11" s="12" t="s">
        <v>199</v>
      </c>
      <c r="H11" s="27" t="s">
        <v>178</v>
      </c>
      <c r="I11" s="27" t="n">
        <v>2</v>
      </c>
      <c r="J11" s="12" t="s">
        <v>200</v>
      </c>
      <c r="K11" s="28" t="s">
        <v>180</v>
      </c>
    </row>
    <row r="12" customFormat="false" ht="16.5" hidden="false" customHeight="true" outlineLevel="0" collapsed="false">
      <c r="B12" s="27" t="s">
        <v>201</v>
      </c>
      <c r="C12" s="22" t="s">
        <v>202</v>
      </c>
      <c r="D12" s="27" t="s">
        <v>43</v>
      </c>
      <c r="E12" s="27" t="s">
        <v>175</v>
      </c>
      <c r="F12" s="12" t="s">
        <v>203</v>
      </c>
      <c r="G12" s="12" t="s">
        <v>204</v>
      </c>
      <c r="H12" s="27" t="s">
        <v>178</v>
      </c>
      <c r="I12" s="27" t="n">
        <v>3</v>
      </c>
      <c r="J12" s="12" t="s">
        <v>205</v>
      </c>
      <c r="K12" s="28" t="s">
        <v>180</v>
      </c>
    </row>
    <row r="13" customFormat="false" ht="16.5" hidden="false" customHeight="true" outlineLevel="0" collapsed="false">
      <c r="B13" s="27" t="s">
        <v>206</v>
      </c>
      <c r="C13" s="22" t="s">
        <v>207</v>
      </c>
      <c r="D13" s="27" t="s">
        <v>43</v>
      </c>
      <c r="E13" s="27" t="s">
        <v>175</v>
      </c>
      <c r="F13" s="12" t="s">
        <v>208</v>
      </c>
      <c r="G13" s="12" t="s">
        <v>209</v>
      </c>
      <c r="H13" s="27" t="s">
        <v>178</v>
      </c>
      <c r="I13" s="27" t="n">
        <v>2</v>
      </c>
      <c r="J13" s="12" t="s">
        <v>210</v>
      </c>
      <c r="K13" s="28" t="s">
        <v>180</v>
      </c>
    </row>
    <row r="14" customFormat="false" ht="16.5" hidden="false" customHeight="true" outlineLevel="0" collapsed="false">
      <c r="B14" s="27" t="s">
        <v>211</v>
      </c>
      <c r="C14" s="22" t="s">
        <v>212</v>
      </c>
      <c r="D14" s="27" t="s">
        <v>43</v>
      </c>
      <c r="E14" s="27" t="s">
        <v>175</v>
      </c>
      <c r="F14" s="12" t="s">
        <v>213</v>
      </c>
      <c r="G14" s="12" t="s">
        <v>214</v>
      </c>
      <c r="H14" s="27" t="s">
        <v>178</v>
      </c>
      <c r="I14" s="27" t="n">
        <v>1</v>
      </c>
      <c r="J14" s="12" t="s">
        <v>215</v>
      </c>
      <c r="K14" s="28" t="s">
        <v>180</v>
      </c>
    </row>
    <row r="15" customFormat="false" ht="16.5" hidden="false" customHeight="true" outlineLevel="0" collapsed="false">
      <c r="B15" s="27" t="s">
        <v>216</v>
      </c>
      <c r="C15" s="22" t="s">
        <v>217</v>
      </c>
      <c r="D15" s="27" t="s">
        <v>43</v>
      </c>
      <c r="E15" s="27" t="s">
        <v>175</v>
      </c>
      <c r="F15" s="12" t="s">
        <v>218</v>
      </c>
      <c r="G15" s="12" t="s">
        <v>219</v>
      </c>
      <c r="H15" s="27" t="s">
        <v>178</v>
      </c>
      <c r="I15" s="27" t="n">
        <v>1</v>
      </c>
      <c r="J15" s="12" t="s">
        <v>220</v>
      </c>
      <c r="K15" s="28" t="s">
        <v>180</v>
      </c>
    </row>
    <row r="16" customFormat="false" ht="15" hidden="false" customHeight="true" outlineLevel="0" collapsed="false">
      <c r="B16" s="25" t="s">
        <v>221</v>
      </c>
      <c r="C16" s="26"/>
      <c r="D16" s="26"/>
      <c r="E16" s="26"/>
      <c r="F16" s="26"/>
      <c r="G16" s="26"/>
      <c r="H16" s="26"/>
      <c r="I16" s="26"/>
      <c r="J16" s="26"/>
      <c r="K16" s="26"/>
    </row>
    <row r="17" customFormat="false" ht="30.75" hidden="false" customHeight="true" outlineLevel="0" collapsed="false">
      <c r="B17" s="27" t="s">
        <v>222</v>
      </c>
      <c r="C17" s="22" t="s">
        <v>223</v>
      </c>
      <c r="D17" s="27" t="s">
        <v>35</v>
      </c>
      <c r="E17" s="27" t="s">
        <v>224</v>
      </c>
      <c r="F17" s="12" t="s">
        <v>225</v>
      </c>
      <c r="G17" s="12" t="s">
        <v>226</v>
      </c>
      <c r="H17" s="27" t="s">
        <v>178</v>
      </c>
      <c r="I17" s="27" t="n">
        <v>1</v>
      </c>
      <c r="J17" s="12" t="s">
        <v>227</v>
      </c>
      <c r="K17" s="28" t="s">
        <v>180</v>
      </c>
    </row>
    <row r="18" customFormat="false" ht="16.5" hidden="false" customHeight="true" outlineLevel="0" collapsed="false">
      <c r="B18" s="27" t="s">
        <v>228</v>
      </c>
      <c r="C18" s="22" t="s">
        <v>229</v>
      </c>
      <c r="D18" s="27" t="s">
        <v>35</v>
      </c>
      <c r="E18" s="27" t="s">
        <v>224</v>
      </c>
      <c r="F18" s="12" t="s">
        <v>230</v>
      </c>
      <c r="G18" s="12" t="s">
        <v>231</v>
      </c>
      <c r="H18" s="27" t="n">
        <v>5</v>
      </c>
      <c r="I18" s="27" t="n">
        <v>1</v>
      </c>
      <c r="J18" s="12" t="s">
        <v>232</v>
      </c>
      <c r="K18" s="28" t="s">
        <v>180</v>
      </c>
    </row>
    <row r="19" customFormat="false" ht="30.75" hidden="false" customHeight="true" outlineLevel="0" collapsed="false">
      <c r="B19" s="27" t="s">
        <v>233</v>
      </c>
      <c r="C19" s="22" t="s">
        <v>234</v>
      </c>
      <c r="D19" s="27" t="s">
        <v>35</v>
      </c>
      <c r="E19" s="27" t="s">
        <v>224</v>
      </c>
      <c r="F19" s="12" t="s">
        <v>235</v>
      </c>
      <c r="G19" s="12" t="s">
        <v>236</v>
      </c>
      <c r="H19" s="27" t="n">
        <v>10</v>
      </c>
      <c r="I19" s="27" t="n">
        <v>1</v>
      </c>
      <c r="J19" s="12" t="s">
        <v>237</v>
      </c>
      <c r="K19" s="28" t="s">
        <v>180</v>
      </c>
    </row>
    <row r="20" customFormat="false" ht="30.75" hidden="false" customHeight="true" outlineLevel="0" collapsed="false">
      <c r="B20" s="27" t="s">
        <v>238</v>
      </c>
      <c r="C20" s="22" t="s">
        <v>239</v>
      </c>
      <c r="D20" s="27" t="s">
        <v>35</v>
      </c>
      <c r="E20" s="27" t="s">
        <v>224</v>
      </c>
      <c r="F20" s="12" t="s">
        <v>240</v>
      </c>
      <c r="G20" s="12" t="s">
        <v>236</v>
      </c>
      <c r="H20" s="27" t="n">
        <v>25</v>
      </c>
      <c r="I20" s="27" t="n">
        <v>2</v>
      </c>
      <c r="J20" s="12" t="s">
        <v>241</v>
      </c>
      <c r="K20" s="28" t="s">
        <v>180</v>
      </c>
    </row>
    <row r="21" customFormat="false" ht="16.5" hidden="false" customHeight="true" outlineLevel="0" collapsed="false">
      <c r="B21" s="27" t="s">
        <v>242</v>
      </c>
      <c r="C21" s="22" t="s">
        <v>243</v>
      </c>
      <c r="D21" s="27" t="s">
        <v>35</v>
      </c>
      <c r="E21" s="27" t="s">
        <v>224</v>
      </c>
      <c r="F21" s="12" t="s">
        <v>244</v>
      </c>
      <c r="G21" s="12" t="s">
        <v>245</v>
      </c>
      <c r="H21" s="27" t="s">
        <v>178</v>
      </c>
      <c r="I21" s="27" t="n">
        <v>3</v>
      </c>
      <c r="J21" s="12" t="s">
        <v>246</v>
      </c>
      <c r="K21" s="28" t="s">
        <v>180</v>
      </c>
    </row>
    <row r="22" customFormat="false" ht="30.75" hidden="false" customHeight="true" outlineLevel="0" collapsed="false">
      <c r="B22" s="27" t="s">
        <v>247</v>
      </c>
      <c r="C22" s="22" t="s">
        <v>248</v>
      </c>
      <c r="D22" s="27" t="s">
        <v>35</v>
      </c>
      <c r="E22" s="27" t="s">
        <v>224</v>
      </c>
      <c r="F22" s="12" t="s">
        <v>249</v>
      </c>
      <c r="G22" s="12" t="s">
        <v>250</v>
      </c>
      <c r="H22" s="27" t="s">
        <v>178</v>
      </c>
      <c r="I22" s="27" t="n">
        <v>2</v>
      </c>
      <c r="J22" s="12" t="s">
        <v>251</v>
      </c>
      <c r="K22" s="28" t="s">
        <v>180</v>
      </c>
    </row>
    <row r="23" customFormat="false" ht="16.5" hidden="false" customHeight="true" outlineLevel="0" collapsed="false">
      <c r="B23" s="27" t="s">
        <v>252</v>
      </c>
      <c r="C23" s="22" t="s">
        <v>253</v>
      </c>
      <c r="D23" s="27" t="s">
        <v>35</v>
      </c>
      <c r="E23" s="27" t="s">
        <v>224</v>
      </c>
      <c r="F23" s="12" t="s">
        <v>254</v>
      </c>
      <c r="G23" s="12" t="s">
        <v>255</v>
      </c>
      <c r="H23" s="27" t="s">
        <v>178</v>
      </c>
      <c r="I23" s="27" t="n">
        <v>2</v>
      </c>
      <c r="J23" s="12" t="s">
        <v>256</v>
      </c>
      <c r="K23" s="28" t="s">
        <v>180</v>
      </c>
    </row>
    <row r="24" customFormat="false" ht="16.5" hidden="false" customHeight="true" outlineLevel="0" collapsed="false">
      <c r="B24" s="27" t="s">
        <v>257</v>
      </c>
      <c r="C24" s="22" t="s">
        <v>258</v>
      </c>
      <c r="D24" s="27" t="s">
        <v>35</v>
      </c>
      <c r="E24" s="27" t="s">
        <v>224</v>
      </c>
      <c r="F24" s="12" t="s">
        <v>259</v>
      </c>
      <c r="G24" s="12" t="s">
        <v>260</v>
      </c>
      <c r="H24" s="27" t="s">
        <v>178</v>
      </c>
      <c r="I24" s="27" t="n">
        <v>3</v>
      </c>
      <c r="J24" s="12" t="s">
        <v>261</v>
      </c>
      <c r="K24" s="28" t="s">
        <v>180</v>
      </c>
    </row>
    <row r="25" customFormat="false" ht="16.5" hidden="false" customHeight="true" outlineLevel="0" collapsed="false">
      <c r="B25" s="27" t="s">
        <v>262</v>
      </c>
      <c r="C25" s="22" t="s">
        <v>263</v>
      </c>
      <c r="D25" s="27" t="s">
        <v>35</v>
      </c>
      <c r="E25" s="27" t="s">
        <v>224</v>
      </c>
      <c r="F25" s="12" t="s">
        <v>264</v>
      </c>
      <c r="G25" s="12" t="s">
        <v>265</v>
      </c>
      <c r="H25" s="27" t="s">
        <v>178</v>
      </c>
      <c r="I25" s="27" t="n">
        <v>3</v>
      </c>
      <c r="J25" s="12" t="s">
        <v>266</v>
      </c>
      <c r="K25" s="28" t="s">
        <v>180</v>
      </c>
    </row>
    <row r="26" customFormat="false" ht="30.75" hidden="false" customHeight="true" outlineLevel="0" collapsed="false">
      <c r="B26" s="27" t="s">
        <v>267</v>
      </c>
      <c r="C26" s="22" t="s">
        <v>268</v>
      </c>
      <c r="D26" s="27" t="s">
        <v>35</v>
      </c>
      <c r="E26" s="27" t="s">
        <v>224</v>
      </c>
      <c r="F26" s="12" t="s">
        <v>269</v>
      </c>
      <c r="G26" s="12" t="s">
        <v>270</v>
      </c>
      <c r="H26" s="27" t="s">
        <v>178</v>
      </c>
      <c r="I26" s="27" t="n">
        <v>2</v>
      </c>
      <c r="J26" s="12" t="s">
        <v>271</v>
      </c>
      <c r="K26" s="28" t="s">
        <v>180</v>
      </c>
    </row>
    <row r="27" customFormat="false" ht="30.75" hidden="false" customHeight="true" outlineLevel="0" collapsed="false">
      <c r="B27" s="27" t="s">
        <v>272</v>
      </c>
      <c r="C27" s="22" t="s">
        <v>273</v>
      </c>
      <c r="D27" s="27" t="s">
        <v>35</v>
      </c>
      <c r="E27" s="27" t="s">
        <v>224</v>
      </c>
      <c r="F27" s="12" t="s">
        <v>274</v>
      </c>
      <c r="G27" s="12" t="s">
        <v>275</v>
      </c>
      <c r="H27" s="27" t="s">
        <v>178</v>
      </c>
      <c r="I27" s="27" t="n">
        <v>2</v>
      </c>
      <c r="J27" s="12" t="s">
        <v>276</v>
      </c>
      <c r="K27" s="28" t="s">
        <v>180</v>
      </c>
    </row>
    <row r="28" customFormat="false" ht="30.75" hidden="false" customHeight="true" outlineLevel="0" collapsed="false">
      <c r="B28" s="27" t="s">
        <v>277</v>
      </c>
      <c r="C28" s="22" t="s">
        <v>278</v>
      </c>
      <c r="D28" s="27" t="s">
        <v>35</v>
      </c>
      <c r="E28" s="27" t="s">
        <v>224</v>
      </c>
      <c r="F28" s="12" t="s">
        <v>279</v>
      </c>
      <c r="G28" s="12" t="s">
        <v>280</v>
      </c>
      <c r="H28" s="27" t="n">
        <v>15</v>
      </c>
      <c r="I28" s="27" t="n">
        <v>4</v>
      </c>
      <c r="J28" s="12" t="s">
        <v>281</v>
      </c>
      <c r="K28" s="28" t="s">
        <v>180</v>
      </c>
    </row>
    <row r="29" customFormat="false" ht="16.5" hidden="false" customHeight="true" outlineLevel="0" collapsed="false">
      <c r="B29" s="27" t="s">
        <v>282</v>
      </c>
      <c r="C29" s="22" t="s">
        <v>283</v>
      </c>
      <c r="D29" s="27" t="s">
        <v>35</v>
      </c>
      <c r="E29" s="27" t="s">
        <v>224</v>
      </c>
      <c r="F29" s="12" t="s">
        <v>284</v>
      </c>
      <c r="G29" s="12" t="s">
        <v>236</v>
      </c>
      <c r="H29" s="27" t="n">
        <v>25</v>
      </c>
      <c r="I29" s="27" t="n">
        <v>4</v>
      </c>
      <c r="J29" s="12" t="s">
        <v>285</v>
      </c>
      <c r="K29" s="28" t="s">
        <v>180</v>
      </c>
    </row>
    <row r="30" customFormat="false" ht="16.5" hidden="false" customHeight="true" outlineLevel="0" collapsed="false">
      <c r="B30" s="27" t="s">
        <v>286</v>
      </c>
      <c r="C30" s="22" t="s">
        <v>287</v>
      </c>
      <c r="D30" s="27" t="s">
        <v>35</v>
      </c>
      <c r="E30" s="27" t="s">
        <v>224</v>
      </c>
      <c r="F30" s="12" t="s">
        <v>288</v>
      </c>
      <c r="G30" s="12" t="s">
        <v>289</v>
      </c>
      <c r="H30" s="27" t="n">
        <v>5</v>
      </c>
      <c r="I30" s="27" t="n">
        <v>2</v>
      </c>
      <c r="J30" s="12" t="s">
        <v>290</v>
      </c>
      <c r="K30" s="28" t="s">
        <v>180</v>
      </c>
    </row>
    <row r="31" customFormat="false" ht="16.5" hidden="false" customHeight="true" outlineLevel="0" collapsed="false">
      <c r="B31" s="27" t="s">
        <v>291</v>
      </c>
      <c r="C31" s="22" t="s">
        <v>292</v>
      </c>
      <c r="D31" s="27" t="s">
        <v>35</v>
      </c>
      <c r="E31" s="27" t="s">
        <v>224</v>
      </c>
      <c r="F31" s="12" t="s">
        <v>293</v>
      </c>
      <c r="G31" s="12" t="s">
        <v>294</v>
      </c>
      <c r="H31" s="27" t="n">
        <v>5</v>
      </c>
      <c r="I31" s="27" t="n">
        <v>2</v>
      </c>
      <c r="J31" s="12" t="s">
        <v>295</v>
      </c>
      <c r="K31" s="28" t="s">
        <v>180</v>
      </c>
    </row>
    <row r="32" customFormat="false" ht="16.5" hidden="false" customHeight="true" outlineLevel="0" collapsed="false">
      <c r="B32" s="27" t="s">
        <v>296</v>
      </c>
      <c r="C32" s="22" t="s">
        <v>297</v>
      </c>
      <c r="D32" s="27" t="s">
        <v>35</v>
      </c>
      <c r="E32" s="27" t="s">
        <v>224</v>
      </c>
      <c r="F32" s="12" t="s">
        <v>298</v>
      </c>
      <c r="G32" s="12" t="s">
        <v>299</v>
      </c>
      <c r="H32" s="27" t="n">
        <v>20</v>
      </c>
      <c r="I32" s="27" t="n">
        <v>3</v>
      </c>
      <c r="J32" s="12" t="s">
        <v>300</v>
      </c>
      <c r="K32" s="28" t="s">
        <v>180</v>
      </c>
    </row>
    <row r="33" customFormat="false" ht="16.5" hidden="false" customHeight="true" outlineLevel="0" collapsed="false">
      <c r="B33" s="27" t="s">
        <v>301</v>
      </c>
      <c r="C33" s="22" t="s">
        <v>302</v>
      </c>
      <c r="D33" s="27" t="s">
        <v>35</v>
      </c>
      <c r="E33" s="27" t="s">
        <v>224</v>
      </c>
      <c r="F33" s="12" t="s">
        <v>303</v>
      </c>
      <c r="G33" s="12" t="s">
        <v>304</v>
      </c>
      <c r="H33" s="27" t="s">
        <v>178</v>
      </c>
      <c r="I33" s="27" t="n">
        <v>3</v>
      </c>
      <c r="J33" s="12" t="s">
        <v>305</v>
      </c>
      <c r="K33" s="28" t="s">
        <v>180</v>
      </c>
    </row>
    <row r="34" customFormat="false" ht="30.75" hidden="false" customHeight="true" outlineLevel="0" collapsed="false">
      <c r="B34" s="27" t="s">
        <v>306</v>
      </c>
      <c r="C34" s="22" t="s">
        <v>307</v>
      </c>
      <c r="D34" s="27" t="s">
        <v>35</v>
      </c>
      <c r="E34" s="27" t="s">
        <v>224</v>
      </c>
      <c r="F34" s="12" t="s">
        <v>308</v>
      </c>
      <c r="G34" s="12" t="s">
        <v>309</v>
      </c>
      <c r="H34" s="27" t="n">
        <v>30</v>
      </c>
      <c r="I34" s="27" t="n">
        <v>3</v>
      </c>
      <c r="J34" s="12" t="s">
        <v>310</v>
      </c>
      <c r="K34" s="28" t="s">
        <v>180</v>
      </c>
    </row>
    <row r="35" customFormat="false" ht="16.5" hidden="false" customHeight="true" outlineLevel="0" collapsed="false">
      <c r="B35" s="27" t="s">
        <v>311</v>
      </c>
      <c r="C35" s="22" t="s">
        <v>312</v>
      </c>
      <c r="D35" s="27" t="s">
        <v>35</v>
      </c>
      <c r="E35" s="27" t="s">
        <v>224</v>
      </c>
      <c r="F35" s="12" t="s">
        <v>313</v>
      </c>
      <c r="G35" s="12" t="s">
        <v>314</v>
      </c>
      <c r="H35" s="27" t="n">
        <v>30</v>
      </c>
      <c r="I35" s="27" t="n">
        <v>4</v>
      </c>
      <c r="J35" s="12" t="s">
        <v>315</v>
      </c>
      <c r="K35" s="28" t="s">
        <v>180</v>
      </c>
    </row>
    <row r="36" customFormat="false" ht="30.75" hidden="false" customHeight="true" outlineLevel="0" collapsed="false">
      <c r="B36" s="27" t="s">
        <v>316</v>
      </c>
      <c r="C36" s="22" t="s">
        <v>317</v>
      </c>
      <c r="D36" s="27" t="s">
        <v>35</v>
      </c>
      <c r="E36" s="27" t="s">
        <v>224</v>
      </c>
      <c r="F36" s="12" t="s">
        <v>318</v>
      </c>
      <c r="G36" s="12" t="s">
        <v>319</v>
      </c>
      <c r="H36" s="27" t="n">
        <v>60</v>
      </c>
      <c r="I36" s="27" t="n">
        <v>5</v>
      </c>
      <c r="J36" s="12" t="s">
        <v>320</v>
      </c>
      <c r="K36" s="28" t="s">
        <v>180</v>
      </c>
    </row>
    <row r="37" customFormat="false" ht="30.75" hidden="false" customHeight="true" outlineLevel="0" collapsed="false">
      <c r="B37" s="27" t="s">
        <v>321</v>
      </c>
      <c r="C37" s="22" t="s">
        <v>322</v>
      </c>
      <c r="D37" s="27" t="s">
        <v>35</v>
      </c>
      <c r="E37" s="27" t="s">
        <v>224</v>
      </c>
      <c r="F37" s="12" t="s">
        <v>323</v>
      </c>
      <c r="G37" s="12" t="s">
        <v>324</v>
      </c>
      <c r="H37" s="27" t="n">
        <v>30</v>
      </c>
      <c r="I37" s="27" t="n">
        <v>4</v>
      </c>
      <c r="J37" s="12" t="s">
        <v>325</v>
      </c>
      <c r="K37" s="28" t="s">
        <v>180</v>
      </c>
    </row>
    <row r="38" customFormat="false" ht="16.5" hidden="false" customHeight="true" outlineLevel="0" collapsed="false">
      <c r="B38" s="27" t="s">
        <v>326</v>
      </c>
      <c r="C38" s="22" t="s">
        <v>327</v>
      </c>
      <c r="D38" s="27" t="s">
        <v>38</v>
      </c>
      <c r="E38" s="27" t="s">
        <v>224</v>
      </c>
      <c r="F38" s="12" t="s">
        <v>328</v>
      </c>
      <c r="G38" s="12" t="s">
        <v>329</v>
      </c>
      <c r="H38" s="27" t="s">
        <v>178</v>
      </c>
      <c r="I38" s="27" t="n">
        <v>4</v>
      </c>
      <c r="J38" s="12" t="s">
        <v>330</v>
      </c>
      <c r="K38" s="28" t="s">
        <v>180</v>
      </c>
    </row>
    <row r="39" customFormat="false" ht="16.5" hidden="false" customHeight="true" outlineLevel="0" collapsed="false">
      <c r="B39" s="27" t="s">
        <v>331</v>
      </c>
      <c r="C39" s="22" t="s">
        <v>332</v>
      </c>
      <c r="D39" s="27" t="s">
        <v>38</v>
      </c>
      <c r="E39" s="27" t="s">
        <v>224</v>
      </c>
      <c r="F39" s="12" t="s">
        <v>333</v>
      </c>
      <c r="G39" s="12" t="s">
        <v>334</v>
      </c>
      <c r="H39" s="27" t="s">
        <v>178</v>
      </c>
      <c r="I39" s="27" t="n">
        <v>2</v>
      </c>
      <c r="J39" s="12" t="s">
        <v>335</v>
      </c>
      <c r="K39" s="28" t="s">
        <v>180</v>
      </c>
    </row>
    <row r="40" customFormat="false" ht="16.5" hidden="false" customHeight="true" outlineLevel="0" collapsed="false">
      <c r="B40" s="27" t="s">
        <v>336</v>
      </c>
      <c r="C40" s="22" t="s">
        <v>337</v>
      </c>
      <c r="D40" s="27" t="s">
        <v>38</v>
      </c>
      <c r="E40" s="27" t="s">
        <v>224</v>
      </c>
      <c r="F40" s="12" t="s">
        <v>338</v>
      </c>
      <c r="G40" s="12" t="s">
        <v>339</v>
      </c>
      <c r="H40" s="27" t="s">
        <v>178</v>
      </c>
      <c r="I40" s="27" t="n">
        <v>2</v>
      </c>
      <c r="J40" s="12" t="s">
        <v>340</v>
      </c>
      <c r="K40" s="28" t="s">
        <v>180</v>
      </c>
    </row>
    <row r="41" customFormat="false" ht="30.75" hidden="false" customHeight="true" outlineLevel="0" collapsed="false">
      <c r="B41" s="27" t="s">
        <v>341</v>
      </c>
      <c r="C41" s="22" t="s">
        <v>342</v>
      </c>
      <c r="D41" s="27" t="s">
        <v>38</v>
      </c>
      <c r="E41" s="27" t="s">
        <v>224</v>
      </c>
      <c r="F41" s="12" t="s">
        <v>343</v>
      </c>
      <c r="G41" s="12" t="s">
        <v>344</v>
      </c>
      <c r="H41" s="27" t="s">
        <v>178</v>
      </c>
      <c r="I41" s="27" t="n">
        <v>2</v>
      </c>
      <c r="J41" s="12" t="s">
        <v>345</v>
      </c>
      <c r="K41" s="28" t="s">
        <v>180</v>
      </c>
    </row>
    <row r="42" customFormat="false" ht="16.5" hidden="false" customHeight="true" outlineLevel="0" collapsed="false">
      <c r="B42" s="27" t="s">
        <v>346</v>
      </c>
      <c r="C42" s="22" t="s">
        <v>347</v>
      </c>
      <c r="D42" s="27" t="s">
        <v>38</v>
      </c>
      <c r="E42" s="27" t="s">
        <v>224</v>
      </c>
      <c r="F42" s="12" t="s">
        <v>348</v>
      </c>
      <c r="G42" s="12" t="s">
        <v>349</v>
      </c>
      <c r="H42" s="27" t="s">
        <v>178</v>
      </c>
      <c r="I42" s="27" t="n">
        <v>3</v>
      </c>
      <c r="J42" s="12" t="s">
        <v>350</v>
      </c>
      <c r="K42" s="28" t="s">
        <v>180</v>
      </c>
    </row>
    <row r="43" customFormat="false" ht="16.5" hidden="false" customHeight="true" outlineLevel="0" collapsed="false">
      <c r="B43" s="27" t="s">
        <v>351</v>
      </c>
      <c r="C43" s="22" t="s">
        <v>352</v>
      </c>
      <c r="D43" s="27" t="s">
        <v>38</v>
      </c>
      <c r="E43" s="27" t="s">
        <v>224</v>
      </c>
      <c r="F43" s="12" t="s">
        <v>353</v>
      </c>
      <c r="G43" s="12" t="s">
        <v>354</v>
      </c>
      <c r="H43" s="27" t="s">
        <v>178</v>
      </c>
      <c r="I43" s="27" t="n">
        <v>1</v>
      </c>
      <c r="J43" s="12" t="s">
        <v>355</v>
      </c>
      <c r="K43" s="28" t="s">
        <v>180</v>
      </c>
    </row>
    <row r="44" customFormat="false" ht="16.5" hidden="false" customHeight="true" outlineLevel="0" collapsed="false">
      <c r="B44" s="27" t="s">
        <v>356</v>
      </c>
      <c r="C44" s="22" t="s">
        <v>357</v>
      </c>
      <c r="D44" s="27" t="s">
        <v>41</v>
      </c>
      <c r="E44" s="27" t="s">
        <v>224</v>
      </c>
      <c r="F44" s="12" t="s">
        <v>358</v>
      </c>
      <c r="G44" s="12" t="s">
        <v>359</v>
      </c>
      <c r="H44" s="27" t="s">
        <v>178</v>
      </c>
      <c r="I44" s="27" t="n">
        <v>1</v>
      </c>
      <c r="J44" s="12" t="s">
        <v>360</v>
      </c>
      <c r="K44" s="28" t="s">
        <v>180</v>
      </c>
    </row>
    <row r="45" customFormat="false" ht="16.5" hidden="false" customHeight="true" outlineLevel="0" collapsed="false">
      <c r="B45" s="27" t="s">
        <v>361</v>
      </c>
      <c r="C45" s="22" t="s">
        <v>362</v>
      </c>
      <c r="D45" s="27" t="s">
        <v>41</v>
      </c>
      <c r="E45" s="27" t="s">
        <v>224</v>
      </c>
      <c r="F45" s="12" t="s">
        <v>363</v>
      </c>
      <c r="G45" s="12" t="s">
        <v>364</v>
      </c>
      <c r="H45" s="27" t="s">
        <v>178</v>
      </c>
      <c r="I45" s="27" t="n">
        <v>1</v>
      </c>
      <c r="J45" s="12" t="s">
        <v>365</v>
      </c>
      <c r="K45" s="28" t="s">
        <v>180</v>
      </c>
    </row>
    <row r="46" customFormat="false" ht="16.5" hidden="false" customHeight="true" outlineLevel="0" collapsed="false">
      <c r="B46" s="27" t="s">
        <v>366</v>
      </c>
      <c r="C46" s="22" t="s">
        <v>367</v>
      </c>
      <c r="D46" s="27" t="s">
        <v>41</v>
      </c>
      <c r="E46" s="27" t="s">
        <v>224</v>
      </c>
      <c r="F46" s="12" t="s">
        <v>368</v>
      </c>
      <c r="G46" s="12" t="s">
        <v>236</v>
      </c>
      <c r="H46" s="27" t="n">
        <v>25</v>
      </c>
      <c r="I46" s="27" t="n">
        <v>2</v>
      </c>
      <c r="J46" s="12" t="s">
        <v>369</v>
      </c>
      <c r="K46" s="28" t="s">
        <v>180</v>
      </c>
    </row>
    <row r="47" customFormat="false" ht="16.5" hidden="false" customHeight="true" outlineLevel="0" collapsed="false">
      <c r="B47" s="27" t="s">
        <v>370</v>
      </c>
      <c r="C47" s="22" t="s">
        <v>371</v>
      </c>
      <c r="D47" s="27" t="s">
        <v>41</v>
      </c>
      <c r="E47" s="27" t="s">
        <v>224</v>
      </c>
      <c r="F47" s="12" t="s">
        <v>372</v>
      </c>
      <c r="G47" s="12" t="s">
        <v>373</v>
      </c>
      <c r="H47" s="27" t="n">
        <v>20</v>
      </c>
      <c r="I47" s="27" t="n">
        <v>2</v>
      </c>
      <c r="J47" s="12" t="s">
        <v>374</v>
      </c>
      <c r="K47" s="28" t="s">
        <v>180</v>
      </c>
    </row>
    <row r="48" customFormat="false" ht="15" hidden="false" customHeight="true" outlineLevel="0" collapsed="false">
      <c r="B48" s="25" t="s">
        <v>375</v>
      </c>
      <c r="C48" s="26"/>
      <c r="D48" s="26"/>
      <c r="E48" s="26"/>
      <c r="F48" s="26"/>
      <c r="G48" s="26"/>
      <c r="H48" s="26"/>
      <c r="I48" s="26"/>
      <c r="J48" s="26"/>
      <c r="K48" s="26"/>
    </row>
    <row r="49" customFormat="false" ht="16.5" hidden="false" customHeight="true" outlineLevel="0" collapsed="false">
      <c r="B49" s="27" t="s">
        <v>376</v>
      </c>
      <c r="C49" s="22" t="s">
        <v>377</v>
      </c>
      <c r="D49" s="27" t="s">
        <v>35</v>
      </c>
      <c r="E49" s="27" t="s">
        <v>378</v>
      </c>
      <c r="F49" s="12" t="s">
        <v>379</v>
      </c>
      <c r="G49" s="12" t="s">
        <v>380</v>
      </c>
      <c r="H49" s="27" t="s">
        <v>178</v>
      </c>
      <c r="I49" s="27" t="n">
        <v>2</v>
      </c>
      <c r="J49" s="12" t="s">
        <v>381</v>
      </c>
      <c r="K49" s="28" t="s">
        <v>180</v>
      </c>
    </row>
    <row r="50" customFormat="false" ht="16.5" hidden="false" customHeight="true" outlineLevel="0" collapsed="false">
      <c r="B50" s="27" t="s">
        <v>382</v>
      </c>
      <c r="C50" s="22" t="s">
        <v>383</v>
      </c>
      <c r="D50" s="27" t="s">
        <v>35</v>
      </c>
      <c r="E50" s="27" t="s">
        <v>378</v>
      </c>
      <c r="F50" s="12" t="s">
        <v>384</v>
      </c>
      <c r="G50" s="12" t="s">
        <v>385</v>
      </c>
      <c r="H50" s="27" t="s">
        <v>178</v>
      </c>
      <c r="I50" s="27" t="n">
        <v>2</v>
      </c>
      <c r="J50" s="12" t="s">
        <v>386</v>
      </c>
      <c r="K50" s="28" t="s">
        <v>180</v>
      </c>
    </row>
    <row r="51" customFormat="false" ht="16.5" hidden="false" customHeight="true" outlineLevel="0" collapsed="false">
      <c r="B51" s="27" t="s">
        <v>387</v>
      </c>
      <c r="C51" s="22" t="s">
        <v>388</v>
      </c>
      <c r="D51" s="27" t="s">
        <v>35</v>
      </c>
      <c r="E51" s="27" t="s">
        <v>378</v>
      </c>
      <c r="F51" s="12" t="s">
        <v>389</v>
      </c>
      <c r="G51" s="12" t="s">
        <v>390</v>
      </c>
      <c r="H51" s="27" t="s">
        <v>178</v>
      </c>
      <c r="I51" s="27" t="n">
        <v>3</v>
      </c>
      <c r="J51" s="12" t="s">
        <v>391</v>
      </c>
      <c r="K51" s="28" t="s">
        <v>180</v>
      </c>
    </row>
    <row r="52" customFormat="false" ht="30.75" hidden="false" customHeight="true" outlineLevel="0" collapsed="false">
      <c r="B52" s="27" t="s">
        <v>392</v>
      </c>
      <c r="C52" s="22" t="s">
        <v>393</v>
      </c>
      <c r="D52" s="27" t="s">
        <v>35</v>
      </c>
      <c r="E52" s="27" t="s">
        <v>378</v>
      </c>
      <c r="F52" s="12" t="s">
        <v>394</v>
      </c>
      <c r="G52" s="12" t="s">
        <v>395</v>
      </c>
      <c r="H52" s="27" t="s">
        <v>178</v>
      </c>
      <c r="I52" s="27" t="n">
        <v>2</v>
      </c>
      <c r="J52" s="12" t="s">
        <v>396</v>
      </c>
      <c r="K52" s="28" t="s">
        <v>180</v>
      </c>
    </row>
    <row r="53" customFormat="false" ht="16.5" hidden="false" customHeight="true" outlineLevel="0" collapsed="false">
      <c r="B53" s="27" t="s">
        <v>397</v>
      </c>
      <c r="C53" s="22" t="s">
        <v>398</v>
      </c>
      <c r="D53" s="27" t="s">
        <v>35</v>
      </c>
      <c r="E53" s="27" t="s">
        <v>378</v>
      </c>
      <c r="F53" s="12" t="s">
        <v>399</v>
      </c>
      <c r="G53" s="12" t="s">
        <v>400</v>
      </c>
      <c r="H53" s="27" t="s">
        <v>178</v>
      </c>
      <c r="I53" s="27" t="n">
        <v>2</v>
      </c>
      <c r="J53" s="12" t="s">
        <v>401</v>
      </c>
      <c r="K53" s="28" t="s">
        <v>180</v>
      </c>
    </row>
    <row r="54" customFormat="false" ht="16.5" hidden="false" customHeight="true" outlineLevel="0" collapsed="false">
      <c r="B54" s="27" t="s">
        <v>402</v>
      </c>
      <c r="C54" s="22" t="s">
        <v>403</v>
      </c>
      <c r="D54" s="27" t="s">
        <v>35</v>
      </c>
      <c r="E54" s="27" t="s">
        <v>378</v>
      </c>
      <c r="F54" s="12" t="s">
        <v>404</v>
      </c>
      <c r="G54" s="12" t="s">
        <v>405</v>
      </c>
      <c r="H54" s="27" t="n">
        <v>10</v>
      </c>
      <c r="I54" s="27" t="n">
        <v>2</v>
      </c>
      <c r="J54" s="12" t="s">
        <v>406</v>
      </c>
      <c r="K54" s="28" t="s">
        <v>180</v>
      </c>
    </row>
    <row r="55" customFormat="false" ht="16.5" hidden="false" customHeight="true" outlineLevel="0" collapsed="false">
      <c r="B55" s="27" t="s">
        <v>407</v>
      </c>
      <c r="C55" s="22" t="s">
        <v>408</v>
      </c>
      <c r="D55" s="27" t="s">
        <v>35</v>
      </c>
      <c r="E55" s="27" t="s">
        <v>378</v>
      </c>
      <c r="F55" s="12" t="s">
        <v>409</v>
      </c>
      <c r="G55" s="12" t="s">
        <v>410</v>
      </c>
      <c r="H55" s="27" t="n">
        <v>10</v>
      </c>
      <c r="I55" s="27" t="n">
        <v>3</v>
      </c>
      <c r="J55" s="12" t="s">
        <v>411</v>
      </c>
      <c r="K55" s="28" t="s">
        <v>180</v>
      </c>
    </row>
    <row r="56" customFormat="false" ht="16.5" hidden="false" customHeight="true" outlineLevel="0" collapsed="false">
      <c r="B56" s="27" t="s">
        <v>412</v>
      </c>
      <c r="C56" s="22" t="s">
        <v>413</v>
      </c>
      <c r="D56" s="27" t="s">
        <v>35</v>
      </c>
      <c r="E56" s="27" t="s">
        <v>378</v>
      </c>
      <c r="F56" s="12" t="s">
        <v>414</v>
      </c>
      <c r="G56" s="12" t="s">
        <v>415</v>
      </c>
      <c r="H56" s="27" t="n">
        <v>10</v>
      </c>
      <c r="I56" s="27" t="n">
        <v>2</v>
      </c>
      <c r="J56" s="12" t="s">
        <v>416</v>
      </c>
      <c r="K56" s="28" t="s">
        <v>180</v>
      </c>
    </row>
    <row r="57" customFormat="false" ht="16.5" hidden="false" customHeight="true" outlineLevel="0" collapsed="false">
      <c r="B57" s="27" t="s">
        <v>417</v>
      </c>
      <c r="C57" s="22" t="s">
        <v>418</v>
      </c>
      <c r="D57" s="27" t="s">
        <v>35</v>
      </c>
      <c r="E57" s="27" t="s">
        <v>378</v>
      </c>
      <c r="F57" s="12" t="s">
        <v>419</v>
      </c>
      <c r="G57" s="12" t="s">
        <v>420</v>
      </c>
      <c r="H57" s="27" t="n">
        <v>15</v>
      </c>
      <c r="I57" s="27" t="n">
        <v>4</v>
      </c>
      <c r="J57" s="12" t="s">
        <v>421</v>
      </c>
      <c r="K57" s="28" t="s">
        <v>180</v>
      </c>
    </row>
    <row r="58" customFormat="false" ht="16.5" hidden="false" customHeight="true" outlineLevel="0" collapsed="false">
      <c r="B58" s="27" t="s">
        <v>422</v>
      </c>
      <c r="C58" s="22" t="s">
        <v>423</v>
      </c>
      <c r="D58" s="27" t="s">
        <v>35</v>
      </c>
      <c r="E58" s="27" t="s">
        <v>378</v>
      </c>
      <c r="F58" s="12" t="s">
        <v>424</v>
      </c>
      <c r="G58" s="12" t="s">
        <v>425</v>
      </c>
      <c r="H58" s="27" t="n">
        <v>24</v>
      </c>
      <c r="I58" s="27" t="n">
        <v>5</v>
      </c>
      <c r="J58" s="12" t="s">
        <v>426</v>
      </c>
      <c r="K58" s="28" t="s">
        <v>180</v>
      </c>
    </row>
    <row r="59" customFormat="false" ht="30.75" hidden="false" customHeight="true" outlineLevel="0" collapsed="false">
      <c r="B59" s="27" t="s">
        <v>427</v>
      </c>
      <c r="C59" s="22" t="s">
        <v>428</v>
      </c>
      <c r="D59" s="27" t="s">
        <v>35</v>
      </c>
      <c r="E59" s="27" t="s">
        <v>378</v>
      </c>
      <c r="F59" s="12" t="s">
        <v>429</v>
      </c>
      <c r="G59" s="12" t="s">
        <v>430</v>
      </c>
      <c r="H59" s="27" t="n">
        <v>10</v>
      </c>
      <c r="I59" s="27" t="n">
        <v>3</v>
      </c>
      <c r="J59" s="12" t="s">
        <v>431</v>
      </c>
      <c r="K59" s="28" t="s">
        <v>180</v>
      </c>
    </row>
    <row r="60" customFormat="false" ht="16.5" hidden="false" customHeight="true" outlineLevel="0" collapsed="false">
      <c r="B60" s="27" t="s">
        <v>432</v>
      </c>
      <c r="C60" s="22" t="s">
        <v>433</v>
      </c>
      <c r="D60" s="27" t="s">
        <v>35</v>
      </c>
      <c r="E60" s="27" t="s">
        <v>378</v>
      </c>
      <c r="F60" s="12" t="s">
        <v>434</v>
      </c>
      <c r="G60" s="12" t="s">
        <v>435</v>
      </c>
      <c r="H60" s="27" t="n">
        <v>30</v>
      </c>
      <c r="I60" s="27" t="n">
        <v>3</v>
      </c>
      <c r="J60" s="12" t="s">
        <v>436</v>
      </c>
      <c r="K60" s="28" t="s">
        <v>180</v>
      </c>
    </row>
    <row r="61" customFormat="false" ht="16.5" hidden="false" customHeight="true" outlineLevel="0" collapsed="false">
      <c r="B61" s="27" t="s">
        <v>437</v>
      </c>
      <c r="C61" s="22" t="s">
        <v>438</v>
      </c>
      <c r="D61" s="27" t="s">
        <v>35</v>
      </c>
      <c r="E61" s="27" t="s">
        <v>378</v>
      </c>
      <c r="F61" s="12" t="s">
        <v>439</v>
      </c>
      <c r="G61" s="12" t="s">
        <v>440</v>
      </c>
      <c r="H61" s="27" t="n">
        <v>20</v>
      </c>
      <c r="I61" s="27" t="n">
        <v>3</v>
      </c>
      <c r="J61" s="12" t="s">
        <v>441</v>
      </c>
      <c r="K61" s="28" t="s">
        <v>180</v>
      </c>
    </row>
    <row r="62" customFormat="false" ht="16.5" hidden="false" customHeight="true" outlineLevel="0" collapsed="false">
      <c r="B62" s="27" t="s">
        <v>442</v>
      </c>
      <c r="C62" s="22" t="s">
        <v>443</v>
      </c>
      <c r="D62" s="27" t="s">
        <v>35</v>
      </c>
      <c r="E62" s="27" t="s">
        <v>378</v>
      </c>
      <c r="F62" s="12" t="s">
        <v>444</v>
      </c>
      <c r="G62" s="12" t="s">
        <v>445</v>
      </c>
      <c r="H62" s="27" t="n">
        <v>10</v>
      </c>
      <c r="I62" s="27" t="n">
        <v>4</v>
      </c>
      <c r="J62" s="12" t="s">
        <v>446</v>
      </c>
      <c r="K62" s="28" t="s">
        <v>180</v>
      </c>
    </row>
    <row r="63" customFormat="false" ht="30.75" hidden="false" customHeight="true" outlineLevel="0" collapsed="false">
      <c r="B63" s="27" t="s">
        <v>447</v>
      </c>
      <c r="C63" s="22" t="s">
        <v>448</v>
      </c>
      <c r="D63" s="27" t="s">
        <v>35</v>
      </c>
      <c r="E63" s="27" t="s">
        <v>378</v>
      </c>
      <c r="F63" s="12" t="s">
        <v>449</v>
      </c>
      <c r="G63" s="12" t="s">
        <v>236</v>
      </c>
      <c r="H63" s="27" t="n">
        <v>20</v>
      </c>
      <c r="I63" s="27" t="n">
        <v>3</v>
      </c>
      <c r="J63" s="12" t="s">
        <v>450</v>
      </c>
      <c r="K63" s="28" t="s">
        <v>180</v>
      </c>
    </row>
    <row r="64" customFormat="false" ht="30.75" hidden="false" customHeight="true" outlineLevel="0" collapsed="false">
      <c r="B64" s="27" t="s">
        <v>451</v>
      </c>
      <c r="C64" s="22" t="s">
        <v>452</v>
      </c>
      <c r="D64" s="27" t="s">
        <v>35</v>
      </c>
      <c r="E64" s="27" t="s">
        <v>378</v>
      </c>
      <c r="F64" s="12" t="s">
        <v>453</v>
      </c>
      <c r="G64" s="12" t="s">
        <v>454</v>
      </c>
      <c r="H64" s="27" t="n">
        <v>20</v>
      </c>
      <c r="I64" s="27" t="n">
        <v>4</v>
      </c>
      <c r="J64" s="12" t="s">
        <v>455</v>
      </c>
      <c r="K64" s="28" t="s">
        <v>180</v>
      </c>
    </row>
    <row r="65" customFormat="false" ht="30.75" hidden="false" customHeight="true" outlineLevel="0" collapsed="false">
      <c r="B65" s="27" t="s">
        <v>456</v>
      </c>
      <c r="C65" s="22" t="s">
        <v>457</v>
      </c>
      <c r="D65" s="27" t="s">
        <v>35</v>
      </c>
      <c r="E65" s="27" t="s">
        <v>378</v>
      </c>
      <c r="F65" s="12" t="s">
        <v>458</v>
      </c>
      <c r="G65" s="12" t="s">
        <v>459</v>
      </c>
      <c r="H65" s="27" t="n">
        <v>25</v>
      </c>
      <c r="I65" s="27" t="n">
        <v>2</v>
      </c>
      <c r="J65" s="12" t="s">
        <v>460</v>
      </c>
      <c r="K65" s="28" t="s">
        <v>180</v>
      </c>
    </row>
    <row r="66" customFormat="false" ht="16.5" hidden="false" customHeight="true" outlineLevel="0" collapsed="false">
      <c r="B66" s="27" t="s">
        <v>461</v>
      </c>
      <c r="C66" s="22" t="s">
        <v>462</v>
      </c>
      <c r="D66" s="27" t="s">
        <v>35</v>
      </c>
      <c r="E66" s="27" t="s">
        <v>378</v>
      </c>
      <c r="F66" s="12" t="s">
        <v>463</v>
      </c>
      <c r="G66" s="12" t="s">
        <v>464</v>
      </c>
      <c r="H66" s="27" t="s">
        <v>178</v>
      </c>
      <c r="I66" s="27" t="n">
        <v>2</v>
      </c>
      <c r="J66" s="12" t="s">
        <v>465</v>
      </c>
      <c r="K66" s="28" t="s">
        <v>180</v>
      </c>
    </row>
    <row r="67" customFormat="false" ht="16.5" hidden="false" customHeight="true" outlineLevel="0" collapsed="false">
      <c r="B67" s="27" t="s">
        <v>466</v>
      </c>
      <c r="C67" s="22" t="s">
        <v>467</v>
      </c>
      <c r="D67" s="27" t="s">
        <v>35</v>
      </c>
      <c r="E67" s="27" t="s">
        <v>378</v>
      </c>
      <c r="F67" s="12" t="s">
        <v>468</v>
      </c>
      <c r="G67" s="12" t="s">
        <v>459</v>
      </c>
      <c r="H67" s="27" t="n">
        <v>25</v>
      </c>
      <c r="I67" s="27" t="n">
        <v>3</v>
      </c>
      <c r="J67" s="12" t="s">
        <v>469</v>
      </c>
      <c r="K67" s="28" t="s">
        <v>180</v>
      </c>
    </row>
    <row r="68" customFormat="false" ht="16.5" hidden="false" customHeight="true" outlineLevel="0" collapsed="false">
      <c r="B68" s="27" t="s">
        <v>470</v>
      </c>
      <c r="C68" s="22" t="s">
        <v>471</v>
      </c>
      <c r="D68" s="27" t="s">
        <v>35</v>
      </c>
      <c r="E68" s="27" t="s">
        <v>378</v>
      </c>
      <c r="F68" s="12" t="s">
        <v>472</v>
      </c>
      <c r="G68" s="12" t="s">
        <v>473</v>
      </c>
      <c r="H68" s="27" t="n">
        <v>25</v>
      </c>
      <c r="I68" s="27" t="n">
        <v>4</v>
      </c>
      <c r="J68" s="12" t="s">
        <v>474</v>
      </c>
      <c r="K68" s="28" t="s">
        <v>180</v>
      </c>
    </row>
    <row r="69" customFormat="false" ht="16.5" hidden="false" customHeight="true" outlineLevel="0" collapsed="false">
      <c r="B69" s="27" t="s">
        <v>475</v>
      </c>
      <c r="C69" s="22" t="s">
        <v>476</v>
      </c>
      <c r="D69" s="27" t="s">
        <v>35</v>
      </c>
      <c r="E69" s="27" t="s">
        <v>378</v>
      </c>
      <c r="F69" s="12" t="s">
        <v>477</v>
      </c>
      <c r="G69" s="12" t="s">
        <v>478</v>
      </c>
      <c r="H69" s="27" t="n">
        <v>40</v>
      </c>
      <c r="I69" s="27" t="n">
        <v>5</v>
      </c>
      <c r="J69" s="12" t="s">
        <v>479</v>
      </c>
      <c r="K69" s="28" t="s">
        <v>180</v>
      </c>
    </row>
    <row r="70" customFormat="false" ht="16.5" hidden="false" customHeight="true" outlineLevel="0" collapsed="false">
      <c r="B70" s="27" t="s">
        <v>480</v>
      </c>
      <c r="C70" s="22" t="s">
        <v>481</v>
      </c>
      <c r="D70" s="27" t="s">
        <v>35</v>
      </c>
      <c r="E70" s="27" t="s">
        <v>378</v>
      </c>
      <c r="F70" s="12" t="s">
        <v>482</v>
      </c>
      <c r="G70" s="12" t="s">
        <v>483</v>
      </c>
      <c r="H70" s="27" t="n">
        <v>50</v>
      </c>
      <c r="I70" s="27" t="n">
        <v>5</v>
      </c>
      <c r="J70" s="12" t="s">
        <v>484</v>
      </c>
      <c r="K70" s="28" t="s">
        <v>180</v>
      </c>
    </row>
    <row r="71" customFormat="false" ht="30.75" hidden="false" customHeight="true" outlineLevel="0" collapsed="false">
      <c r="B71" s="27" t="s">
        <v>485</v>
      </c>
      <c r="C71" s="22" t="s">
        <v>486</v>
      </c>
      <c r="D71" s="27" t="s">
        <v>35</v>
      </c>
      <c r="E71" s="27" t="s">
        <v>378</v>
      </c>
      <c r="F71" s="12" t="s">
        <v>487</v>
      </c>
      <c r="G71" s="12" t="s">
        <v>488</v>
      </c>
      <c r="H71" s="27" t="n">
        <v>30</v>
      </c>
      <c r="I71" s="27" t="n">
        <v>4</v>
      </c>
      <c r="J71" s="12" t="s">
        <v>489</v>
      </c>
      <c r="K71" s="28" t="s">
        <v>180</v>
      </c>
    </row>
    <row r="72" customFormat="false" ht="16.5" hidden="false" customHeight="true" outlineLevel="0" collapsed="false">
      <c r="B72" s="27" t="s">
        <v>490</v>
      </c>
      <c r="C72" s="22" t="s">
        <v>491</v>
      </c>
      <c r="D72" s="27" t="s">
        <v>38</v>
      </c>
      <c r="E72" s="27" t="s">
        <v>378</v>
      </c>
      <c r="F72" s="12" t="s">
        <v>492</v>
      </c>
      <c r="G72" s="12" t="s">
        <v>493</v>
      </c>
      <c r="H72" s="27" t="s">
        <v>178</v>
      </c>
      <c r="I72" s="27" t="n">
        <v>1</v>
      </c>
      <c r="J72" s="12" t="s">
        <v>494</v>
      </c>
      <c r="K72" s="28" t="s">
        <v>180</v>
      </c>
    </row>
    <row r="73" customFormat="false" ht="16.5" hidden="false" customHeight="true" outlineLevel="0" collapsed="false">
      <c r="B73" s="27" t="s">
        <v>495</v>
      </c>
      <c r="C73" s="22" t="s">
        <v>496</v>
      </c>
      <c r="D73" s="27" t="s">
        <v>38</v>
      </c>
      <c r="E73" s="27" t="s">
        <v>378</v>
      </c>
      <c r="F73" s="12" t="s">
        <v>497</v>
      </c>
      <c r="G73" s="12" t="s">
        <v>498</v>
      </c>
      <c r="H73" s="27" t="s">
        <v>178</v>
      </c>
      <c r="I73" s="27" t="n">
        <v>2</v>
      </c>
      <c r="J73" s="12" t="s">
        <v>499</v>
      </c>
      <c r="K73" s="28" t="s">
        <v>180</v>
      </c>
    </row>
    <row r="74" customFormat="false" ht="16.5" hidden="false" customHeight="true" outlineLevel="0" collapsed="false">
      <c r="B74" s="27" t="s">
        <v>500</v>
      </c>
      <c r="C74" s="22" t="s">
        <v>501</v>
      </c>
      <c r="D74" s="27" t="s">
        <v>38</v>
      </c>
      <c r="E74" s="27" t="s">
        <v>378</v>
      </c>
      <c r="F74" s="12" t="s">
        <v>502</v>
      </c>
      <c r="G74" s="12" t="s">
        <v>503</v>
      </c>
      <c r="H74" s="27" t="s">
        <v>178</v>
      </c>
      <c r="I74" s="27" t="n">
        <v>2</v>
      </c>
      <c r="J74" s="12" t="s">
        <v>504</v>
      </c>
      <c r="K74" s="28" t="s">
        <v>180</v>
      </c>
    </row>
    <row r="75" customFormat="false" ht="30.75" hidden="false" customHeight="true" outlineLevel="0" collapsed="false">
      <c r="B75" s="27" t="s">
        <v>505</v>
      </c>
      <c r="C75" s="22" t="s">
        <v>506</v>
      </c>
      <c r="D75" s="27" t="s">
        <v>38</v>
      </c>
      <c r="E75" s="27" t="s">
        <v>378</v>
      </c>
      <c r="F75" s="12" t="s">
        <v>507</v>
      </c>
      <c r="G75" s="12" t="s">
        <v>508</v>
      </c>
      <c r="H75" s="27" t="s">
        <v>178</v>
      </c>
      <c r="I75" s="27" t="n">
        <v>3</v>
      </c>
      <c r="J75" s="12" t="s">
        <v>509</v>
      </c>
      <c r="K75" s="28" t="s">
        <v>180</v>
      </c>
    </row>
    <row r="76" customFormat="false" ht="16.5" hidden="false" customHeight="true" outlineLevel="0" collapsed="false">
      <c r="B76" s="27" t="s">
        <v>510</v>
      </c>
      <c r="C76" s="22" t="s">
        <v>511</v>
      </c>
      <c r="D76" s="27" t="s">
        <v>41</v>
      </c>
      <c r="E76" s="27" t="s">
        <v>378</v>
      </c>
      <c r="F76" s="12" t="s">
        <v>512</v>
      </c>
      <c r="G76" s="12" t="s">
        <v>513</v>
      </c>
      <c r="H76" s="27" t="n">
        <v>30</v>
      </c>
      <c r="I76" s="27" t="n">
        <v>2</v>
      </c>
      <c r="J76" s="12" t="s">
        <v>514</v>
      </c>
      <c r="K76" s="28" t="s">
        <v>180</v>
      </c>
    </row>
    <row r="77" customFormat="false" ht="16.5" hidden="false" customHeight="true" outlineLevel="0" collapsed="false">
      <c r="B77" s="27" t="s">
        <v>515</v>
      </c>
      <c r="C77" s="22" t="s">
        <v>516</v>
      </c>
      <c r="D77" s="27" t="s">
        <v>41</v>
      </c>
      <c r="E77" s="27" t="s">
        <v>378</v>
      </c>
      <c r="F77" s="12" t="s">
        <v>517</v>
      </c>
      <c r="G77" s="12" t="s">
        <v>518</v>
      </c>
      <c r="H77" s="27" t="s">
        <v>178</v>
      </c>
      <c r="I77" s="27" t="n">
        <v>1</v>
      </c>
      <c r="J77" s="12" t="s">
        <v>519</v>
      </c>
      <c r="K77" s="28" t="s">
        <v>180</v>
      </c>
    </row>
    <row r="78" customFormat="false" ht="16.5" hidden="false" customHeight="true" outlineLevel="0" collapsed="false">
      <c r="B78" s="27" t="s">
        <v>520</v>
      </c>
      <c r="C78" s="22" t="s">
        <v>521</v>
      </c>
      <c r="D78" s="27" t="s">
        <v>41</v>
      </c>
      <c r="E78" s="27" t="s">
        <v>378</v>
      </c>
      <c r="F78" s="12" t="s">
        <v>522</v>
      </c>
      <c r="G78" s="12" t="s">
        <v>523</v>
      </c>
      <c r="H78" s="27" t="s">
        <v>178</v>
      </c>
      <c r="I78" s="27" t="n">
        <v>1</v>
      </c>
      <c r="J78" s="12" t="s">
        <v>524</v>
      </c>
      <c r="K78" s="28" t="s">
        <v>180</v>
      </c>
    </row>
    <row r="79" customFormat="false" ht="16.5" hidden="false" customHeight="true" outlineLevel="0" collapsed="false">
      <c r="B79" s="27" t="s">
        <v>525</v>
      </c>
      <c r="C79" s="22" t="s">
        <v>526</v>
      </c>
      <c r="D79" s="27" t="s">
        <v>41</v>
      </c>
      <c r="E79" s="27" t="s">
        <v>378</v>
      </c>
      <c r="F79" s="12" t="s">
        <v>527</v>
      </c>
      <c r="G79" s="12" t="s">
        <v>528</v>
      </c>
      <c r="H79" s="27" t="s">
        <v>178</v>
      </c>
      <c r="I79" s="27" t="n">
        <v>2</v>
      </c>
      <c r="J79" s="12" t="s">
        <v>529</v>
      </c>
      <c r="K79" s="28" t="s">
        <v>180</v>
      </c>
    </row>
    <row r="80" customFormat="false" ht="16.5" hidden="false" customHeight="true" outlineLevel="0" collapsed="false">
      <c r="B80" s="27" t="s">
        <v>530</v>
      </c>
      <c r="C80" s="22" t="s">
        <v>531</v>
      </c>
      <c r="D80" s="27" t="s">
        <v>41</v>
      </c>
      <c r="E80" s="27" t="s">
        <v>378</v>
      </c>
      <c r="F80" s="12" t="s">
        <v>532</v>
      </c>
      <c r="G80" s="12" t="s">
        <v>533</v>
      </c>
      <c r="H80" s="27" t="s">
        <v>178</v>
      </c>
      <c r="I80" s="27" t="n">
        <v>4</v>
      </c>
      <c r="J80" s="12" t="s">
        <v>534</v>
      </c>
      <c r="K80" s="28" t="s">
        <v>180</v>
      </c>
    </row>
    <row r="81" customFormat="false" ht="15" hidden="false" customHeight="true" outlineLevel="0" collapsed="false">
      <c r="B81" s="25" t="s">
        <v>535</v>
      </c>
      <c r="C81" s="26"/>
      <c r="D81" s="26"/>
      <c r="E81" s="26"/>
      <c r="F81" s="26"/>
      <c r="G81" s="26"/>
      <c r="H81" s="26"/>
      <c r="I81" s="26"/>
      <c r="J81" s="26"/>
      <c r="K81" s="26"/>
    </row>
    <row r="82" customFormat="false" ht="30.75" hidden="false" customHeight="true" outlineLevel="0" collapsed="false">
      <c r="B82" s="27" t="s">
        <v>536</v>
      </c>
      <c r="C82" s="22" t="s">
        <v>537</v>
      </c>
      <c r="D82" s="27" t="s">
        <v>35</v>
      </c>
      <c r="E82" s="27" t="s">
        <v>538</v>
      </c>
      <c r="F82" s="12" t="s">
        <v>539</v>
      </c>
      <c r="G82" s="12" t="s">
        <v>540</v>
      </c>
      <c r="H82" s="27" t="s">
        <v>178</v>
      </c>
      <c r="I82" s="27" t="n">
        <v>3</v>
      </c>
      <c r="J82" s="12" t="s">
        <v>541</v>
      </c>
      <c r="K82" s="28" t="s">
        <v>180</v>
      </c>
    </row>
    <row r="83" customFormat="false" ht="30.75" hidden="false" customHeight="true" outlineLevel="0" collapsed="false">
      <c r="B83" s="27" t="s">
        <v>542</v>
      </c>
      <c r="C83" s="22" t="s">
        <v>543</v>
      </c>
      <c r="D83" s="27" t="s">
        <v>35</v>
      </c>
      <c r="E83" s="27" t="s">
        <v>538</v>
      </c>
      <c r="F83" s="12" t="s">
        <v>544</v>
      </c>
      <c r="G83" s="12" t="s">
        <v>545</v>
      </c>
      <c r="H83" s="27" t="n">
        <v>8</v>
      </c>
      <c r="I83" s="27" t="n">
        <v>4</v>
      </c>
      <c r="J83" s="12" t="s">
        <v>546</v>
      </c>
      <c r="K83" s="28" t="s">
        <v>180</v>
      </c>
    </row>
    <row r="84" customFormat="false" ht="16.5" hidden="false" customHeight="true" outlineLevel="0" collapsed="false">
      <c r="B84" s="27" t="s">
        <v>547</v>
      </c>
      <c r="C84" s="22" t="s">
        <v>548</v>
      </c>
      <c r="D84" s="27" t="s">
        <v>35</v>
      </c>
      <c r="E84" s="27" t="s">
        <v>538</v>
      </c>
      <c r="F84" s="12" t="s">
        <v>549</v>
      </c>
      <c r="G84" s="12" t="s">
        <v>550</v>
      </c>
      <c r="H84" s="27" t="n">
        <v>8</v>
      </c>
      <c r="I84" s="27" t="n">
        <v>5</v>
      </c>
      <c r="J84" s="12" t="s">
        <v>551</v>
      </c>
      <c r="K84" s="28" t="s">
        <v>180</v>
      </c>
    </row>
    <row r="85" customFormat="false" ht="16.5" hidden="false" customHeight="true" outlineLevel="0" collapsed="false">
      <c r="B85" s="27" t="s">
        <v>552</v>
      </c>
      <c r="C85" s="22" t="s">
        <v>553</v>
      </c>
      <c r="D85" s="27" t="s">
        <v>35</v>
      </c>
      <c r="E85" s="27" t="s">
        <v>538</v>
      </c>
      <c r="F85" s="12" t="s">
        <v>554</v>
      </c>
      <c r="G85" s="12" t="s">
        <v>555</v>
      </c>
      <c r="H85" s="27" t="n">
        <v>12</v>
      </c>
      <c r="I85" s="27" t="n">
        <v>4</v>
      </c>
      <c r="J85" s="12" t="s">
        <v>556</v>
      </c>
      <c r="K85" s="28" t="s">
        <v>180</v>
      </c>
    </row>
    <row r="86" customFormat="false" ht="16.5" hidden="false" customHeight="true" outlineLevel="0" collapsed="false">
      <c r="B86" s="27" t="s">
        <v>557</v>
      </c>
      <c r="C86" s="22" t="s">
        <v>558</v>
      </c>
      <c r="D86" s="27" t="s">
        <v>35</v>
      </c>
      <c r="E86" s="27" t="s">
        <v>538</v>
      </c>
      <c r="F86" s="12" t="s">
        <v>559</v>
      </c>
      <c r="G86" s="12" t="s">
        <v>560</v>
      </c>
      <c r="H86" s="27" t="n">
        <v>11</v>
      </c>
      <c r="I86" s="27" t="n">
        <v>4</v>
      </c>
      <c r="J86" s="12" t="s">
        <v>561</v>
      </c>
      <c r="K86" s="28" t="s">
        <v>180</v>
      </c>
    </row>
    <row r="87" customFormat="false" ht="16.5" hidden="false" customHeight="true" outlineLevel="0" collapsed="false">
      <c r="B87" s="27" t="s">
        <v>562</v>
      </c>
      <c r="C87" s="22" t="s">
        <v>563</v>
      </c>
      <c r="D87" s="27" t="s">
        <v>35</v>
      </c>
      <c r="E87" s="27" t="s">
        <v>538</v>
      </c>
      <c r="F87" s="12" t="s">
        <v>564</v>
      </c>
      <c r="G87" s="12" t="s">
        <v>565</v>
      </c>
      <c r="H87" s="27" t="n">
        <v>13</v>
      </c>
      <c r="I87" s="27" t="n">
        <v>5</v>
      </c>
      <c r="J87" s="12" t="s">
        <v>566</v>
      </c>
      <c r="K87" s="28" t="s">
        <v>180</v>
      </c>
    </row>
    <row r="88" customFormat="false" ht="16.5" hidden="false" customHeight="true" outlineLevel="0" collapsed="false">
      <c r="B88" s="27" t="s">
        <v>567</v>
      </c>
      <c r="C88" s="22" t="s">
        <v>568</v>
      </c>
      <c r="D88" s="27" t="s">
        <v>38</v>
      </c>
      <c r="E88" s="27" t="s">
        <v>538</v>
      </c>
      <c r="F88" s="12" t="s">
        <v>569</v>
      </c>
      <c r="G88" s="12" t="s">
        <v>570</v>
      </c>
      <c r="H88" s="27" t="s">
        <v>178</v>
      </c>
      <c r="I88" s="27" t="n">
        <v>4</v>
      </c>
      <c r="J88" s="12" t="s">
        <v>571</v>
      </c>
      <c r="K88" s="28" t="s">
        <v>180</v>
      </c>
    </row>
    <row r="89" customFormat="false" ht="16.5" hidden="false" customHeight="true" outlineLevel="0" collapsed="false">
      <c r="B89" s="27" t="s">
        <v>572</v>
      </c>
      <c r="C89" s="22" t="s">
        <v>573</v>
      </c>
      <c r="D89" s="27" t="s">
        <v>38</v>
      </c>
      <c r="E89" s="27" t="s">
        <v>538</v>
      </c>
      <c r="F89" s="12" t="s">
        <v>574</v>
      </c>
      <c r="G89" s="12" t="s">
        <v>575</v>
      </c>
      <c r="H89" s="27" t="s">
        <v>178</v>
      </c>
      <c r="I89" s="27" t="n">
        <v>3</v>
      </c>
      <c r="J89" s="12" t="s">
        <v>576</v>
      </c>
      <c r="K89" s="28" t="s">
        <v>180</v>
      </c>
    </row>
    <row r="90" customFormat="false" ht="16.5" hidden="false" customHeight="true" outlineLevel="0" collapsed="false">
      <c r="B90" s="27" t="s">
        <v>577</v>
      </c>
      <c r="C90" s="22" t="s">
        <v>578</v>
      </c>
      <c r="D90" s="27" t="s">
        <v>38</v>
      </c>
      <c r="E90" s="27" t="s">
        <v>538</v>
      </c>
      <c r="F90" s="12" t="s">
        <v>579</v>
      </c>
      <c r="G90" s="12" t="s">
        <v>580</v>
      </c>
      <c r="H90" s="27" t="s">
        <v>178</v>
      </c>
      <c r="I90" s="27" t="n">
        <v>1</v>
      </c>
      <c r="J90" s="12" t="s">
        <v>581</v>
      </c>
      <c r="K90" s="28" t="s">
        <v>180</v>
      </c>
    </row>
    <row r="91" customFormat="false" ht="30.75" hidden="false" customHeight="true" outlineLevel="0" collapsed="false">
      <c r="B91" s="27" t="s">
        <v>582</v>
      </c>
      <c r="C91" s="22" t="s">
        <v>583</v>
      </c>
      <c r="D91" s="27" t="s">
        <v>38</v>
      </c>
      <c r="E91" s="27" t="s">
        <v>538</v>
      </c>
      <c r="F91" s="12" t="s">
        <v>584</v>
      </c>
      <c r="G91" s="12" t="s">
        <v>585</v>
      </c>
      <c r="H91" s="27" t="s">
        <v>178</v>
      </c>
      <c r="I91" s="27" t="n">
        <v>3</v>
      </c>
      <c r="J91" s="12" t="s">
        <v>586</v>
      </c>
      <c r="K91" s="28" t="s">
        <v>180</v>
      </c>
    </row>
    <row r="92" customFormat="false" ht="16.5" hidden="false" customHeight="true" outlineLevel="0" collapsed="false">
      <c r="B92" s="27" t="s">
        <v>587</v>
      </c>
      <c r="C92" s="22" t="s">
        <v>588</v>
      </c>
      <c r="D92" s="27" t="s">
        <v>38</v>
      </c>
      <c r="E92" s="27" t="s">
        <v>538</v>
      </c>
      <c r="F92" s="12" t="s">
        <v>589</v>
      </c>
      <c r="G92" s="12" t="s">
        <v>590</v>
      </c>
      <c r="H92" s="27" t="s">
        <v>178</v>
      </c>
      <c r="I92" s="27" t="n">
        <v>3</v>
      </c>
      <c r="J92" s="12" t="s">
        <v>591</v>
      </c>
      <c r="K92" s="28" t="s">
        <v>180</v>
      </c>
    </row>
    <row r="93" customFormat="false" ht="16.5" hidden="false" customHeight="true" outlineLevel="0" collapsed="false">
      <c r="B93" s="27" t="s">
        <v>592</v>
      </c>
      <c r="C93" s="22" t="s">
        <v>593</v>
      </c>
      <c r="D93" s="27" t="s">
        <v>38</v>
      </c>
      <c r="E93" s="27" t="s">
        <v>538</v>
      </c>
      <c r="F93" s="12" t="s">
        <v>594</v>
      </c>
      <c r="G93" s="12" t="s">
        <v>595</v>
      </c>
      <c r="H93" s="27" t="s">
        <v>178</v>
      </c>
      <c r="I93" s="27" t="n">
        <v>2</v>
      </c>
      <c r="J93" s="12" t="s">
        <v>596</v>
      </c>
      <c r="K93" s="28" t="s">
        <v>180</v>
      </c>
    </row>
    <row r="94" customFormat="false" ht="16.5" hidden="false" customHeight="true" outlineLevel="0" collapsed="false">
      <c r="B94" s="27" t="s">
        <v>597</v>
      </c>
      <c r="C94" s="22" t="s">
        <v>598</v>
      </c>
      <c r="D94" s="27" t="s">
        <v>38</v>
      </c>
      <c r="E94" s="27" t="s">
        <v>538</v>
      </c>
      <c r="F94" s="12" t="s">
        <v>599</v>
      </c>
      <c r="G94" s="12" t="s">
        <v>600</v>
      </c>
      <c r="H94" s="27" t="s">
        <v>178</v>
      </c>
      <c r="I94" s="27" t="n">
        <v>3</v>
      </c>
      <c r="J94" s="12" t="s">
        <v>601</v>
      </c>
      <c r="K94" s="28" t="s">
        <v>180</v>
      </c>
    </row>
    <row r="95" customFormat="false" ht="16.5" hidden="false" customHeight="true" outlineLevel="0" collapsed="false">
      <c r="B95" s="27" t="s">
        <v>602</v>
      </c>
      <c r="C95" s="22" t="s">
        <v>603</v>
      </c>
      <c r="D95" s="27" t="s">
        <v>38</v>
      </c>
      <c r="E95" s="27" t="s">
        <v>538</v>
      </c>
      <c r="F95" s="12" t="s">
        <v>604</v>
      </c>
      <c r="G95" s="12" t="s">
        <v>605</v>
      </c>
      <c r="H95" s="27" t="s">
        <v>178</v>
      </c>
      <c r="I95" s="27" t="n">
        <v>3</v>
      </c>
      <c r="J95" s="12" t="s">
        <v>606</v>
      </c>
      <c r="K95" s="28" t="s">
        <v>180</v>
      </c>
    </row>
    <row r="96" customFormat="false" ht="16.5" hidden="false" customHeight="true" outlineLevel="0" collapsed="false">
      <c r="B96" s="27" t="s">
        <v>607</v>
      </c>
      <c r="C96" s="22" t="s">
        <v>608</v>
      </c>
      <c r="D96" s="27" t="s">
        <v>38</v>
      </c>
      <c r="E96" s="27" t="s">
        <v>538</v>
      </c>
      <c r="F96" s="12" t="s">
        <v>609</v>
      </c>
      <c r="G96" s="12" t="s">
        <v>610</v>
      </c>
      <c r="H96" s="27" t="s">
        <v>178</v>
      </c>
      <c r="I96" s="27" t="n">
        <v>2</v>
      </c>
      <c r="J96" s="12" t="s">
        <v>611</v>
      </c>
      <c r="K96" s="28" t="s">
        <v>180</v>
      </c>
    </row>
    <row r="97" customFormat="false" ht="16.5" hidden="false" customHeight="true" outlineLevel="0" collapsed="false">
      <c r="B97" s="27" t="s">
        <v>612</v>
      </c>
      <c r="C97" s="22" t="s">
        <v>613</v>
      </c>
      <c r="D97" s="27" t="s">
        <v>38</v>
      </c>
      <c r="E97" s="27" t="s">
        <v>538</v>
      </c>
      <c r="F97" s="12" t="s">
        <v>614</v>
      </c>
      <c r="G97" s="12" t="s">
        <v>615</v>
      </c>
      <c r="H97" s="27" t="s">
        <v>178</v>
      </c>
      <c r="I97" s="27" t="n">
        <v>1</v>
      </c>
      <c r="J97" s="12" t="s">
        <v>616</v>
      </c>
      <c r="K97" s="28" t="s">
        <v>180</v>
      </c>
    </row>
    <row r="98" customFormat="false" ht="16.5" hidden="false" customHeight="true" outlineLevel="0" collapsed="false">
      <c r="B98" s="27" t="s">
        <v>617</v>
      </c>
      <c r="C98" s="22" t="s">
        <v>618</v>
      </c>
      <c r="D98" s="27" t="s">
        <v>38</v>
      </c>
      <c r="E98" s="27" t="s">
        <v>538</v>
      </c>
      <c r="F98" s="12" t="s">
        <v>619</v>
      </c>
      <c r="G98" s="12" t="s">
        <v>620</v>
      </c>
      <c r="H98" s="27" t="s">
        <v>178</v>
      </c>
      <c r="I98" s="27" t="n">
        <v>1</v>
      </c>
      <c r="J98" s="12" t="s">
        <v>621</v>
      </c>
      <c r="K98" s="28" t="s">
        <v>180</v>
      </c>
    </row>
    <row r="99" customFormat="false" ht="16.5" hidden="false" customHeight="true" outlineLevel="0" collapsed="false">
      <c r="B99" s="27" t="s">
        <v>622</v>
      </c>
      <c r="C99" s="22" t="s">
        <v>623</v>
      </c>
      <c r="D99" s="27" t="s">
        <v>38</v>
      </c>
      <c r="E99" s="27" t="s">
        <v>538</v>
      </c>
      <c r="F99" s="12" t="s">
        <v>624</v>
      </c>
      <c r="G99" s="12" t="s">
        <v>625</v>
      </c>
      <c r="H99" s="27" t="s">
        <v>178</v>
      </c>
      <c r="I99" s="27" t="n">
        <v>2</v>
      </c>
      <c r="J99" s="12" t="s">
        <v>626</v>
      </c>
      <c r="K99" s="28" t="s">
        <v>180</v>
      </c>
    </row>
    <row r="100" customFormat="false" ht="16.5" hidden="false" customHeight="true" outlineLevel="0" collapsed="false">
      <c r="B100" s="27" t="s">
        <v>627</v>
      </c>
      <c r="C100" s="22" t="s">
        <v>628</v>
      </c>
      <c r="D100" s="27" t="s">
        <v>38</v>
      </c>
      <c r="E100" s="27" t="s">
        <v>538</v>
      </c>
      <c r="F100" s="12" t="s">
        <v>629</v>
      </c>
      <c r="G100" s="12" t="s">
        <v>630</v>
      </c>
      <c r="H100" s="27" t="n">
        <v>20</v>
      </c>
      <c r="I100" s="27" t="n">
        <v>3</v>
      </c>
      <c r="J100" s="12" t="s">
        <v>631</v>
      </c>
      <c r="K100" s="28" t="s">
        <v>180</v>
      </c>
    </row>
    <row r="101" customFormat="false" ht="16.5" hidden="false" customHeight="true" outlineLevel="0" collapsed="false">
      <c r="B101" s="27" t="s">
        <v>632</v>
      </c>
      <c r="C101" s="22" t="s">
        <v>633</v>
      </c>
      <c r="D101" s="27" t="s">
        <v>43</v>
      </c>
      <c r="E101" s="27" t="s">
        <v>538</v>
      </c>
      <c r="F101" s="12" t="s">
        <v>634</v>
      </c>
      <c r="G101" s="12" t="s">
        <v>635</v>
      </c>
      <c r="H101" s="27" t="s">
        <v>178</v>
      </c>
      <c r="I101" s="27" t="n">
        <v>3</v>
      </c>
      <c r="J101" s="12" t="s">
        <v>636</v>
      </c>
      <c r="K101" s="28" t="s">
        <v>180</v>
      </c>
    </row>
    <row r="102" customFormat="false" ht="15" hidden="false" customHeight="true" outlineLevel="0" collapsed="false">
      <c r="B102" s="25" t="s">
        <v>637</v>
      </c>
      <c r="C102" s="26"/>
      <c r="D102" s="26"/>
      <c r="E102" s="26"/>
      <c r="F102" s="26"/>
      <c r="G102" s="26"/>
      <c r="H102" s="26"/>
      <c r="I102" s="26"/>
      <c r="J102" s="26"/>
      <c r="K102" s="26"/>
    </row>
    <row r="103" customFormat="false" ht="30.75" hidden="false" customHeight="true" outlineLevel="0" collapsed="false">
      <c r="B103" s="27" t="s">
        <v>638</v>
      </c>
      <c r="C103" s="22" t="s">
        <v>639</v>
      </c>
      <c r="D103" s="27" t="s">
        <v>35</v>
      </c>
      <c r="E103" s="27" t="s">
        <v>640</v>
      </c>
      <c r="F103" s="12" t="s">
        <v>641</v>
      </c>
      <c r="G103" s="12" t="s">
        <v>373</v>
      </c>
      <c r="H103" s="27" t="n">
        <v>20</v>
      </c>
      <c r="I103" s="27" t="n">
        <v>2</v>
      </c>
      <c r="J103" s="12" t="s">
        <v>642</v>
      </c>
      <c r="K103" s="28" t="s">
        <v>180</v>
      </c>
    </row>
    <row r="104" customFormat="false" ht="16.5" hidden="false" customHeight="true" outlineLevel="0" collapsed="false">
      <c r="B104" s="27" t="s">
        <v>643</v>
      </c>
      <c r="C104" s="22" t="s">
        <v>644</v>
      </c>
      <c r="D104" s="27" t="s">
        <v>35</v>
      </c>
      <c r="E104" s="27" t="s">
        <v>640</v>
      </c>
      <c r="F104" s="12" t="s">
        <v>645</v>
      </c>
      <c r="G104" s="12" t="s">
        <v>646</v>
      </c>
      <c r="H104" s="27" t="s">
        <v>178</v>
      </c>
      <c r="I104" s="27" t="n">
        <v>2</v>
      </c>
      <c r="J104" s="12" t="s">
        <v>647</v>
      </c>
      <c r="K104" s="28" t="s">
        <v>180</v>
      </c>
    </row>
    <row r="105" customFormat="false" ht="16.5" hidden="false" customHeight="true" outlineLevel="0" collapsed="false">
      <c r="B105" s="27" t="s">
        <v>648</v>
      </c>
      <c r="C105" s="22" t="s">
        <v>649</v>
      </c>
      <c r="D105" s="27" t="s">
        <v>35</v>
      </c>
      <c r="E105" s="27" t="s">
        <v>640</v>
      </c>
      <c r="F105" s="12" t="s">
        <v>650</v>
      </c>
      <c r="G105" s="12" t="s">
        <v>651</v>
      </c>
      <c r="H105" s="27" t="n">
        <v>25</v>
      </c>
      <c r="I105" s="27" t="n">
        <v>3</v>
      </c>
      <c r="J105" s="12" t="s">
        <v>652</v>
      </c>
      <c r="K105" s="28" t="s">
        <v>180</v>
      </c>
    </row>
    <row r="106" customFormat="false" ht="16.5" hidden="false" customHeight="true" outlineLevel="0" collapsed="false">
      <c r="B106" s="27" t="s">
        <v>653</v>
      </c>
      <c r="C106" s="22" t="s">
        <v>654</v>
      </c>
      <c r="D106" s="27" t="s">
        <v>35</v>
      </c>
      <c r="E106" s="27" t="s">
        <v>640</v>
      </c>
      <c r="F106" s="12" t="s">
        <v>655</v>
      </c>
      <c r="G106" s="12" t="s">
        <v>656</v>
      </c>
      <c r="H106" s="27" t="n">
        <v>25</v>
      </c>
      <c r="I106" s="27" t="n">
        <v>3</v>
      </c>
      <c r="J106" s="12" t="s">
        <v>657</v>
      </c>
      <c r="K106" s="28" t="s">
        <v>180</v>
      </c>
    </row>
    <row r="107" customFormat="false" ht="16.5" hidden="false" customHeight="true" outlineLevel="0" collapsed="false">
      <c r="B107" s="27" t="s">
        <v>658</v>
      </c>
      <c r="C107" s="22" t="s">
        <v>659</v>
      </c>
      <c r="D107" s="27" t="s">
        <v>35</v>
      </c>
      <c r="E107" s="27" t="s">
        <v>640</v>
      </c>
      <c r="F107" s="12" t="s">
        <v>660</v>
      </c>
      <c r="G107" s="12" t="s">
        <v>661</v>
      </c>
      <c r="H107" s="27" t="n">
        <v>25</v>
      </c>
      <c r="I107" s="27" t="n">
        <v>3</v>
      </c>
      <c r="J107" s="12" t="s">
        <v>662</v>
      </c>
      <c r="K107" s="28" t="s">
        <v>180</v>
      </c>
    </row>
    <row r="108" customFormat="false" ht="16.5" hidden="false" customHeight="true" outlineLevel="0" collapsed="false">
      <c r="B108" s="27" t="s">
        <v>663</v>
      </c>
      <c r="C108" s="22" t="s">
        <v>664</v>
      </c>
      <c r="D108" s="27" t="s">
        <v>35</v>
      </c>
      <c r="E108" s="27" t="s">
        <v>640</v>
      </c>
      <c r="F108" s="12" t="s">
        <v>665</v>
      </c>
      <c r="G108" s="12" t="s">
        <v>666</v>
      </c>
      <c r="H108" s="27" t="n">
        <v>25</v>
      </c>
      <c r="I108" s="27" t="n">
        <v>3</v>
      </c>
      <c r="J108" s="12" t="s">
        <v>667</v>
      </c>
      <c r="K108" s="28" t="s">
        <v>180</v>
      </c>
    </row>
    <row r="109" customFormat="false" ht="16.5" hidden="false" customHeight="true" outlineLevel="0" collapsed="false">
      <c r="B109" s="27" t="s">
        <v>668</v>
      </c>
      <c r="C109" s="22" t="s">
        <v>669</v>
      </c>
      <c r="D109" s="27" t="s">
        <v>35</v>
      </c>
      <c r="E109" s="27" t="s">
        <v>640</v>
      </c>
      <c r="F109" s="12" t="s">
        <v>670</v>
      </c>
      <c r="G109" s="12" t="s">
        <v>671</v>
      </c>
      <c r="H109" s="27" t="n">
        <v>25</v>
      </c>
      <c r="I109" s="27" t="n">
        <v>3</v>
      </c>
      <c r="J109" s="12" t="s">
        <v>672</v>
      </c>
      <c r="K109" s="28" t="s">
        <v>180</v>
      </c>
    </row>
    <row r="110" customFormat="false" ht="30.75" hidden="false" customHeight="true" outlineLevel="0" collapsed="false">
      <c r="B110" s="27" t="s">
        <v>673</v>
      </c>
      <c r="C110" s="22" t="s">
        <v>674</v>
      </c>
      <c r="D110" s="27" t="s">
        <v>35</v>
      </c>
      <c r="E110" s="27" t="s">
        <v>640</v>
      </c>
      <c r="F110" s="12" t="s">
        <v>675</v>
      </c>
      <c r="G110" s="12" t="s">
        <v>676</v>
      </c>
      <c r="H110" s="27" t="n">
        <v>25</v>
      </c>
      <c r="I110" s="27" t="n">
        <v>4</v>
      </c>
      <c r="J110" s="12" t="s">
        <v>677</v>
      </c>
      <c r="K110" s="28" t="s">
        <v>180</v>
      </c>
    </row>
    <row r="111" customFormat="false" ht="16.5" hidden="false" customHeight="true" outlineLevel="0" collapsed="false">
      <c r="B111" s="27" t="s">
        <v>678</v>
      </c>
      <c r="C111" s="22" t="s">
        <v>679</v>
      </c>
      <c r="D111" s="27" t="s">
        <v>35</v>
      </c>
      <c r="E111" s="27" t="s">
        <v>640</v>
      </c>
      <c r="F111" s="12" t="s">
        <v>680</v>
      </c>
      <c r="G111" s="12" t="s">
        <v>373</v>
      </c>
      <c r="H111" s="27" t="n">
        <v>25</v>
      </c>
      <c r="I111" s="27" t="n">
        <v>4</v>
      </c>
      <c r="J111" s="12" t="s">
        <v>681</v>
      </c>
      <c r="K111" s="28" t="s">
        <v>180</v>
      </c>
    </row>
    <row r="112" customFormat="false" ht="16.5" hidden="false" customHeight="true" outlineLevel="0" collapsed="false">
      <c r="B112" s="27" t="s">
        <v>682</v>
      </c>
      <c r="C112" s="22" t="s">
        <v>683</v>
      </c>
      <c r="D112" s="27" t="s">
        <v>35</v>
      </c>
      <c r="E112" s="27" t="s">
        <v>640</v>
      </c>
      <c r="F112" s="12" t="s">
        <v>684</v>
      </c>
      <c r="G112" s="12" t="s">
        <v>685</v>
      </c>
      <c r="H112" s="27" t="n">
        <v>25</v>
      </c>
      <c r="I112" s="27" t="n">
        <v>3</v>
      </c>
      <c r="J112" s="12" t="s">
        <v>686</v>
      </c>
      <c r="K112" s="28" t="s">
        <v>180</v>
      </c>
    </row>
    <row r="113" customFormat="false" ht="16.5" hidden="false" customHeight="true" outlineLevel="0" collapsed="false">
      <c r="B113" s="27" t="s">
        <v>687</v>
      </c>
      <c r="C113" s="22" t="s">
        <v>688</v>
      </c>
      <c r="D113" s="27" t="s">
        <v>38</v>
      </c>
      <c r="E113" s="27" t="s">
        <v>640</v>
      </c>
      <c r="F113" s="12" t="s">
        <v>689</v>
      </c>
      <c r="G113" s="12" t="s">
        <v>690</v>
      </c>
      <c r="H113" s="27" t="s">
        <v>178</v>
      </c>
      <c r="I113" s="27" t="n">
        <v>2</v>
      </c>
      <c r="J113" s="12" t="s">
        <v>691</v>
      </c>
      <c r="K113" s="28" t="s">
        <v>180</v>
      </c>
    </row>
    <row r="114" customFormat="false" ht="16.5" hidden="false" customHeight="true" outlineLevel="0" collapsed="false">
      <c r="B114" s="27" t="s">
        <v>692</v>
      </c>
      <c r="C114" s="22" t="s">
        <v>693</v>
      </c>
      <c r="D114" s="27" t="s">
        <v>38</v>
      </c>
      <c r="E114" s="27" t="s">
        <v>640</v>
      </c>
      <c r="F114" s="12" t="s">
        <v>694</v>
      </c>
      <c r="G114" s="12" t="s">
        <v>695</v>
      </c>
      <c r="H114" s="27" t="s">
        <v>178</v>
      </c>
      <c r="I114" s="27" t="n">
        <v>3</v>
      </c>
      <c r="J114" s="12" t="s">
        <v>696</v>
      </c>
      <c r="K114" s="28" t="s">
        <v>180</v>
      </c>
    </row>
    <row r="115" customFormat="false" ht="16.5" hidden="false" customHeight="true" outlineLevel="0" collapsed="false">
      <c r="B115" s="27" t="s">
        <v>697</v>
      </c>
      <c r="C115" s="22" t="s">
        <v>698</v>
      </c>
      <c r="D115" s="27" t="s">
        <v>38</v>
      </c>
      <c r="E115" s="27" t="s">
        <v>640</v>
      </c>
      <c r="F115" s="12" t="s">
        <v>699</v>
      </c>
      <c r="G115" s="12" t="s">
        <v>700</v>
      </c>
      <c r="H115" s="27" t="s">
        <v>178</v>
      </c>
      <c r="I115" s="27" t="n">
        <v>3</v>
      </c>
      <c r="J115" s="12" t="s">
        <v>701</v>
      </c>
      <c r="K115" s="28" t="s">
        <v>180</v>
      </c>
    </row>
    <row r="116" customFormat="false" ht="30.75" hidden="false" customHeight="true" outlineLevel="0" collapsed="false">
      <c r="B116" s="27" t="s">
        <v>702</v>
      </c>
      <c r="C116" s="22" t="s">
        <v>703</v>
      </c>
      <c r="D116" s="27" t="s">
        <v>41</v>
      </c>
      <c r="E116" s="27" t="s">
        <v>640</v>
      </c>
      <c r="F116" s="12" t="s">
        <v>704</v>
      </c>
      <c r="G116" s="12" t="s">
        <v>705</v>
      </c>
      <c r="H116" s="27" t="s">
        <v>178</v>
      </c>
      <c r="I116" s="27" t="n">
        <v>3</v>
      </c>
      <c r="J116" s="12" t="s">
        <v>706</v>
      </c>
      <c r="K116" s="28" t="s">
        <v>180</v>
      </c>
    </row>
    <row r="117" customFormat="false" ht="16.5" hidden="false" customHeight="true" outlineLevel="0" collapsed="false">
      <c r="B117" s="27" t="s">
        <v>707</v>
      </c>
      <c r="C117" s="22" t="s">
        <v>708</v>
      </c>
      <c r="D117" s="27" t="s">
        <v>43</v>
      </c>
      <c r="E117" s="27" t="s">
        <v>640</v>
      </c>
      <c r="F117" s="12" t="s">
        <v>709</v>
      </c>
      <c r="G117" s="12" t="s">
        <v>710</v>
      </c>
      <c r="H117" s="27" t="s">
        <v>178</v>
      </c>
      <c r="I117" s="27" t="n">
        <v>3</v>
      </c>
      <c r="J117" s="12" t="s">
        <v>711</v>
      </c>
      <c r="K117" s="28" t="s">
        <v>180</v>
      </c>
    </row>
    <row r="118" customFormat="false" ht="16.5" hidden="false" customHeight="true" outlineLevel="0" collapsed="false">
      <c r="B118" s="27" t="s">
        <v>712</v>
      </c>
      <c r="C118" s="22" t="s">
        <v>713</v>
      </c>
      <c r="D118" s="27" t="s">
        <v>43</v>
      </c>
      <c r="E118" s="27" t="s">
        <v>640</v>
      </c>
      <c r="F118" s="12" t="s">
        <v>714</v>
      </c>
      <c r="G118" s="12" t="s">
        <v>715</v>
      </c>
      <c r="H118" s="27" t="s">
        <v>178</v>
      </c>
      <c r="I118" s="27" t="n">
        <v>2</v>
      </c>
      <c r="J118" s="12" t="s">
        <v>716</v>
      </c>
      <c r="K118" s="28" t="s">
        <v>180</v>
      </c>
    </row>
    <row r="119" customFormat="false" ht="15" hidden="false" customHeight="true" outlineLevel="0" collapsed="false">
      <c r="B119" s="25" t="s">
        <v>717</v>
      </c>
      <c r="C119" s="26"/>
      <c r="D119" s="26"/>
      <c r="E119" s="26"/>
      <c r="F119" s="26"/>
      <c r="G119" s="26"/>
      <c r="H119" s="26"/>
      <c r="I119" s="26"/>
      <c r="J119" s="26"/>
      <c r="K119" s="26"/>
    </row>
    <row r="120" customFormat="false" ht="16.5" hidden="false" customHeight="true" outlineLevel="0" collapsed="false">
      <c r="B120" s="27" t="s">
        <v>718</v>
      </c>
      <c r="C120" s="22" t="s">
        <v>719</v>
      </c>
      <c r="D120" s="27" t="s">
        <v>32</v>
      </c>
      <c r="E120" s="27" t="s">
        <v>720</v>
      </c>
      <c r="F120" s="12" t="s">
        <v>721</v>
      </c>
      <c r="G120" s="12" t="s">
        <v>722</v>
      </c>
      <c r="H120" s="27" t="s">
        <v>178</v>
      </c>
      <c r="I120" s="27" t="n">
        <v>1</v>
      </c>
      <c r="J120" s="12" t="s">
        <v>723</v>
      </c>
      <c r="K120" s="28" t="s">
        <v>180</v>
      </c>
    </row>
    <row r="121" customFormat="false" ht="16.5" hidden="false" customHeight="true" outlineLevel="0" collapsed="false">
      <c r="B121" s="27" t="s">
        <v>724</v>
      </c>
      <c r="C121" s="22" t="s">
        <v>725</v>
      </c>
      <c r="D121" s="27" t="s">
        <v>32</v>
      </c>
      <c r="E121" s="27" t="s">
        <v>720</v>
      </c>
      <c r="F121" s="12" t="s">
        <v>726</v>
      </c>
      <c r="G121" s="12" t="s">
        <v>722</v>
      </c>
      <c r="H121" s="27" t="s">
        <v>178</v>
      </c>
      <c r="I121" s="27" t="n">
        <v>1</v>
      </c>
      <c r="J121" s="12" t="s">
        <v>727</v>
      </c>
      <c r="K121" s="28" t="s">
        <v>180</v>
      </c>
    </row>
    <row r="122" customFormat="false" ht="16.5" hidden="false" customHeight="true" outlineLevel="0" collapsed="false">
      <c r="B122" s="27" t="s">
        <v>728</v>
      </c>
      <c r="C122" s="22" t="s">
        <v>729</v>
      </c>
      <c r="D122" s="27" t="s">
        <v>32</v>
      </c>
      <c r="E122" s="27" t="s">
        <v>720</v>
      </c>
      <c r="F122" s="12" t="s">
        <v>730</v>
      </c>
      <c r="G122" s="12" t="s">
        <v>722</v>
      </c>
      <c r="H122" s="27" t="s">
        <v>178</v>
      </c>
      <c r="I122" s="27" t="n">
        <v>1</v>
      </c>
      <c r="J122" s="12" t="s">
        <v>731</v>
      </c>
      <c r="K122" s="28" t="s">
        <v>180</v>
      </c>
    </row>
    <row r="123" customFormat="false" ht="16.5" hidden="false" customHeight="true" outlineLevel="0" collapsed="false">
      <c r="B123" s="27" t="s">
        <v>732</v>
      </c>
      <c r="C123" s="22" t="s">
        <v>733</v>
      </c>
      <c r="D123" s="27" t="s">
        <v>32</v>
      </c>
      <c r="E123" s="27" t="s">
        <v>720</v>
      </c>
      <c r="F123" s="12" t="s">
        <v>734</v>
      </c>
      <c r="G123" s="12" t="s">
        <v>722</v>
      </c>
      <c r="H123" s="27" t="s">
        <v>178</v>
      </c>
      <c r="I123" s="27" t="n">
        <v>1</v>
      </c>
      <c r="J123" s="12" t="s">
        <v>735</v>
      </c>
      <c r="K123" s="28" t="s">
        <v>180</v>
      </c>
    </row>
    <row r="124" customFormat="false" ht="30.75" hidden="false" customHeight="true" outlineLevel="0" collapsed="false">
      <c r="B124" s="27" t="s">
        <v>736</v>
      </c>
      <c r="C124" s="22" t="s">
        <v>737</v>
      </c>
      <c r="D124" s="27" t="s">
        <v>32</v>
      </c>
      <c r="E124" s="27" t="s">
        <v>720</v>
      </c>
      <c r="F124" s="12" t="s">
        <v>738</v>
      </c>
      <c r="G124" s="12" t="s">
        <v>739</v>
      </c>
      <c r="H124" s="27" t="s">
        <v>178</v>
      </c>
      <c r="I124" s="27" t="n">
        <v>2</v>
      </c>
      <c r="J124" s="12" t="s">
        <v>740</v>
      </c>
      <c r="K124" s="28" t="s">
        <v>180</v>
      </c>
    </row>
    <row r="125" customFormat="false" ht="30.75" hidden="false" customHeight="true" outlineLevel="0" collapsed="false">
      <c r="B125" s="27" t="s">
        <v>741</v>
      </c>
      <c r="C125" s="22" t="s">
        <v>742</v>
      </c>
      <c r="D125" s="27" t="s">
        <v>32</v>
      </c>
      <c r="E125" s="27" t="s">
        <v>720</v>
      </c>
      <c r="F125" s="12" t="s">
        <v>743</v>
      </c>
      <c r="G125" s="12" t="s">
        <v>620</v>
      </c>
      <c r="H125" s="27" t="s">
        <v>178</v>
      </c>
      <c r="I125" s="27" t="n">
        <v>2</v>
      </c>
      <c r="J125" s="12" t="s">
        <v>744</v>
      </c>
      <c r="K125" s="28" t="s">
        <v>180</v>
      </c>
    </row>
    <row r="126" customFormat="false" ht="30.75" hidden="false" customHeight="true" outlineLevel="0" collapsed="false">
      <c r="B126" s="27" t="s">
        <v>745</v>
      </c>
      <c r="C126" s="22" t="s">
        <v>746</v>
      </c>
      <c r="D126" s="27" t="s">
        <v>32</v>
      </c>
      <c r="E126" s="27" t="s">
        <v>720</v>
      </c>
      <c r="F126" s="12" t="s">
        <v>747</v>
      </c>
      <c r="G126" s="12" t="s">
        <v>748</v>
      </c>
      <c r="H126" s="27" t="s">
        <v>178</v>
      </c>
      <c r="I126" s="27" t="n">
        <v>2</v>
      </c>
      <c r="J126" s="12" t="s">
        <v>749</v>
      </c>
      <c r="K126" s="28" t="s">
        <v>180</v>
      </c>
    </row>
    <row r="127" customFormat="false" ht="16.5" hidden="false" customHeight="true" outlineLevel="0" collapsed="false">
      <c r="B127" s="27" t="s">
        <v>750</v>
      </c>
      <c r="C127" s="22" t="s">
        <v>751</v>
      </c>
      <c r="D127" s="27" t="s">
        <v>32</v>
      </c>
      <c r="E127" s="27" t="s">
        <v>720</v>
      </c>
      <c r="F127" s="12" t="s">
        <v>752</v>
      </c>
      <c r="G127" s="12" t="s">
        <v>753</v>
      </c>
      <c r="H127" s="27" t="s">
        <v>178</v>
      </c>
      <c r="I127" s="27" t="n">
        <v>2</v>
      </c>
      <c r="J127" s="12" t="s">
        <v>754</v>
      </c>
      <c r="K127" s="28" t="s">
        <v>180</v>
      </c>
    </row>
    <row r="128" customFormat="false" ht="16.5" hidden="false" customHeight="true" outlineLevel="0" collapsed="false">
      <c r="B128" s="27" t="s">
        <v>755</v>
      </c>
      <c r="C128" s="22" t="s">
        <v>756</v>
      </c>
      <c r="D128" s="27" t="s">
        <v>41</v>
      </c>
      <c r="E128" s="27" t="s">
        <v>720</v>
      </c>
      <c r="F128" s="12" t="s">
        <v>757</v>
      </c>
      <c r="G128" s="12" t="s">
        <v>758</v>
      </c>
      <c r="H128" s="27" t="s">
        <v>178</v>
      </c>
      <c r="I128" s="27" t="n">
        <v>2</v>
      </c>
      <c r="J128" s="12" t="s">
        <v>759</v>
      </c>
      <c r="K128" s="28" t="s">
        <v>180</v>
      </c>
    </row>
    <row r="129" customFormat="false" ht="16.5" hidden="false" customHeight="true" outlineLevel="0" collapsed="false">
      <c r="B129" s="27" t="s">
        <v>760</v>
      </c>
      <c r="C129" s="22" t="s">
        <v>761</v>
      </c>
      <c r="D129" s="27" t="s">
        <v>41</v>
      </c>
      <c r="E129" s="27" t="s">
        <v>720</v>
      </c>
      <c r="F129" s="12" t="s">
        <v>762</v>
      </c>
      <c r="G129" s="12" t="s">
        <v>763</v>
      </c>
      <c r="H129" s="27" t="s">
        <v>178</v>
      </c>
      <c r="I129" s="27" t="n">
        <v>3</v>
      </c>
      <c r="J129" s="12" t="s">
        <v>764</v>
      </c>
      <c r="K129" s="28" t="s">
        <v>180</v>
      </c>
    </row>
    <row r="130" customFormat="false" ht="16.5" hidden="false" customHeight="true" outlineLevel="0" collapsed="false">
      <c r="B130" s="27" t="s">
        <v>765</v>
      </c>
      <c r="C130" s="22" t="s">
        <v>766</v>
      </c>
      <c r="D130" s="27" t="s">
        <v>43</v>
      </c>
      <c r="E130" s="27" t="s">
        <v>720</v>
      </c>
      <c r="F130" s="12" t="s">
        <v>767</v>
      </c>
      <c r="G130" s="12" t="s">
        <v>768</v>
      </c>
      <c r="H130" s="27" t="s">
        <v>178</v>
      </c>
      <c r="I130" s="27" t="n">
        <v>2</v>
      </c>
      <c r="J130" s="12" t="s">
        <v>769</v>
      </c>
      <c r="K130" s="28" t="s">
        <v>180</v>
      </c>
    </row>
    <row r="131" customFormat="false" ht="16.5" hidden="false" customHeight="true" outlineLevel="0" collapsed="false">
      <c r="B131" s="27" t="s">
        <v>770</v>
      </c>
      <c r="C131" s="22" t="s">
        <v>771</v>
      </c>
      <c r="D131" s="27" t="s">
        <v>43</v>
      </c>
      <c r="E131" s="27" t="s">
        <v>720</v>
      </c>
      <c r="F131" s="12" t="s">
        <v>772</v>
      </c>
      <c r="G131" s="12" t="s">
        <v>773</v>
      </c>
      <c r="H131" s="27" t="s">
        <v>178</v>
      </c>
      <c r="I131" s="27" t="n">
        <v>3</v>
      </c>
      <c r="J131" s="12" t="s">
        <v>774</v>
      </c>
      <c r="K131" s="28" t="s">
        <v>180</v>
      </c>
    </row>
    <row r="132" customFormat="false" ht="16.5" hidden="false" customHeight="true" outlineLevel="0" collapsed="false">
      <c r="B132" s="27" t="s">
        <v>775</v>
      </c>
      <c r="C132" s="22" t="s">
        <v>776</v>
      </c>
      <c r="D132" s="27" t="s">
        <v>46</v>
      </c>
      <c r="E132" s="27" t="s">
        <v>720</v>
      </c>
      <c r="F132" s="12" t="s">
        <v>777</v>
      </c>
      <c r="G132" s="12" t="s">
        <v>778</v>
      </c>
      <c r="H132" s="27" t="s">
        <v>178</v>
      </c>
      <c r="I132" s="27" t="n">
        <v>1</v>
      </c>
      <c r="J132" s="12" t="s">
        <v>779</v>
      </c>
      <c r="K132" s="28" t="s">
        <v>180</v>
      </c>
    </row>
    <row r="133" customFormat="false" ht="16.5" hidden="false" customHeight="true" outlineLevel="0" collapsed="false">
      <c r="B133" s="27" t="s">
        <v>780</v>
      </c>
      <c r="C133" s="22" t="s">
        <v>781</v>
      </c>
      <c r="D133" s="27" t="s">
        <v>46</v>
      </c>
      <c r="E133" s="27" t="s">
        <v>720</v>
      </c>
      <c r="F133" s="12" t="s">
        <v>782</v>
      </c>
      <c r="G133" s="12" t="s">
        <v>783</v>
      </c>
      <c r="H133" s="27" t="s">
        <v>178</v>
      </c>
      <c r="I133" s="27" t="n">
        <v>1</v>
      </c>
      <c r="J133" s="12" t="s">
        <v>784</v>
      </c>
      <c r="K133" s="28" t="s">
        <v>180</v>
      </c>
    </row>
    <row r="134" customFormat="false" ht="16.5" hidden="false" customHeight="true" outlineLevel="0" collapsed="false">
      <c r="B134" s="27" t="s">
        <v>785</v>
      </c>
      <c r="C134" s="22" t="s">
        <v>786</v>
      </c>
      <c r="D134" s="27" t="s">
        <v>46</v>
      </c>
      <c r="E134" s="27" t="s">
        <v>720</v>
      </c>
      <c r="F134" s="12" t="s">
        <v>787</v>
      </c>
      <c r="G134" s="12" t="s">
        <v>722</v>
      </c>
      <c r="H134" s="27" t="s">
        <v>178</v>
      </c>
      <c r="I134" s="27" t="n">
        <v>1</v>
      </c>
      <c r="J134" s="12" t="s">
        <v>788</v>
      </c>
      <c r="K134" s="28" t="s">
        <v>180</v>
      </c>
    </row>
    <row r="135" customFormat="false" ht="16.5" hidden="false" customHeight="true" outlineLevel="0" collapsed="false">
      <c r="B135" s="27" t="s">
        <v>789</v>
      </c>
      <c r="C135" s="22" t="s">
        <v>790</v>
      </c>
      <c r="D135" s="27" t="s">
        <v>46</v>
      </c>
      <c r="E135" s="27" t="s">
        <v>720</v>
      </c>
      <c r="F135" s="12" t="s">
        <v>791</v>
      </c>
      <c r="G135" s="12" t="s">
        <v>722</v>
      </c>
      <c r="H135" s="27" t="s">
        <v>178</v>
      </c>
      <c r="I135" s="27" t="n">
        <v>1</v>
      </c>
      <c r="J135" s="12" t="s">
        <v>792</v>
      </c>
      <c r="K135" s="28" t="s">
        <v>180</v>
      </c>
    </row>
    <row r="136" customFormat="false" ht="16.5" hidden="false" customHeight="true" outlineLevel="0" collapsed="false">
      <c r="B136" s="27" t="s">
        <v>793</v>
      </c>
      <c r="C136" s="22" t="s">
        <v>794</v>
      </c>
      <c r="D136" s="27" t="s">
        <v>46</v>
      </c>
      <c r="E136" s="27" t="s">
        <v>720</v>
      </c>
      <c r="F136" s="12" t="s">
        <v>795</v>
      </c>
      <c r="G136" s="12" t="s">
        <v>722</v>
      </c>
      <c r="H136" s="27" t="s">
        <v>178</v>
      </c>
      <c r="I136" s="27" t="n">
        <v>1</v>
      </c>
      <c r="J136" s="12" t="s">
        <v>796</v>
      </c>
      <c r="K136" s="28" t="s">
        <v>180</v>
      </c>
    </row>
    <row r="137" customFormat="false" ht="16.5" hidden="false" customHeight="true" outlineLevel="0" collapsed="false">
      <c r="B137" s="27" t="s">
        <v>797</v>
      </c>
      <c r="C137" s="22" t="s">
        <v>798</v>
      </c>
      <c r="D137" s="27" t="s">
        <v>46</v>
      </c>
      <c r="E137" s="27" t="s">
        <v>720</v>
      </c>
      <c r="F137" s="12" t="s">
        <v>799</v>
      </c>
      <c r="G137" s="12" t="s">
        <v>800</v>
      </c>
      <c r="H137" s="27" t="s">
        <v>178</v>
      </c>
      <c r="I137" s="27" t="n">
        <v>3</v>
      </c>
      <c r="J137" s="12" t="s">
        <v>801</v>
      </c>
      <c r="K137" s="28" t="s">
        <v>180</v>
      </c>
    </row>
    <row r="138" customFormat="false" ht="16.5" hidden="false" customHeight="true" outlineLevel="0" collapsed="false">
      <c r="B138" s="27" t="s">
        <v>802</v>
      </c>
      <c r="C138" s="22" t="s">
        <v>803</v>
      </c>
      <c r="D138" s="27" t="s">
        <v>46</v>
      </c>
      <c r="E138" s="27" t="s">
        <v>720</v>
      </c>
      <c r="F138" s="12" t="s">
        <v>804</v>
      </c>
      <c r="G138" s="12" t="s">
        <v>722</v>
      </c>
      <c r="H138" s="27" t="s">
        <v>178</v>
      </c>
      <c r="I138" s="27" t="n">
        <v>1</v>
      </c>
      <c r="J138" s="12" t="s">
        <v>805</v>
      </c>
      <c r="K138" s="28" t="s">
        <v>180</v>
      </c>
    </row>
    <row r="139" customFormat="false" ht="16.5" hidden="false" customHeight="true" outlineLevel="0" collapsed="false">
      <c r="B139" s="27" t="s">
        <v>806</v>
      </c>
      <c r="C139" s="22" t="s">
        <v>807</v>
      </c>
      <c r="D139" s="27" t="s">
        <v>46</v>
      </c>
      <c r="E139" s="27" t="s">
        <v>720</v>
      </c>
      <c r="F139" s="12" t="s">
        <v>808</v>
      </c>
      <c r="G139" s="12" t="s">
        <v>722</v>
      </c>
      <c r="H139" s="27" t="s">
        <v>178</v>
      </c>
      <c r="I139" s="27" t="n">
        <v>2</v>
      </c>
      <c r="J139" s="12" t="s">
        <v>809</v>
      </c>
      <c r="K139" s="28" t="s">
        <v>180</v>
      </c>
    </row>
    <row r="140" customFormat="false" ht="16.5" hidden="false" customHeight="true" outlineLevel="0" collapsed="false">
      <c r="B140" s="27" t="s">
        <v>810</v>
      </c>
      <c r="C140" s="22" t="s">
        <v>811</v>
      </c>
      <c r="D140" s="27" t="s">
        <v>46</v>
      </c>
      <c r="E140" s="27" t="s">
        <v>720</v>
      </c>
      <c r="F140" s="12" t="s">
        <v>812</v>
      </c>
      <c r="G140" s="12" t="s">
        <v>722</v>
      </c>
      <c r="H140" s="27" t="s">
        <v>178</v>
      </c>
      <c r="I140" s="27" t="n">
        <v>3</v>
      </c>
      <c r="J140" s="12" t="s">
        <v>809</v>
      </c>
      <c r="K140" s="28" t="s">
        <v>180</v>
      </c>
    </row>
    <row r="141" customFormat="false" ht="16.5" hidden="false" customHeight="true" outlineLevel="0" collapsed="false">
      <c r="B141" s="27" t="s">
        <v>813</v>
      </c>
      <c r="C141" s="22" t="s">
        <v>814</v>
      </c>
      <c r="D141" s="27" t="s">
        <v>46</v>
      </c>
      <c r="E141" s="27" t="s">
        <v>720</v>
      </c>
      <c r="F141" s="12" t="s">
        <v>815</v>
      </c>
      <c r="G141" s="12" t="s">
        <v>722</v>
      </c>
      <c r="H141" s="27" t="s">
        <v>178</v>
      </c>
      <c r="I141" s="27" t="n">
        <v>4</v>
      </c>
      <c r="J141" s="12" t="s">
        <v>809</v>
      </c>
      <c r="K141" s="28" t="s">
        <v>180</v>
      </c>
    </row>
    <row r="143" customFormat="false" ht="15.75" hidden="false" customHeight="true" outlineLevel="0" collapsed="false">
      <c r="B143" s="16" t="s">
        <v>816</v>
      </c>
      <c r="C143" s="16"/>
      <c r="D143" s="16"/>
      <c r="E143" s="16"/>
      <c r="F143" s="16"/>
      <c r="G143" s="16"/>
    </row>
  </sheetData>
  <autoFilter ref="B5:K141"/>
  <mergeCells count="4">
    <mergeCell ref="B2:J2"/>
    <mergeCell ref="B3:C3"/>
    <mergeCell ref="D3:G3"/>
    <mergeCell ref="B143:G143"/>
  </mergeCells>
  <hyperlinks>
    <hyperlink ref="B3" location="'N-03 Index DMAIC'!A1" display="← Back to Index"/>
    <hyperlink ref="C7" location="'H-01 Project Charter'!A1" display="Project Charter"/>
    <hyperlink ref="K7" location="'H-01 Project Charter'!A1" display="Go →"/>
    <hyperlink ref="C8" location="'H-02 SIPOC'!A1" display="SIPOC"/>
    <hyperlink ref="K8" location="'H-02 SIPOC'!A1" display="Go →"/>
    <hyperlink ref="C9" location="'H-03 VOC and CTQ Tree'!A1" display="Voice of the Customer and CTQ Tree"/>
    <hyperlink ref="K9" location="'H-03 VOC and CTQ Tree'!A1" display="Go →"/>
    <hyperlink ref="C10" location="'H-04 Kano Model'!A1" display="Kano Model"/>
    <hyperlink ref="K10" location="'H-04 Kano Model'!A1" display="Go →"/>
    <hyperlink ref="C11" location="'G-01 Project Selection'!A1" display="Project Selection and Portfolio Prioritisation"/>
    <hyperlink ref="K11" location="'G-01 Project Selection'!A1" display="Go →"/>
    <hyperlink ref="C12" location="'G-02 Business Case COPQ'!A1" display="Business Case and Cost of Poor Quality"/>
    <hyperlink ref="K12" location="'G-02 Business Case COPQ'!A1" display="Go →"/>
    <hyperlink ref="C13" location="'G-03 Stakeholder Analysis'!A1" display="Stakeholder Analysis"/>
    <hyperlink ref="K13" location="'G-03 Stakeholder Analysis'!A1" display="Go →"/>
    <hyperlink ref="C14" location="'G-04 RACI Matrix'!A1" display="RACI Matrix"/>
    <hyperlink ref="K14" location="'G-04 RACI Matrix'!A1" display="Go →"/>
    <hyperlink ref="C15" location="'G-05 Communication Plan'!A1" display="Communication Plan"/>
    <hyperlink ref="K15" location="'G-05 Communication Plan'!A1" display="Go →"/>
    <hyperlink ref="C17" location="'E-01 Data Types'!A1" display="Data Types and Measurement Scales"/>
    <hyperlink ref="K17" location="'E-01 Data Types'!A1" display="Go →"/>
    <hyperlink ref="C18" location="'E-02 Population vs Sample'!A1" display="Population, Sample and Sampling Error"/>
    <hyperlink ref="K18" location="'E-02 Population vs Sample'!A1" display="Go →"/>
    <hyperlink ref="C19" location="'E-03 Descriptive Stats'!A1" display="Descriptive Statistics: Centre and Spread"/>
    <hyperlink ref="K19" location="'E-03 Descriptive Stats'!A1" display="Go →"/>
    <hyperlink ref="C20" location="'E-04 Skewness Kurtosis'!A1" display="Distribution Shape: Skewness and Kurtosis"/>
    <hyperlink ref="K20" location="'E-04 Skewness Kurtosis'!A1" display="Go →"/>
    <hyperlink ref="C21" location="'E-05 Sampling Subgroups'!A1" display="Sampling Strategies and Rational Subgrouping"/>
    <hyperlink ref="K21" location="'E-05 Sampling Subgroups'!A1" display="Go →"/>
    <hyperlink ref="C22" location="'E-06 Data Collection Plan'!A1" display="Operational Definitions and Data Collection Plan"/>
    <hyperlink ref="K22" location="'E-06 Data Collection Plan'!A1" display="Go →"/>
    <hyperlink ref="C23" location="'E-07 Normal Distribution'!A1" display="The Normal Distribution and Z Scores"/>
    <hyperlink ref="K23" location="'E-07 Normal Distribution'!A1" display="Go →"/>
    <hyperlink ref="C24" location="'E-08 Central Limit Theorem'!A1" display="Central Limit Theorem (Live Simulation)"/>
    <hyperlink ref="K24" location="'E-08 Central Limit Theorem'!A1" display="Go →"/>
    <hyperlink ref="C25" location="'E-09 t Chi2 F Distributions'!A1" display="The t, Chi-Square and F Distributions"/>
    <hyperlink ref="K25" location="'E-09 t Chi2 F Distributions'!A1" display="Go →"/>
    <hyperlink ref="C26" location="'E-10 Binomial Distribution'!A1" display="Binomial Distribution (Defective Units)"/>
    <hyperlink ref="K26" location="'E-10 Binomial Distribution'!A1" display="Go →"/>
    <hyperlink ref="C27" location="'E-11 Poisson Distribution'!A1" display="Poisson Distribution (Defects per Unit)"/>
    <hyperlink ref="K27" location="'E-11 Poisson Distribution'!A1" display="Go →"/>
    <hyperlink ref="C28" location="'E-12 Weibull Expon Lognorm'!A1" display="Weibull, Exponential and Lognormal"/>
    <hyperlink ref="K28" location="'E-12 Weibull Expon Lognorm'!A1" display="Go →"/>
    <hyperlink ref="C29" location="'E-13 Distribution ID'!A1" display="Identifying the Distribution of Your Data"/>
    <hyperlink ref="K29" location="'E-13 Distribution ID'!A1" display="Go →"/>
    <hyperlink ref="C30" location="'E-14 Standard Error'!A1" display="Standard Error vs Standard Deviation"/>
    <hyperlink ref="K30" location="'E-14 Standard Error'!A1" display="Go →"/>
    <hyperlink ref="C31" location="'E-15 CI Mean'!A1" display="Confidence Intervals for the Mean"/>
    <hyperlink ref="K31" location="'E-15 CI Mean'!A1" display="Go →"/>
    <hyperlink ref="C32" location="'E-16 CI Proportion StdDev'!A1" display="Confidence Intervals for Proportion and Std Dev"/>
    <hyperlink ref="K32" location="'E-16 CI Proportion StdDev'!A1" display="Go →"/>
    <hyperlink ref="C33" location="'E-20 Sample Size'!A1" display="Sample Size Determination"/>
    <hyperlink ref="K33" location="'E-20 Sample Size'!A1" display="Go →"/>
    <hyperlink ref="C34" location="'E-57 Process Capability'!A1" display="Cp, Cpk, Pp, Ppk and Cpm"/>
    <hyperlink ref="K34" location="'E-57 Process Capability'!A1" display="Go →"/>
    <hyperlink ref="C35" location="'E-58 Non-Normal Capability'!A1" display="Non-Normal and Attribute Capability, Z-bench"/>
    <hyperlink ref="K35" location="'E-58 Non-Normal Capability'!A1" display="Go →"/>
    <hyperlink ref="C36" location="'E-59 Gage R and R'!A1" display="Gage R&amp;R: ANOVA and Range Methods"/>
    <hyperlink ref="K36" location="'E-59 Gage R and R'!A1" display="Go →"/>
    <hyperlink ref="C37" location="'E-60 MSA Bias Linearity'!A1" display="MSA: Bias, Linearity, Stability, Attribute Agreement"/>
    <hyperlink ref="K37" location="'E-60 MSA Bias Linearity'!A1" display="Go →"/>
    <hyperlink ref="C38" location="'L-02 VSM Current State'!A1" display="Value Stream Map - Current State"/>
    <hyperlink ref="K38" location="'L-02 VSM Current State'!A1" display="Go →"/>
    <hyperlink ref="C39" location="'L-04 Process Mapping'!A1" display="Process Mapping and Swimlane Flowcharts"/>
    <hyperlink ref="K39" location="'L-04 Process Mapping'!A1" display="Go →"/>
    <hyperlink ref="C40" location="'L-05 Spaghetti Diagram'!A1" display="Spaghetti Diagram"/>
    <hyperlink ref="K40" location="'L-05 Spaghetti Diagram'!A1" display="Go →"/>
    <hyperlink ref="C41" location="'L-07 Takt Cycle Lead Time'!A1" display="Takt Time, Cycle Time and Lead Time"/>
    <hyperlink ref="K41" location="'L-07 Takt Cycle Lead Time'!A1" display="Go →"/>
    <hyperlink ref="C42" location="'L-11 OEE'!A1" display="Overall Equipment Effectiveness"/>
    <hyperlink ref="K42" location="'L-11 OEE'!A1" display="Go →"/>
    <hyperlink ref="C43" location="'L-22 Gemba Walk'!A1" display="Gemba Walk"/>
    <hyperlink ref="K43" location="'L-22 Gemba Walk'!A1" display="Go →"/>
    <hyperlink ref="C44" location="'H-05 Check Sheets'!A1" display="Check Sheets and Data Collection Forms"/>
    <hyperlink ref="K44" location="'H-05 Check Sheets'!A1" display="Go →"/>
    <hyperlink ref="C45" location="'H-06 Pareto Analysis'!A1" display="Pareto Analysis"/>
    <hyperlink ref="K45" location="'H-06 Pareto Analysis'!A1" display="Go →"/>
    <hyperlink ref="C46" location="'H-07 Histogram and Box Plot'!A1" display="Histogram and Box Plot"/>
    <hyperlink ref="K46" location="'H-07 Histogram and Box Plot'!A1" display="Go →"/>
    <hyperlink ref="C47" location="'H-08 Run Chart'!A1" display="Run Chart and Trend Analysis"/>
    <hyperlink ref="K47" location="'H-08 Run Chart'!A1" display="Go →"/>
    <hyperlink ref="C49" location="'E-17 Hypothesis Framework'!A1" display="The Hypothesis Testing Framework"/>
    <hyperlink ref="K49" location="'E-17 Hypothesis Framework'!A1" display="Go →"/>
    <hyperlink ref="C50" location="'E-18 The p-Value'!A1" display="Understanding the p-Value (and What It Is Not)"/>
    <hyperlink ref="K50" location="'E-18 The p-Value'!A1" display="Go →"/>
    <hyperlink ref="C51" location="'E-19 Type I II Error Power'!A1" display="Type I Error, Type II Error and Power"/>
    <hyperlink ref="K51" location="'E-19 Type I II Error Power'!A1" display="Go →"/>
    <hyperlink ref="C52" location="'E-21 Statistical vs Practical'!A1" display="Statistical vs Practical Significance"/>
    <hyperlink ref="K52" location="'E-21 Statistical vs Practical'!A1" display="Go →"/>
    <hyperlink ref="C53" location="'E-22 Test Selection Roadmap'!A1" display="Hypothesis Test Selection Roadmap"/>
    <hyperlink ref="K53" location="'E-22 Test Selection Roadmap'!A1" display="Go →"/>
    <hyperlink ref="C54" location="'E-23 1-Sample t-Test'!A1" display="One-Sample t-Test"/>
    <hyperlink ref="K54" location="'E-23 1-Sample t-Test'!A1" display="Go →"/>
    <hyperlink ref="C55" location="'E-24 2-Sample t-Test'!A1" display="Two-Sample t-Test (Welch and Pooled)"/>
    <hyperlink ref="K55" location="'E-24 2-Sample t-Test'!A1" display="Go →"/>
    <hyperlink ref="C56" location="'E-25 Paired t-Test'!A1" display="Paired t-Test"/>
    <hyperlink ref="K56" location="'E-25 Paired t-Test'!A1" display="Go →"/>
    <hyperlink ref="C57" location="'E-26 One-Way ANOVA'!A1" display="One-Way ANOVA with Tukey HSD"/>
    <hyperlink ref="K57" location="'E-26 One-Way ANOVA'!A1" display="Go →"/>
    <hyperlink ref="C58" location="'E-27 Two-Way ANOVA'!A1" display="Two-Way ANOVA and Interactions"/>
    <hyperlink ref="K58" location="'E-27 Two-Way ANOVA'!A1" display="Go →"/>
    <hyperlink ref="C59" location="'E-28 Variance Tests'!A1" display="Tests for Variance: F, Levene, Bartlett"/>
    <hyperlink ref="K59" location="'E-28 Variance Tests'!A1" display="Go →"/>
    <hyperlink ref="C60" location="'E-29 Proportion Tests'!A1" display="One and Two Proportion Tests"/>
    <hyperlink ref="K60" location="'E-29 Proportion Tests'!A1" display="Go →"/>
    <hyperlink ref="C61" location="'E-30 Chi-Square Tests'!A1" display="Chi-Square Tests and Fisher Exact"/>
    <hyperlink ref="K61" location="'E-30 Chi-Square Tests'!A1" display="Go →"/>
    <hyperlink ref="C62" location="'E-31 Nonparametric Tests'!A1" display="Nonparametric Tests"/>
    <hyperlink ref="K62" location="'E-31 Nonparametric Tests'!A1" display="Go →"/>
    <hyperlink ref="C63" location="'E-32 Normality Testing'!A1" display="Normality Testing and Probability Plots"/>
    <hyperlink ref="K63" location="'E-32 Normality Testing'!A1" display="Go →"/>
    <hyperlink ref="C64" location="'E-33 When Assumptions Fail'!A1" display="When Assumptions Fail: Transformations and Alternatives"/>
    <hyperlink ref="K64" location="'E-33 When Assumptions Fail'!A1" display="Go →"/>
    <hyperlink ref="C65" location="'E-34 Correlation'!A1" display="Scatter Plots and Correlation"/>
    <hyperlink ref="K65" location="'E-34 Correlation'!A1" display="Go →"/>
    <hyperlink ref="C66" location="'E-35 Correlation vs Causation'!A1" display="Correlation, Causation and Confounding"/>
    <hyperlink ref="K66" location="'E-35 Correlation vs Causation'!A1" display="Go →"/>
    <hyperlink ref="C67" location="'E-36 Simple Regression'!A1" display="Simple Linear Regression"/>
    <hyperlink ref="K67" location="'E-36 Simple Regression'!A1" display="Go →"/>
    <hyperlink ref="C68" location="'E-37 Residual Analysis'!A1" display="Residual Analysis and Model Diagnostics"/>
    <hyperlink ref="K68" location="'E-37 Residual Analysis'!A1" display="Go →"/>
    <hyperlink ref="C69" location="'E-38 Multiple Regression'!A1" display="Multiple Regression and Multicollinearity"/>
    <hyperlink ref="K69" location="'E-38 Multiple Regression'!A1" display="Go →"/>
    <hyperlink ref="C70" location="'E-39 Logistic Regression'!A1" display="Binary Logistic Regression"/>
    <hyperlink ref="K70" location="'E-39 Logistic Regression'!A1" display="Go →"/>
    <hyperlink ref="C71" location="'E-40 Multi-Vari Analysis'!A1" display="Multi-Vari Analysis"/>
    <hyperlink ref="K71" location="'E-40 Multi-Vari Analysis'!A1" display="Go →"/>
    <hyperlink ref="C72" location="'L-01 Eight Wastes'!A1" display="The Eight Wastes (DOWNTIME)"/>
    <hyperlink ref="K72" location="'L-01 Eight Wastes'!A1" display="Go →"/>
    <hyperlink ref="C73" location="'L-06 Value Added Analysis'!A1" display="Value-Added / Non-Value-Added Analysis"/>
    <hyperlink ref="K73" location="'L-06 Value Added Analysis'!A1" display="Go →"/>
    <hyperlink ref="C74" location="'L-08 Littles Law and WIP'!A1" display="Little's Law and Work in Process"/>
    <hyperlink ref="K74" location="'L-08 Littles Law and WIP'!A1" display="Go →"/>
    <hyperlink ref="C75" location="'L-09 Theory of Constraints'!A1" display="Theory of Constraints and Bottleneck Analysis"/>
    <hyperlink ref="K75" location="'L-09 Theory of Constraints'!A1" display="Go →"/>
    <hyperlink ref="C76" location="'H-09 Stratification'!A1" display="Stratification"/>
    <hyperlink ref="K76" location="'H-09 Stratification'!A1" display="Go →"/>
    <hyperlink ref="C77" location="'H-10 Ishikawa'!A1" display="Ishikawa / Fishbone Diagram"/>
    <hyperlink ref="K77" location="'H-10 Ishikawa'!A1" display="Go →"/>
    <hyperlink ref="C78" location="'H-11 5 Whys'!A1" display="5 Whys"/>
    <hyperlink ref="K78" location="'H-11 5 Whys'!A1" display="Go →"/>
    <hyperlink ref="C79" location="'H-12 Cause Effect Matrix'!A1" display="Cause and Effect (X-Y) Matrix"/>
    <hyperlink ref="K79" location="'H-12 Cause Effect Matrix'!A1" display="Go →"/>
    <hyperlink ref="C80" location="'H-13 FMEA AIAG-VDA'!A1" display="FMEA (AIAG-VDA 2019, Action Priority)"/>
    <hyperlink ref="K80" location="'H-13 FMEA AIAG-VDA'!A1" display="Go →"/>
    <hyperlink ref="C82" location="'E-41 DOE Fundamentals'!A1" display="DOE Fundamentals and Terminology"/>
    <hyperlink ref="K82" location="'E-41 DOE Fundamentals'!A1" display="Go →"/>
    <hyperlink ref="C83" location="'E-42 Full Factorial'!A1" display="Full Factorial Designs (2^k)"/>
    <hyperlink ref="K83" location="'E-42 Full Factorial'!A1" display="Go →"/>
    <hyperlink ref="C84" location="'E-43 Fractional Factorial'!A1" display="Fractional Factorial, Resolution and Aliasing"/>
    <hyperlink ref="K84" location="'E-43 Fractional Factorial'!A1" display="Go →"/>
    <hyperlink ref="C85" location="'E-44 Screening Designs'!A1" display="Screening Designs (Plackett-Burman)"/>
    <hyperlink ref="K85" location="'E-44 Screening Designs'!A1" display="Go →"/>
    <hyperlink ref="C86" location="'E-45 Center Points Curvature'!A1" display="Centre Points and Curvature Detection"/>
    <hyperlink ref="K86" location="'E-45 Center Points Curvature'!A1" display="Go →"/>
    <hyperlink ref="C87" location="'E-46 Response Surface'!A1" display="Response Surface Methods and Optimisation"/>
    <hyperlink ref="K87" location="'E-46 Response Surface'!A1" display="Go →"/>
    <hyperlink ref="C88" location="'L-03 VSM Future State'!A1" display="Value Stream Map - Future State"/>
    <hyperlink ref="K88" location="'L-03 VSM Future State'!A1" display="Go →"/>
    <hyperlink ref="C89" location="'L-10 Line Balancing'!A1" display="Line Balancing and Yamazumi"/>
    <hyperlink ref="K89" location="'L-10 Line Balancing'!A1" display="Go →"/>
    <hyperlink ref="C90" location="'L-12 5S'!A1" display="5S and Workplace Organisation"/>
    <hyperlink ref="K90" location="'L-12 5S'!A1" display="Go →"/>
    <hyperlink ref="C91" location="'L-15 SMED'!A1" display="SMED and Quick Changeover"/>
    <hyperlink ref="K91" location="'L-15 SMED'!A1" display="Go →"/>
    <hyperlink ref="C92" location="'L-16 TPM'!A1" display="TPM and Autonomous Maintenance"/>
    <hyperlink ref="K92" location="'L-16 TPM'!A1" display="Go →"/>
    <hyperlink ref="C93" location="'L-17 Poka-Yoke'!A1" display="Poka-Yoke (Mistake Proofing)"/>
    <hyperlink ref="K93" location="'L-17 Poka-Yoke'!A1" display="Go →"/>
    <hyperlink ref="C94" location="'L-19 Kanban Pull Systems'!A1" display="Pull Systems and Kanban"/>
    <hyperlink ref="K94" location="'L-19 Kanban Pull Systems'!A1" display="Go →"/>
    <hyperlink ref="C95" location="'L-20 Heijunka'!A1" display="Heijunka (Level Loading)"/>
    <hyperlink ref="K95" location="'L-20 Heijunka'!A1" display="Go →"/>
    <hyperlink ref="C96" location="'L-21 Kaizen Event'!A1" display="Kaizen Event Planning and Execution"/>
    <hyperlink ref="K96" location="'L-21 Kaizen Event'!A1" display="Go →"/>
    <hyperlink ref="C97" location="'L-23 PDCA'!A1" display="PDCA / PDSA Cycle"/>
    <hyperlink ref="K97" location="'L-23 PDCA'!A1" display="Go →"/>
    <hyperlink ref="C98" location="'L-24 Idea Generation'!A1" display="Idea Generation: Brainwriting, SCAMPER"/>
    <hyperlink ref="K98" location="'L-24 Idea Generation'!A1" display="Go →"/>
    <hyperlink ref="C99" location="'L-25 Solution Selection'!A1" display="Pugh Matrix, Impact-Effort, Weighted Criteria"/>
    <hyperlink ref="K99" location="'L-25 Solution Selection'!A1" display="Go →"/>
    <hyperlink ref="C100" location="'L-26 Pilot and Confirmation'!A1" display="Pilot Design and Confirmation Run"/>
    <hyperlink ref="K100" location="'L-26 Pilot and Confirmation'!A1" display="Go →"/>
    <hyperlink ref="C101" location="'G-06 Change Management'!A1" display="Change Management and Resistance (ADKAR)"/>
    <hyperlink ref="K101" location="'G-06 Change Management'!A1" display="Go →"/>
    <hyperlink ref="C103" location="'E-47 Common vs Special Cause'!A1" display="Common Cause vs Special Cause Variation"/>
    <hyperlink ref="K103" location="'E-47 Common vs Special Cause'!A1" display="Go →"/>
    <hyperlink ref="C104" location="'E-48 Chart Selection Tree'!A1" display="Control Chart Selection Tree"/>
    <hyperlink ref="K104" location="'E-48 Chart Selection Tree'!A1" display="Go →"/>
    <hyperlink ref="C105" location="'E-49 I-MR Chart'!A1" display="Individuals and Moving Range Chart"/>
    <hyperlink ref="K105" location="'E-49 I-MR Chart'!A1" display="Go →"/>
    <hyperlink ref="C106" location="'E-50 Xbar-R Chart'!A1" display="Xbar-R Chart"/>
    <hyperlink ref="K106" location="'E-50 Xbar-R Chart'!A1" display="Go →"/>
    <hyperlink ref="C107" location="'E-51 Xbar-S Chart'!A1" display="Xbar-S Chart"/>
    <hyperlink ref="K107" location="'E-51 Xbar-S Chart'!A1" display="Go →"/>
    <hyperlink ref="C108" location="'E-52 p and np Charts'!A1" display="p and np Charts"/>
    <hyperlink ref="K108" location="'E-52 p and np Charts'!A1" display="Go →"/>
    <hyperlink ref="C109" location="'E-53 c and u Charts'!A1" display="c and u Charts"/>
    <hyperlink ref="K109" location="'E-53 c and u Charts'!A1" display="Go →"/>
    <hyperlink ref="C110" location="'E-54 Laney p and u Charts'!A1" display="Laney p' and u' Charts (Overdispersion)"/>
    <hyperlink ref="K110" location="'E-54 Laney p and u Charts'!A1" display="Go →"/>
    <hyperlink ref="C111" location="'E-55 CUSUM and EWMA'!A1" display="CUSUM and EWMA Charts"/>
    <hyperlink ref="K111" location="'E-55 CUSUM and EWMA'!A1" display="Go →"/>
    <hyperlink ref="C112" location="'E-56 WE and Nelson Rules'!A1" display="Western Electric and Nelson Rules"/>
    <hyperlink ref="K112" location="'E-56 WE and Nelson Rules'!A1" display="Go →"/>
    <hyperlink ref="C113" location="'L-13 Visual Management'!A1" display="Visual Management"/>
    <hyperlink ref="K113" location="'L-13 Visual Management'!A1" display="Go →"/>
    <hyperlink ref="C114" location="'L-14 Standard Work'!A1" display="Standard Work and Combination Sheet"/>
    <hyperlink ref="K114" location="'L-14 Standard Work'!A1" display="Go →"/>
    <hyperlink ref="C115" location="'L-18 Jidoka and Andon'!A1" display="Jidoka and Andon"/>
    <hyperlink ref="K115" location="'L-18 Jidoka and Andon'!A1" display="Go →"/>
    <hyperlink ref="C116" location="'H-16 Control and Reaction'!A1" display="Control Plan and Reaction Plan (OCAP)"/>
    <hyperlink ref="K116" location="'H-16 Control and Reaction'!A1" display="Go →"/>
    <hyperlink ref="C117" location="'G-09 Benefit Validation'!A1" display="Financial Benefit Validation (Hard vs Soft)"/>
    <hyperlink ref="K117" location="'G-09 Benefit Validation'!A1" display="Go →"/>
    <hyperlink ref="C118" location="'G-10 Closure Replication'!A1" display="Closure, Handover, Lessons Learned, Replication"/>
    <hyperlink ref="K118" location="'G-10 Closure Replication'!A1" display="Go →"/>
    <hyperlink ref="C120" location="'N-01 Cover'!A1" display="Cover and Version Control"/>
    <hyperlink ref="K120" location="'N-01 Cover'!A1" display="Go →"/>
    <hyperlink ref="C121" location="'N-02 How To Use'!A1" display="How To Use This Workbook"/>
    <hyperlink ref="K121" location="'N-02 How To Use'!A1" display="Go →"/>
    <hyperlink ref="C122" location="'N-03 Index DMAIC'!A1" display="Master Index by DMAIC Phase"/>
    <hyperlink ref="K122" location="'N-03 Index DMAIC'!A1" display="Go →"/>
    <hyperlink ref="C123" location="'N-04 Index by Question'!A1" display="Index by Type of Question"/>
    <hyperlink ref="K123" location="'N-04 Index by Question'!A1" display="Go →"/>
    <hyperlink ref="C124" location="'N-05 Test Selector'!A1" display="Statistical Test Selector (Y vs X Matrix)"/>
    <hyperlink ref="K124" location="'N-05 Test Selector'!A1" display="Go →"/>
    <hyperlink ref="C125" location="'N-06 Index by Problem'!A1" display="Index by Problem Archetype"/>
    <hyperlink ref="K125" location="'N-06 Index by Problem'!A1" display="Go →"/>
    <hyperlink ref="C126" location="'N-07 Tollgates'!A1" display="Phase Tollgate Checklists"/>
    <hyperlink ref="K126" location="'N-07 Tollgates'!A1" display="Go →"/>
    <hyperlink ref="C127" location="'N-08 Fast Track Routes'!A1" display="When Not To Run a Full DMAIC"/>
    <hyperlink ref="K127" location="'N-08 Fast Track Routes'!A1" display="Go →"/>
    <hyperlink ref="C128" location="'H-14 A3 Problem Solving'!A1" display="A3 Problem Solving"/>
    <hyperlink ref="K128" location="'H-14 A3 Problem Solving'!A1" display="Go →"/>
    <hyperlink ref="C129" location="'H-15 8D Problem Solving'!A1" display="8D Problem Solving"/>
    <hyperlink ref="K129" location="'H-15 8D Problem Solving'!A1" display="Go →"/>
    <hyperlink ref="C130" location="'G-07 Risk Register'!A1" display="Project Risk Register"/>
    <hyperlink ref="K130" location="'G-07 Risk Register'!A1" display="Go →"/>
    <hyperlink ref="C131" location="'G-08 Schedule and CPM'!A1" display="Project Schedule, Gantt and PERT/CPM"/>
    <hyperlink ref="K131" location="'G-08 Schedule and CPM'!A1" display="Go →"/>
    <hyperlink ref="C132" location="'U-01 Statistical Tables'!A1" display="Z, t, Chi-Square and F Tables"/>
    <hyperlink ref="K132" location="'U-01 Statistical Tables'!A1" display="Go →"/>
    <hyperlink ref="C133" location="'U-02 Chart Constants'!A1" display="Control Chart Constants (d2, d3, A2, D3, D4, c4, B3, B4, E2)"/>
    <hyperlink ref="K133" location="'U-02 Chart Constants'!A1" display="Go →"/>
    <hyperlink ref="C134" location="'U-03 Excel Function Guide'!A1" display="Excel Statistical Function Reference"/>
    <hyperlink ref="K134" location="'U-03 Excel Function Guide'!A1" display="Go →"/>
    <hyperlink ref="C135" location="'U-04 Formula Sheet'!A1" display="Master Formula Sheet"/>
    <hyperlink ref="K135" location="'U-04 Formula Sheet'!A1" display="Go →"/>
    <hyperlink ref="C136" location="'U-05 Glossary EN-ES'!A1" display="Glossary English-Spanish"/>
    <hyperlink ref="K136" location="'U-05 Glossary EN-ES'!A1" display="Go →"/>
    <hyperlink ref="C137" location="'U-06 Sample Size Calculator'!A1" display="Universal Sample Size Calculator"/>
    <hyperlink ref="K137" location="'U-06 Sample Size Calculator'!A1" display="Go →"/>
    <hyperlink ref="C138" location="'U-07 Example Data Bank'!A1" display="Example Data Bank (PET, Kegs, Lab, Safety)"/>
    <hyperlink ref="K138" location="'U-07 Example Data Bank'!A1" display="Go →"/>
    <hyperlink ref="C139" location="'U-08 Exam Bank Foundations'!A1" display="Exam Questions: Foundations and Distributions"/>
    <hyperlink ref="K139" location="'U-08 Exam Bank Foundations'!A1" display="Go →"/>
    <hyperlink ref="C140" location="'U-09 Exam Bank Inference'!A1" display="Exam Questions: Inference and Hypothesis Testing"/>
    <hyperlink ref="K140" location="'U-09 Exam Bank Inference'!A1" display="Go →"/>
    <hyperlink ref="C141" location="'U-10 Exam Bank Advanced'!A1" display="Exam Questions: Regression, DOE, SPC, Lean"/>
    <hyperlink ref="K141" location="'U-10 Exam Bank Advanced'!A1" display="Go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34"/>
    <col collapsed="false" customWidth="true" hidden="false" outlineLevel="0" max="4" min="4" style="1" width="68"/>
    <col collapsed="false" customWidth="true" hidden="false" outlineLevel="0" max="5" min="5" style="1" width="12"/>
    <col collapsed="false" customWidth="true" hidden="false" outlineLevel="0" max="10" min="6" style="1" width="14"/>
    <col collapsed="false" customWidth="true" hidden="false" outlineLevel="0" max="11" min="11" style="1" width="20"/>
  </cols>
  <sheetData>
    <row r="1" customFormat="false" ht="15" hidden="false" customHeight="true" outlineLevel="0" collapsed="false">
      <c r="A1" s="2" t="s">
        <v>0</v>
      </c>
    </row>
    <row r="2" customFormat="false" ht="22.5" hidden="false" customHeight="true" outlineLevel="0" collapsed="false">
      <c r="B2" s="3" t="s">
        <v>817</v>
      </c>
      <c r="C2" s="3"/>
      <c r="D2" s="3"/>
      <c r="E2" s="3"/>
      <c r="F2" s="3"/>
      <c r="G2" s="3"/>
      <c r="H2" s="3"/>
      <c r="I2" s="3"/>
      <c r="J2" s="3"/>
      <c r="K2" s="4" t="s">
        <v>2</v>
      </c>
    </row>
    <row r="3" customFormat="false" ht="17.25" hidden="false" customHeight="true" outlineLevel="0" collapsed="false">
      <c r="B3" s="24" t="s">
        <v>3</v>
      </c>
      <c r="C3" s="24"/>
      <c r="D3" s="29" t="s">
        <v>818</v>
      </c>
    </row>
    <row r="5" customFormat="false" ht="17.25" hidden="false" customHeight="true" outlineLevel="0" collapsed="false">
      <c r="B5" s="21" t="s">
        <v>819</v>
      </c>
      <c r="C5" s="21"/>
      <c r="D5" s="21"/>
      <c r="E5" s="21"/>
      <c r="F5" s="21"/>
    </row>
    <row r="7" customFormat="false" ht="15.75" hidden="false" customHeight="true" outlineLevel="0" collapsed="false">
      <c r="B7" s="7" t="s">
        <v>820</v>
      </c>
      <c r="C7" s="8"/>
      <c r="D7" s="8"/>
      <c r="E7" s="8"/>
      <c r="F7" s="8"/>
      <c r="G7" s="8"/>
      <c r="H7" s="8"/>
      <c r="I7" s="8"/>
      <c r="J7" s="8"/>
      <c r="K7" s="8"/>
    </row>
    <row r="8" customFormat="false" ht="16.5" hidden="false" customHeight="true" outlineLevel="0" collapsed="false">
      <c r="B8" s="11" t="s">
        <v>163</v>
      </c>
      <c r="C8" s="11" t="s">
        <v>164</v>
      </c>
      <c r="D8" s="11" t="s">
        <v>821</v>
      </c>
      <c r="E8" s="11" t="s">
        <v>165</v>
      </c>
    </row>
    <row r="9" customFormat="false" ht="16.5" hidden="false" customHeight="true" outlineLevel="0" collapsed="false">
      <c r="B9" s="27" t="s">
        <v>181</v>
      </c>
      <c r="C9" s="22" t="s">
        <v>182</v>
      </c>
      <c r="D9" s="12" t="s">
        <v>822</v>
      </c>
      <c r="E9" s="27" t="s">
        <v>175</v>
      </c>
    </row>
    <row r="10" customFormat="false" ht="16.5" hidden="false" customHeight="true" outlineLevel="0" collapsed="false">
      <c r="B10" s="27" t="s">
        <v>331</v>
      </c>
      <c r="C10" s="22" t="s">
        <v>332</v>
      </c>
      <c r="D10" s="12" t="s">
        <v>823</v>
      </c>
      <c r="E10" s="27" t="s">
        <v>224</v>
      </c>
    </row>
    <row r="11" customFormat="false" ht="16.5" hidden="false" customHeight="true" outlineLevel="0" collapsed="false">
      <c r="B11" s="27" t="s">
        <v>351</v>
      </c>
      <c r="C11" s="22" t="s">
        <v>352</v>
      </c>
      <c r="D11" s="12" t="s">
        <v>824</v>
      </c>
      <c r="E11" s="27" t="s">
        <v>224</v>
      </c>
    </row>
    <row r="12" customFormat="false" ht="16.5" hidden="false" customHeight="true" outlineLevel="0" collapsed="false">
      <c r="B12" s="27" t="s">
        <v>233</v>
      </c>
      <c r="C12" s="22" t="s">
        <v>234</v>
      </c>
      <c r="D12" s="12" t="s">
        <v>825</v>
      </c>
      <c r="E12" s="27" t="s">
        <v>224</v>
      </c>
    </row>
    <row r="13" customFormat="false" ht="16.5" hidden="false" customHeight="true" outlineLevel="0" collapsed="false">
      <c r="B13" s="27" t="s">
        <v>366</v>
      </c>
      <c r="C13" s="22" t="s">
        <v>367</v>
      </c>
      <c r="D13" s="12" t="s">
        <v>826</v>
      </c>
      <c r="E13" s="27" t="s">
        <v>224</v>
      </c>
    </row>
    <row r="14" customFormat="false" ht="16.5" hidden="false" customHeight="true" outlineLevel="0" collapsed="false">
      <c r="B14" s="27" t="s">
        <v>370</v>
      </c>
      <c r="C14" s="22" t="s">
        <v>371</v>
      </c>
      <c r="D14" s="12" t="s">
        <v>827</v>
      </c>
      <c r="E14" s="27" t="s">
        <v>224</v>
      </c>
    </row>
    <row r="15" customFormat="false" ht="16.5" hidden="false" customHeight="true" outlineLevel="0" collapsed="false">
      <c r="B15" s="27" t="s">
        <v>346</v>
      </c>
      <c r="C15" s="22" t="s">
        <v>347</v>
      </c>
      <c r="D15" s="12" t="s">
        <v>828</v>
      </c>
      <c r="E15" s="27" t="s">
        <v>224</v>
      </c>
    </row>
    <row r="17" customFormat="false" ht="15.75" hidden="false" customHeight="true" outlineLevel="0" collapsed="false">
      <c r="B17" s="7" t="s">
        <v>829</v>
      </c>
      <c r="C17" s="8"/>
      <c r="D17" s="8"/>
      <c r="E17" s="8"/>
      <c r="F17" s="8"/>
      <c r="G17" s="8"/>
      <c r="H17" s="8"/>
      <c r="I17" s="8"/>
      <c r="J17" s="8"/>
      <c r="K17" s="8"/>
    </row>
    <row r="18" customFormat="false" ht="16.5" hidden="false" customHeight="true" outlineLevel="0" collapsed="false">
      <c r="B18" s="11" t="s">
        <v>163</v>
      </c>
      <c r="C18" s="11" t="s">
        <v>164</v>
      </c>
      <c r="D18" s="11" t="s">
        <v>821</v>
      </c>
      <c r="E18" s="11" t="s">
        <v>165</v>
      </c>
    </row>
    <row r="19" customFormat="false" ht="16.5" hidden="false" customHeight="true" outlineLevel="0" collapsed="false">
      <c r="B19" s="27" t="s">
        <v>247</v>
      </c>
      <c r="C19" s="22" t="s">
        <v>248</v>
      </c>
      <c r="D19" s="12" t="s">
        <v>830</v>
      </c>
      <c r="E19" s="27" t="s">
        <v>224</v>
      </c>
    </row>
    <row r="20" customFormat="false" ht="16.5" hidden="false" customHeight="true" outlineLevel="0" collapsed="false">
      <c r="B20" s="27" t="s">
        <v>222</v>
      </c>
      <c r="C20" s="22" t="s">
        <v>223</v>
      </c>
      <c r="D20" s="12" t="s">
        <v>831</v>
      </c>
      <c r="E20" s="27" t="s">
        <v>224</v>
      </c>
    </row>
    <row r="21" customFormat="false" ht="16.5" hidden="false" customHeight="true" outlineLevel="0" collapsed="false">
      <c r="B21" s="27" t="s">
        <v>242</v>
      </c>
      <c r="C21" s="22" t="s">
        <v>243</v>
      </c>
      <c r="D21" s="12" t="s">
        <v>832</v>
      </c>
      <c r="E21" s="27" t="s">
        <v>224</v>
      </c>
    </row>
    <row r="22" customFormat="false" ht="16.5" hidden="false" customHeight="true" outlineLevel="0" collapsed="false">
      <c r="B22" s="27" t="s">
        <v>316</v>
      </c>
      <c r="C22" s="22" t="s">
        <v>317</v>
      </c>
      <c r="D22" s="12" t="s">
        <v>833</v>
      </c>
      <c r="E22" s="27" t="s">
        <v>224</v>
      </c>
    </row>
    <row r="23" customFormat="false" ht="16.5" hidden="false" customHeight="true" outlineLevel="0" collapsed="false">
      <c r="B23" s="27" t="s">
        <v>321</v>
      </c>
      <c r="C23" s="22" t="s">
        <v>322</v>
      </c>
      <c r="D23" s="12" t="s">
        <v>834</v>
      </c>
      <c r="E23" s="27" t="s">
        <v>224</v>
      </c>
    </row>
    <row r="24" customFormat="false" ht="16.5" hidden="false" customHeight="true" outlineLevel="0" collapsed="false">
      <c r="B24" s="27" t="s">
        <v>301</v>
      </c>
      <c r="C24" s="22" t="s">
        <v>302</v>
      </c>
      <c r="D24" s="12" t="s">
        <v>835</v>
      </c>
      <c r="E24" s="27" t="s">
        <v>224</v>
      </c>
    </row>
    <row r="26" customFormat="false" ht="15.75" hidden="false" customHeight="true" outlineLevel="0" collapsed="false">
      <c r="B26" s="7" t="s">
        <v>836</v>
      </c>
      <c r="C26" s="8"/>
      <c r="D26" s="8"/>
      <c r="E26" s="8"/>
      <c r="F26" s="8"/>
      <c r="G26" s="8"/>
      <c r="H26" s="8"/>
      <c r="I26" s="8"/>
      <c r="J26" s="8"/>
      <c r="K26" s="8"/>
    </row>
    <row r="27" customFormat="false" ht="16.5" hidden="false" customHeight="true" outlineLevel="0" collapsed="false">
      <c r="B27" s="11" t="s">
        <v>163</v>
      </c>
      <c r="C27" s="11" t="s">
        <v>164</v>
      </c>
      <c r="D27" s="11" t="s">
        <v>821</v>
      </c>
      <c r="E27" s="11" t="s">
        <v>165</v>
      </c>
    </row>
    <row r="28" customFormat="false" ht="16.5" hidden="false" customHeight="true" outlineLevel="0" collapsed="false">
      <c r="B28" s="27" t="s">
        <v>638</v>
      </c>
      <c r="C28" s="22" t="s">
        <v>639</v>
      </c>
      <c r="D28" s="12" t="s">
        <v>837</v>
      </c>
      <c r="E28" s="27" t="s">
        <v>640</v>
      </c>
    </row>
    <row r="29" customFormat="false" ht="16.5" hidden="false" customHeight="true" outlineLevel="0" collapsed="false">
      <c r="B29" s="27" t="s">
        <v>643</v>
      </c>
      <c r="C29" s="22" t="s">
        <v>644</v>
      </c>
      <c r="D29" s="12" t="s">
        <v>838</v>
      </c>
      <c r="E29" s="27" t="s">
        <v>640</v>
      </c>
    </row>
    <row r="30" customFormat="false" ht="16.5" hidden="false" customHeight="true" outlineLevel="0" collapsed="false">
      <c r="B30" s="27" t="s">
        <v>648</v>
      </c>
      <c r="C30" s="22" t="s">
        <v>649</v>
      </c>
      <c r="D30" s="12" t="s">
        <v>839</v>
      </c>
      <c r="E30" s="27" t="s">
        <v>640</v>
      </c>
    </row>
    <row r="31" customFormat="false" ht="16.5" hidden="false" customHeight="true" outlineLevel="0" collapsed="false">
      <c r="B31" s="27" t="s">
        <v>653</v>
      </c>
      <c r="C31" s="22" t="s">
        <v>654</v>
      </c>
      <c r="D31" s="12" t="s">
        <v>840</v>
      </c>
      <c r="E31" s="27" t="s">
        <v>640</v>
      </c>
    </row>
    <row r="32" customFormat="false" ht="16.5" hidden="false" customHeight="true" outlineLevel="0" collapsed="false">
      <c r="B32" s="27" t="s">
        <v>658</v>
      </c>
      <c r="C32" s="22" t="s">
        <v>659</v>
      </c>
      <c r="D32" s="12" t="s">
        <v>841</v>
      </c>
      <c r="E32" s="27" t="s">
        <v>640</v>
      </c>
    </row>
    <row r="33" customFormat="false" ht="16.5" hidden="false" customHeight="true" outlineLevel="0" collapsed="false">
      <c r="B33" s="27" t="s">
        <v>663</v>
      </c>
      <c r="C33" s="22" t="s">
        <v>664</v>
      </c>
      <c r="D33" s="12" t="s">
        <v>842</v>
      </c>
      <c r="E33" s="27" t="s">
        <v>640</v>
      </c>
    </row>
    <row r="34" customFormat="false" ht="16.5" hidden="false" customHeight="true" outlineLevel="0" collapsed="false">
      <c r="B34" s="27" t="s">
        <v>668</v>
      </c>
      <c r="C34" s="22" t="s">
        <v>669</v>
      </c>
      <c r="D34" s="12" t="s">
        <v>843</v>
      </c>
      <c r="E34" s="27" t="s">
        <v>640</v>
      </c>
    </row>
    <row r="35" customFormat="false" ht="16.5" hidden="false" customHeight="true" outlineLevel="0" collapsed="false">
      <c r="B35" s="27" t="s">
        <v>673</v>
      </c>
      <c r="C35" s="22" t="s">
        <v>674</v>
      </c>
      <c r="D35" s="12" t="s">
        <v>844</v>
      </c>
      <c r="E35" s="27" t="s">
        <v>640</v>
      </c>
    </row>
    <row r="36" customFormat="false" ht="16.5" hidden="false" customHeight="true" outlineLevel="0" collapsed="false">
      <c r="B36" s="27" t="s">
        <v>678</v>
      </c>
      <c r="C36" s="22" t="s">
        <v>679</v>
      </c>
      <c r="D36" s="12" t="s">
        <v>845</v>
      </c>
      <c r="E36" s="27" t="s">
        <v>640</v>
      </c>
    </row>
    <row r="37" customFormat="false" ht="16.5" hidden="false" customHeight="true" outlineLevel="0" collapsed="false">
      <c r="B37" s="27" t="s">
        <v>682</v>
      </c>
      <c r="C37" s="22" t="s">
        <v>683</v>
      </c>
      <c r="D37" s="12" t="s">
        <v>846</v>
      </c>
      <c r="E37" s="27" t="s">
        <v>640</v>
      </c>
    </row>
    <row r="39" customFormat="false" ht="15.75" hidden="false" customHeight="true" outlineLevel="0" collapsed="false">
      <c r="B39" s="7" t="s">
        <v>847</v>
      </c>
      <c r="C39" s="8"/>
      <c r="D39" s="8"/>
      <c r="E39" s="8"/>
      <c r="F39" s="8"/>
      <c r="G39" s="8"/>
      <c r="H39" s="8"/>
      <c r="I39" s="8"/>
      <c r="J39" s="8"/>
      <c r="K39" s="8"/>
    </row>
    <row r="40" customFormat="false" ht="16.5" hidden="false" customHeight="true" outlineLevel="0" collapsed="false">
      <c r="B40" s="11" t="s">
        <v>163</v>
      </c>
      <c r="C40" s="11" t="s">
        <v>164</v>
      </c>
      <c r="D40" s="11" t="s">
        <v>821</v>
      </c>
      <c r="E40" s="11" t="s">
        <v>165</v>
      </c>
    </row>
    <row r="41" customFormat="false" ht="16.5" hidden="false" customHeight="true" outlineLevel="0" collapsed="false">
      <c r="B41" s="27" t="s">
        <v>306</v>
      </c>
      <c r="C41" s="22" t="s">
        <v>307</v>
      </c>
      <c r="D41" s="12" t="s">
        <v>848</v>
      </c>
      <c r="E41" s="27" t="s">
        <v>224</v>
      </c>
    </row>
    <row r="42" customFormat="false" ht="16.5" hidden="false" customHeight="true" outlineLevel="0" collapsed="false">
      <c r="B42" s="27" t="s">
        <v>311</v>
      </c>
      <c r="C42" s="22" t="s">
        <v>312</v>
      </c>
      <c r="D42" s="12" t="s">
        <v>849</v>
      </c>
      <c r="E42" s="27" t="s">
        <v>224</v>
      </c>
    </row>
    <row r="43" customFormat="false" ht="16.5" hidden="false" customHeight="true" outlineLevel="0" collapsed="false">
      <c r="B43" s="27" t="s">
        <v>252</v>
      </c>
      <c r="C43" s="22" t="s">
        <v>253</v>
      </c>
      <c r="D43" s="12" t="s">
        <v>850</v>
      </c>
      <c r="E43" s="27" t="s">
        <v>224</v>
      </c>
    </row>
    <row r="44" customFormat="false" ht="16.5" hidden="false" customHeight="true" outlineLevel="0" collapsed="false">
      <c r="B44" s="27" t="s">
        <v>392</v>
      </c>
      <c r="C44" s="22" t="s">
        <v>393</v>
      </c>
      <c r="D44" s="12" t="s">
        <v>851</v>
      </c>
      <c r="E44" s="27" t="s">
        <v>378</v>
      </c>
    </row>
    <row r="46" customFormat="false" ht="15.75" hidden="false" customHeight="true" outlineLevel="0" collapsed="false">
      <c r="B46" s="7" t="s">
        <v>852</v>
      </c>
      <c r="C46" s="8"/>
      <c r="D46" s="8"/>
      <c r="E46" s="8"/>
      <c r="F46" s="8"/>
      <c r="G46" s="8"/>
      <c r="H46" s="8"/>
      <c r="I46" s="8"/>
      <c r="J46" s="8"/>
      <c r="K46" s="8"/>
    </row>
    <row r="47" customFormat="false" ht="16.5" hidden="false" customHeight="true" outlineLevel="0" collapsed="false">
      <c r="B47" s="11" t="s">
        <v>163</v>
      </c>
      <c r="C47" s="11" t="s">
        <v>164</v>
      </c>
      <c r="D47" s="11" t="s">
        <v>821</v>
      </c>
      <c r="E47" s="11" t="s">
        <v>165</v>
      </c>
    </row>
    <row r="48" customFormat="false" ht="16.5" hidden="false" customHeight="true" outlineLevel="0" collapsed="false">
      <c r="B48" s="27" t="s">
        <v>736</v>
      </c>
      <c r="C48" s="22" t="s">
        <v>737</v>
      </c>
      <c r="D48" s="12" t="s">
        <v>853</v>
      </c>
      <c r="E48" s="27" t="s">
        <v>720</v>
      </c>
    </row>
    <row r="49" customFormat="false" ht="16.5" hidden="false" customHeight="true" outlineLevel="0" collapsed="false">
      <c r="B49" s="27" t="s">
        <v>402</v>
      </c>
      <c r="C49" s="22" t="s">
        <v>403</v>
      </c>
      <c r="D49" s="12" t="s">
        <v>854</v>
      </c>
      <c r="E49" s="27" t="s">
        <v>378</v>
      </c>
    </row>
    <row r="50" customFormat="false" ht="16.5" hidden="false" customHeight="true" outlineLevel="0" collapsed="false">
      <c r="B50" s="27" t="s">
        <v>407</v>
      </c>
      <c r="C50" s="22" t="s">
        <v>408</v>
      </c>
      <c r="D50" s="12" t="s">
        <v>855</v>
      </c>
      <c r="E50" s="27" t="s">
        <v>378</v>
      </c>
    </row>
    <row r="51" customFormat="false" ht="16.5" hidden="false" customHeight="true" outlineLevel="0" collapsed="false">
      <c r="B51" s="27" t="s">
        <v>412</v>
      </c>
      <c r="C51" s="22" t="s">
        <v>413</v>
      </c>
      <c r="D51" s="12" t="s">
        <v>856</v>
      </c>
      <c r="E51" s="27" t="s">
        <v>378</v>
      </c>
    </row>
    <row r="52" customFormat="false" ht="16.5" hidden="false" customHeight="true" outlineLevel="0" collapsed="false">
      <c r="B52" s="27" t="s">
        <v>417</v>
      </c>
      <c r="C52" s="22" t="s">
        <v>418</v>
      </c>
      <c r="D52" s="12" t="s">
        <v>857</v>
      </c>
      <c r="E52" s="27" t="s">
        <v>378</v>
      </c>
    </row>
    <row r="53" customFormat="false" ht="16.5" hidden="false" customHeight="true" outlineLevel="0" collapsed="false">
      <c r="B53" s="27" t="s">
        <v>427</v>
      </c>
      <c r="C53" s="22" t="s">
        <v>428</v>
      </c>
      <c r="D53" s="12" t="s">
        <v>858</v>
      </c>
      <c r="E53" s="27" t="s">
        <v>378</v>
      </c>
    </row>
    <row r="54" customFormat="false" ht="16.5" hidden="false" customHeight="true" outlineLevel="0" collapsed="false">
      <c r="B54" s="27" t="s">
        <v>432</v>
      </c>
      <c r="C54" s="22" t="s">
        <v>433</v>
      </c>
      <c r="D54" s="12" t="s">
        <v>859</v>
      </c>
      <c r="E54" s="27" t="s">
        <v>378</v>
      </c>
    </row>
    <row r="55" customFormat="false" ht="16.5" hidden="false" customHeight="true" outlineLevel="0" collapsed="false">
      <c r="B55" s="27" t="s">
        <v>437</v>
      </c>
      <c r="C55" s="22" t="s">
        <v>438</v>
      </c>
      <c r="D55" s="12" t="s">
        <v>860</v>
      </c>
      <c r="E55" s="27" t="s">
        <v>378</v>
      </c>
    </row>
    <row r="56" customFormat="false" ht="16.5" hidden="false" customHeight="true" outlineLevel="0" collapsed="false">
      <c r="B56" s="27" t="s">
        <v>442</v>
      </c>
      <c r="C56" s="22" t="s">
        <v>443</v>
      </c>
      <c r="D56" s="12" t="s">
        <v>861</v>
      </c>
      <c r="E56" s="27" t="s">
        <v>378</v>
      </c>
    </row>
    <row r="58" customFormat="false" ht="15.75" hidden="false" customHeight="true" outlineLevel="0" collapsed="false">
      <c r="B58" s="7" t="s">
        <v>862</v>
      </c>
      <c r="C58" s="8"/>
      <c r="D58" s="8"/>
      <c r="E58" s="8"/>
      <c r="F58" s="8"/>
      <c r="G58" s="8"/>
      <c r="H58" s="8"/>
      <c r="I58" s="8"/>
      <c r="J58" s="8"/>
      <c r="K58" s="8"/>
    </row>
    <row r="59" customFormat="false" ht="16.5" hidden="false" customHeight="true" outlineLevel="0" collapsed="false">
      <c r="B59" s="11" t="s">
        <v>163</v>
      </c>
      <c r="C59" s="11" t="s">
        <v>164</v>
      </c>
      <c r="D59" s="11" t="s">
        <v>821</v>
      </c>
      <c r="E59" s="11" t="s">
        <v>165</v>
      </c>
    </row>
    <row r="60" customFormat="false" ht="16.5" hidden="false" customHeight="true" outlineLevel="0" collapsed="false">
      <c r="B60" s="27" t="s">
        <v>456</v>
      </c>
      <c r="C60" s="22" t="s">
        <v>457</v>
      </c>
      <c r="D60" s="12" t="s">
        <v>863</v>
      </c>
      <c r="E60" s="27" t="s">
        <v>378</v>
      </c>
    </row>
    <row r="61" customFormat="false" ht="16.5" hidden="false" customHeight="true" outlineLevel="0" collapsed="false">
      <c r="B61" s="27" t="s">
        <v>461</v>
      </c>
      <c r="C61" s="22" t="s">
        <v>462</v>
      </c>
      <c r="D61" s="12" t="s">
        <v>864</v>
      </c>
      <c r="E61" s="27" t="s">
        <v>378</v>
      </c>
    </row>
    <row r="62" customFormat="false" ht="16.5" hidden="false" customHeight="true" outlineLevel="0" collapsed="false">
      <c r="B62" s="27" t="s">
        <v>466</v>
      </c>
      <c r="C62" s="22" t="s">
        <v>467</v>
      </c>
      <c r="D62" s="12" t="s">
        <v>865</v>
      </c>
      <c r="E62" s="27" t="s">
        <v>378</v>
      </c>
    </row>
    <row r="63" customFormat="false" ht="16.5" hidden="false" customHeight="true" outlineLevel="0" collapsed="false">
      <c r="B63" s="27" t="s">
        <v>470</v>
      </c>
      <c r="C63" s="22" t="s">
        <v>471</v>
      </c>
      <c r="D63" s="12" t="s">
        <v>866</v>
      </c>
      <c r="E63" s="27" t="s">
        <v>378</v>
      </c>
    </row>
    <row r="64" customFormat="false" ht="16.5" hidden="false" customHeight="true" outlineLevel="0" collapsed="false">
      <c r="B64" s="27" t="s">
        <v>475</v>
      </c>
      <c r="C64" s="22" t="s">
        <v>476</v>
      </c>
      <c r="D64" s="12" t="s">
        <v>867</v>
      </c>
      <c r="E64" s="27" t="s">
        <v>378</v>
      </c>
    </row>
    <row r="65" customFormat="false" ht="16.5" hidden="false" customHeight="true" outlineLevel="0" collapsed="false">
      <c r="B65" s="27" t="s">
        <v>480</v>
      </c>
      <c r="C65" s="22" t="s">
        <v>481</v>
      </c>
      <c r="D65" s="12" t="s">
        <v>868</v>
      </c>
      <c r="E65" s="27" t="s">
        <v>378</v>
      </c>
    </row>
    <row r="67" customFormat="false" ht="15.75" hidden="false" customHeight="true" outlineLevel="0" collapsed="false">
      <c r="B67" s="7" t="s">
        <v>869</v>
      </c>
      <c r="C67" s="8"/>
      <c r="D67" s="8"/>
      <c r="E67" s="8"/>
      <c r="F67" s="8"/>
      <c r="G67" s="8"/>
      <c r="H67" s="8"/>
      <c r="I67" s="8"/>
      <c r="J67" s="8"/>
      <c r="K67" s="8"/>
    </row>
    <row r="68" customFormat="false" ht="16.5" hidden="false" customHeight="true" outlineLevel="0" collapsed="false">
      <c r="B68" s="11" t="s">
        <v>163</v>
      </c>
      <c r="C68" s="11" t="s">
        <v>164</v>
      </c>
      <c r="D68" s="11" t="s">
        <v>821</v>
      </c>
      <c r="E68" s="11" t="s">
        <v>165</v>
      </c>
    </row>
    <row r="69" customFormat="false" ht="16.5" hidden="false" customHeight="true" outlineLevel="0" collapsed="false">
      <c r="B69" s="27" t="s">
        <v>525</v>
      </c>
      <c r="C69" s="22" t="s">
        <v>526</v>
      </c>
      <c r="D69" s="12" t="s">
        <v>870</v>
      </c>
      <c r="E69" s="27" t="s">
        <v>378</v>
      </c>
    </row>
    <row r="70" customFormat="false" ht="16.5" hidden="false" customHeight="true" outlineLevel="0" collapsed="false">
      <c r="B70" s="27" t="s">
        <v>485</v>
      </c>
      <c r="C70" s="22" t="s">
        <v>486</v>
      </c>
      <c r="D70" s="12" t="s">
        <v>871</v>
      </c>
      <c r="E70" s="27" t="s">
        <v>378</v>
      </c>
    </row>
    <row r="71" customFormat="false" ht="16.5" hidden="false" customHeight="true" outlineLevel="0" collapsed="false">
      <c r="B71" s="27" t="s">
        <v>536</v>
      </c>
      <c r="C71" s="22" t="s">
        <v>537</v>
      </c>
      <c r="D71" s="12" t="s">
        <v>872</v>
      </c>
      <c r="E71" s="27" t="s">
        <v>538</v>
      </c>
    </row>
    <row r="72" customFormat="false" ht="16.5" hidden="false" customHeight="true" outlineLevel="0" collapsed="false">
      <c r="B72" s="27" t="s">
        <v>552</v>
      </c>
      <c r="C72" s="22" t="s">
        <v>553</v>
      </c>
      <c r="D72" s="12" t="s">
        <v>873</v>
      </c>
      <c r="E72" s="27" t="s">
        <v>538</v>
      </c>
    </row>
    <row r="73" customFormat="false" ht="16.5" hidden="false" customHeight="true" outlineLevel="0" collapsed="false">
      <c r="B73" s="27" t="s">
        <v>542</v>
      </c>
      <c r="C73" s="22" t="s">
        <v>543</v>
      </c>
      <c r="D73" s="12" t="s">
        <v>874</v>
      </c>
      <c r="E73" s="27" t="s">
        <v>538</v>
      </c>
    </row>
    <row r="74" customFormat="false" ht="16.5" hidden="false" customHeight="true" outlineLevel="0" collapsed="false">
      <c r="B74" s="27" t="s">
        <v>547</v>
      </c>
      <c r="C74" s="22" t="s">
        <v>548</v>
      </c>
      <c r="D74" s="12" t="s">
        <v>875</v>
      </c>
      <c r="E74" s="27" t="s">
        <v>538</v>
      </c>
    </row>
    <row r="75" customFormat="false" ht="16.5" hidden="false" customHeight="true" outlineLevel="0" collapsed="false">
      <c r="B75" s="27" t="s">
        <v>562</v>
      </c>
      <c r="C75" s="22" t="s">
        <v>563</v>
      </c>
      <c r="D75" s="12" t="s">
        <v>876</v>
      </c>
      <c r="E75" s="27" t="s">
        <v>538</v>
      </c>
    </row>
    <row r="77" customFormat="false" ht="15.75" hidden="false" customHeight="true" outlineLevel="0" collapsed="false">
      <c r="B77" s="7" t="s">
        <v>877</v>
      </c>
      <c r="C77" s="8"/>
      <c r="D77" s="8"/>
      <c r="E77" s="8"/>
      <c r="F77" s="8"/>
      <c r="G77" s="8"/>
      <c r="H77" s="8"/>
      <c r="I77" s="8"/>
      <c r="J77" s="8"/>
      <c r="K77" s="8"/>
    </row>
    <row r="78" customFormat="false" ht="16.5" hidden="false" customHeight="true" outlineLevel="0" collapsed="false">
      <c r="B78" s="11" t="s">
        <v>163</v>
      </c>
      <c r="C78" s="11" t="s">
        <v>164</v>
      </c>
      <c r="D78" s="11" t="s">
        <v>821</v>
      </c>
      <c r="E78" s="11" t="s">
        <v>165</v>
      </c>
    </row>
    <row r="79" customFormat="false" ht="16.5" hidden="false" customHeight="true" outlineLevel="0" collapsed="false">
      <c r="B79" s="27" t="s">
        <v>515</v>
      </c>
      <c r="C79" s="22" t="s">
        <v>516</v>
      </c>
      <c r="D79" s="12" t="s">
        <v>878</v>
      </c>
      <c r="E79" s="27" t="s">
        <v>378</v>
      </c>
    </row>
    <row r="80" customFormat="false" ht="16.5" hidden="false" customHeight="true" outlineLevel="0" collapsed="false">
      <c r="B80" s="27" t="s">
        <v>520</v>
      </c>
      <c r="C80" s="22" t="s">
        <v>521</v>
      </c>
      <c r="D80" s="12" t="s">
        <v>879</v>
      </c>
      <c r="E80" s="27" t="s">
        <v>378</v>
      </c>
    </row>
    <row r="81" customFormat="false" ht="16.5" hidden="false" customHeight="true" outlineLevel="0" collapsed="false">
      <c r="B81" s="27" t="s">
        <v>510</v>
      </c>
      <c r="C81" s="22" t="s">
        <v>511</v>
      </c>
      <c r="D81" s="12" t="s">
        <v>880</v>
      </c>
      <c r="E81" s="27" t="s">
        <v>378</v>
      </c>
    </row>
    <row r="82" customFormat="false" ht="16.5" hidden="false" customHeight="true" outlineLevel="0" collapsed="false">
      <c r="B82" s="27" t="s">
        <v>361</v>
      </c>
      <c r="C82" s="22" t="s">
        <v>362</v>
      </c>
      <c r="D82" s="12" t="s">
        <v>881</v>
      </c>
      <c r="E82" s="27" t="s">
        <v>224</v>
      </c>
    </row>
    <row r="83" customFormat="false" ht="16.5" hidden="false" customHeight="true" outlineLevel="0" collapsed="false">
      <c r="B83" s="27" t="s">
        <v>530</v>
      </c>
      <c r="C83" s="22" t="s">
        <v>531</v>
      </c>
      <c r="D83" s="12" t="s">
        <v>882</v>
      </c>
      <c r="E83" s="27" t="s">
        <v>378</v>
      </c>
    </row>
    <row r="84" customFormat="false" ht="16.5" hidden="false" customHeight="true" outlineLevel="0" collapsed="false">
      <c r="B84" s="27" t="s">
        <v>760</v>
      </c>
      <c r="C84" s="22" t="s">
        <v>761</v>
      </c>
      <c r="D84" s="12" t="s">
        <v>883</v>
      </c>
      <c r="E84" s="27" t="s">
        <v>720</v>
      </c>
    </row>
    <row r="85" customFormat="false" ht="16.5" hidden="false" customHeight="true" outlineLevel="0" collapsed="false">
      <c r="B85" s="27" t="s">
        <v>755</v>
      </c>
      <c r="C85" s="22" t="s">
        <v>756</v>
      </c>
      <c r="D85" s="12" t="s">
        <v>884</v>
      </c>
      <c r="E85" s="27" t="s">
        <v>720</v>
      </c>
    </row>
    <row r="87" customFormat="false" ht="15.75" hidden="false" customHeight="true" outlineLevel="0" collapsed="false">
      <c r="B87" s="7" t="s">
        <v>885</v>
      </c>
      <c r="C87" s="8"/>
      <c r="D87" s="8"/>
      <c r="E87" s="8"/>
      <c r="F87" s="8"/>
      <c r="G87" s="8"/>
      <c r="H87" s="8"/>
      <c r="I87" s="8"/>
      <c r="J87" s="8"/>
      <c r="K87" s="8"/>
    </row>
    <row r="88" customFormat="false" ht="16.5" hidden="false" customHeight="true" outlineLevel="0" collapsed="false">
      <c r="B88" s="11" t="s">
        <v>163</v>
      </c>
      <c r="C88" s="11" t="s">
        <v>164</v>
      </c>
      <c r="D88" s="11" t="s">
        <v>821</v>
      </c>
      <c r="E88" s="11" t="s">
        <v>165</v>
      </c>
    </row>
    <row r="89" customFormat="false" ht="16.5" hidden="false" customHeight="true" outlineLevel="0" collapsed="false">
      <c r="B89" s="27" t="s">
        <v>702</v>
      </c>
      <c r="C89" s="22" t="s">
        <v>703</v>
      </c>
      <c r="D89" s="12" t="s">
        <v>886</v>
      </c>
      <c r="E89" s="27" t="s">
        <v>640</v>
      </c>
    </row>
    <row r="90" customFormat="false" ht="16.5" hidden="false" customHeight="true" outlineLevel="0" collapsed="false">
      <c r="B90" s="27" t="s">
        <v>692</v>
      </c>
      <c r="C90" s="22" t="s">
        <v>693</v>
      </c>
      <c r="D90" s="12" t="s">
        <v>887</v>
      </c>
      <c r="E90" s="27" t="s">
        <v>640</v>
      </c>
    </row>
    <row r="91" customFormat="false" ht="16.5" hidden="false" customHeight="true" outlineLevel="0" collapsed="false">
      <c r="B91" s="27" t="s">
        <v>687</v>
      </c>
      <c r="C91" s="22" t="s">
        <v>688</v>
      </c>
      <c r="D91" s="12" t="s">
        <v>888</v>
      </c>
      <c r="E91" s="27" t="s">
        <v>640</v>
      </c>
    </row>
    <row r="92" customFormat="false" ht="16.5" hidden="false" customHeight="true" outlineLevel="0" collapsed="false">
      <c r="B92" s="27" t="s">
        <v>592</v>
      </c>
      <c r="C92" s="22" t="s">
        <v>593</v>
      </c>
      <c r="D92" s="12" t="s">
        <v>889</v>
      </c>
      <c r="E92" s="27" t="s">
        <v>538</v>
      </c>
    </row>
    <row r="93" customFormat="false" ht="16.5" hidden="false" customHeight="true" outlineLevel="0" collapsed="false">
      <c r="B93" s="27" t="s">
        <v>697</v>
      </c>
      <c r="C93" s="22" t="s">
        <v>698</v>
      </c>
      <c r="D93" s="12" t="s">
        <v>890</v>
      </c>
      <c r="E93" s="27" t="s">
        <v>640</v>
      </c>
    </row>
    <row r="94" customFormat="false" ht="16.5" hidden="false" customHeight="true" outlineLevel="0" collapsed="false">
      <c r="B94" s="27" t="s">
        <v>682</v>
      </c>
      <c r="C94" s="22" t="s">
        <v>683</v>
      </c>
      <c r="D94" s="12" t="s">
        <v>891</v>
      </c>
      <c r="E94" s="27" t="s">
        <v>640</v>
      </c>
    </row>
    <row r="95" customFormat="false" ht="16.5" hidden="false" customHeight="true" outlineLevel="0" collapsed="false">
      <c r="B95" s="27" t="s">
        <v>707</v>
      </c>
      <c r="C95" s="22" t="s">
        <v>708</v>
      </c>
      <c r="D95" s="12" t="s">
        <v>892</v>
      </c>
      <c r="E95" s="27" t="s">
        <v>640</v>
      </c>
    </row>
    <row r="96" customFormat="false" ht="16.5" hidden="false" customHeight="true" outlineLevel="0" collapsed="false">
      <c r="B96" s="27" t="s">
        <v>712</v>
      </c>
      <c r="C96" s="22" t="s">
        <v>713</v>
      </c>
      <c r="D96" s="12" t="s">
        <v>893</v>
      </c>
      <c r="E96" s="27" t="s">
        <v>640</v>
      </c>
    </row>
  </sheetData>
  <mergeCells count="3">
    <mergeCell ref="B2:J2"/>
    <mergeCell ref="B3:C3"/>
    <mergeCell ref="B5:F5"/>
  </mergeCells>
  <hyperlinks>
    <hyperlink ref="B3" location="'N-03 Index DMAIC'!A1" display="← Back to Index"/>
    <hyperlink ref="C9" location="'H-02 SIPOC'!A1" display="SIPOC"/>
    <hyperlink ref="C10" location="'L-04 Process Mapping'!A1" display="Process Mapping and Swimlane Flowcharts"/>
    <hyperlink ref="C11" location="'L-22 Gemba Walk'!A1" display="Gemba Walk"/>
    <hyperlink ref="C12" location="'E-03 Descriptive Stats'!A1" display="Descriptive Statistics: Centre and Spread"/>
    <hyperlink ref="C13" location="'H-07 Histogram and Box Plot'!A1" display="Histogram and Box Plot"/>
    <hyperlink ref="C14" location="'H-08 Run Chart'!A1" display="Run Chart and Trend Analysis"/>
    <hyperlink ref="C15" location="'L-11 OEE'!A1" display="Overall Equipment Effectiveness"/>
    <hyperlink ref="C19" location="'E-06 Data Collection Plan'!A1" display="Operational Definitions and Data Collection Plan"/>
    <hyperlink ref="C20" location="'E-01 Data Types'!A1" display="Data Types and Measurement Scales"/>
    <hyperlink ref="C21" location="'E-05 Sampling Subgroups'!A1" display="Sampling Strategies and Rational Subgrouping"/>
    <hyperlink ref="C22" location="'E-59 Gage R and R'!A1" display="Gage R&amp;R: ANOVA and Range Methods"/>
    <hyperlink ref="C23" location="'E-60 MSA Bias Linearity'!A1" display="MSA: Bias, Linearity, Stability, Attribute Agreement"/>
    <hyperlink ref="C24" location="'E-20 Sample Size'!A1" display="Sample Size Determination"/>
    <hyperlink ref="C28" location="'E-47 Common vs Special Cause'!A1" display="Common Cause vs Special Cause Variation"/>
    <hyperlink ref="C29" location="'E-48 Chart Selection Tree'!A1" display="Control Chart Selection Tree"/>
    <hyperlink ref="C30" location="'E-49 I-MR Chart'!A1" display="Individuals and Moving Range Chart"/>
    <hyperlink ref="C31" location="'E-50 Xbar-R Chart'!A1" display="Xbar-R Chart"/>
    <hyperlink ref="C32" location="'E-51 Xbar-S Chart'!A1" display="Xbar-S Chart"/>
    <hyperlink ref="C33" location="'E-52 p and np Charts'!A1" display="p and np Charts"/>
    <hyperlink ref="C34" location="'E-53 c and u Charts'!A1" display="c and u Charts"/>
    <hyperlink ref="C35" location="'E-54 Laney p and u Charts'!A1" display="Laney p' and u' Charts (Overdispersion)"/>
    <hyperlink ref="C36" location="'E-55 CUSUM and EWMA'!A1" display="CUSUM and EWMA Charts"/>
    <hyperlink ref="C37" location="'E-56 WE and Nelson Rules'!A1" display="Western Electric and Nelson Rules"/>
    <hyperlink ref="C41" location="'E-57 Process Capability'!A1" display="Cp, Cpk, Pp, Ppk and Cpm"/>
    <hyperlink ref="C42" location="'E-58 Non-Normal Capability'!A1" display="Non-Normal and Attribute Capability, Z-bench"/>
    <hyperlink ref="C43" location="'E-07 Normal Distribution'!A1" display="The Normal Distribution and Z Scores"/>
    <hyperlink ref="C44" location="'E-21 Statistical vs Practical'!A1" display="Statistical vs Practical Significance"/>
    <hyperlink ref="C48" location="'N-05 Test Selector'!A1" display="Statistical Test Selector (Y vs X Matrix)"/>
    <hyperlink ref="C49" location="'E-23 1-Sample t-Test'!A1" display="One-Sample t-Test"/>
    <hyperlink ref="C50" location="'E-24 2-Sample t-Test'!A1" display="Two-Sample t-Test (Welch and Pooled)"/>
    <hyperlink ref="C51" location="'E-25 Paired t-Test'!A1" display="Paired t-Test"/>
    <hyperlink ref="C52" location="'E-26 One-Way ANOVA'!A1" display="One-Way ANOVA with Tukey HSD"/>
    <hyperlink ref="C53" location="'E-28 Variance Tests'!A1" display="Tests for Variance: F, Levene, Bartlett"/>
    <hyperlink ref="C54" location="'E-29 Proportion Tests'!A1" display="One and Two Proportion Tests"/>
    <hyperlink ref="C55" location="'E-30 Chi-Square Tests'!A1" display="Chi-Square Tests and Fisher Exact"/>
    <hyperlink ref="C56" location="'E-31 Nonparametric Tests'!A1" display="Nonparametric Tests"/>
    <hyperlink ref="C60" location="'E-34 Correlation'!A1" display="Scatter Plots and Correlation"/>
    <hyperlink ref="C61" location="'E-35 Correlation vs Causation'!A1" display="Correlation, Causation and Confounding"/>
    <hyperlink ref="C62" location="'E-36 Simple Regression'!A1" display="Simple Linear Regression"/>
    <hyperlink ref="C63" location="'E-37 Residual Analysis'!A1" display="Residual Analysis and Model Diagnostics"/>
    <hyperlink ref="C64" location="'E-38 Multiple Regression'!A1" display="Multiple Regression and Multicollinearity"/>
    <hyperlink ref="C65" location="'E-39 Logistic Regression'!A1" display="Binary Logistic Regression"/>
    <hyperlink ref="C69" location="'H-12 Cause Effect Matrix'!A1" display="Cause and Effect (X-Y) Matrix"/>
    <hyperlink ref="C70" location="'E-40 Multi-Vari Analysis'!A1" display="Multi-Vari Analysis"/>
    <hyperlink ref="C71" location="'E-41 DOE Fundamentals'!A1" display="DOE Fundamentals and Terminology"/>
    <hyperlink ref="C72" location="'E-44 Screening Designs'!A1" display="Screening Designs (Plackett-Burman)"/>
    <hyperlink ref="C73" location="'E-42 Full Factorial'!A1" display="Full Factorial Designs (2^k)"/>
    <hyperlink ref="C74" location="'E-43 Fractional Factorial'!A1" display="Fractional Factorial, Resolution and Aliasing"/>
    <hyperlink ref="C75" location="'E-46 Response Surface'!A1" display="Response Surface Methods and Optimisation"/>
    <hyperlink ref="C79" location="'H-10 Ishikawa'!A1" display="Ishikawa / Fishbone Diagram"/>
    <hyperlink ref="C80" location="'H-11 5 Whys'!A1" display="5 Whys"/>
    <hyperlink ref="C81" location="'H-09 Stratification'!A1" display="Stratification"/>
    <hyperlink ref="C82" location="'H-06 Pareto Analysis'!A1" display="Pareto Analysis"/>
    <hyperlink ref="C83" location="'H-13 FMEA AIAG-VDA'!A1" display="FMEA (AIAG-VDA 2019, Action Priority)"/>
    <hyperlink ref="C84" location="'H-15 8D Problem Solving'!A1" display="8D Problem Solving"/>
    <hyperlink ref="C85" location="'H-14 A3 Problem Solving'!A1" display="A3 Problem Solving"/>
    <hyperlink ref="C89" location="'H-16 Control and Reaction'!A1" display="Control Plan and Reaction Plan (OCAP)"/>
    <hyperlink ref="C90" location="'L-14 Standard Work'!A1" display="Standard Work and Combination Sheet"/>
    <hyperlink ref="C91" location="'L-13 Visual Management'!A1" display="Visual Management"/>
    <hyperlink ref="C92" location="'L-17 Poka-Yoke'!A1" display="Poka-Yoke (Mistake Proofing)"/>
    <hyperlink ref="C93" location="'L-18 Jidoka and Andon'!A1" display="Jidoka and Andon"/>
    <hyperlink ref="C94" location="'E-56 WE and Nelson Rules'!A1" display="Western Electric and Nelson Rules"/>
    <hyperlink ref="C95" location="'G-09 Benefit Validation'!A1" display="Financial Benefit Validation (Hard vs Soft)"/>
    <hyperlink ref="C96" location="'G-10 Closure Replication'!A1" display="Closure, Handover, Lessons Learned, Replic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4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4" topLeftCell="A7"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6" min="3" style="1" width="36"/>
    <col collapsed="false" customWidth="true" hidden="false" outlineLevel="0" max="10" min="7" style="1" width="12"/>
    <col collapsed="false" customWidth="true" hidden="false" outlineLevel="0" max="11" min="11" style="1" width="20"/>
  </cols>
  <sheetData>
    <row r="1" customFormat="false" ht="15" hidden="false" customHeight="true" outlineLevel="0" collapsed="false">
      <c r="A1" s="2" t="s">
        <v>0</v>
      </c>
    </row>
    <row r="2" customFormat="false" ht="22.5" hidden="false" customHeight="true" outlineLevel="0" collapsed="false">
      <c r="B2" s="3" t="s">
        <v>894</v>
      </c>
      <c r="C2" s="3"/>
      <c r="D2" s="3"/>
      <c r="E2" s="3"/>
      <c r="F2" s="3"/>
      <c r="G2" s="3"/>
      <c r="H2" s="3"/>
      <c r="I2" s="3"/>
      <c r="J2" s="3"/>
      <c r="K2" s="4" t="s">
        <v>2</v>
      </c>
    </row>
    <row r="3" customFormat="false" ht="28.5" hidden="false" customHeight="true" outlineLevel="0" collapsed="false">
      <c r="B3" s="5" t="s">
        <v>3</v>
      </c>
      <c r="D3" s="6" t="s">
        <v>895</v>
      </c>
      <c r="E3" s="6"/>
      <c r="F3" s="6"/>
    </row>
    <row r="5" customFormat="false" ht="15.75" hidden="false" customHeight="true" outlineLevel="0" collapsed="false">
      <c r="B5" s="7" t="s">
        <v>896</v>
      </c>
      <c r="C5" s="8"/>
      <c r="D5" s="8"/>
      <c r="E5" s="8"/>
      <c r="F5" s="8"/>
    </row>
    <row r="7" customFormat="false" ht="17.25" hidden="false" customHeight="true" outlineLevel="0" collapsed="false">
      <c r="B7" s="9" t="s">
        <v>897</v>
      </c>
      <c r="C7" s="9"/>
      <c r="D7" s="9"/>
      <c r="E7" s="9"/>
      <c r="F7" s="9"/>
    </row>
    <row r="8" customFormat="false" ht="17.25" hidden="false" customHeight="true" outlineLevel="0" collapsed="false">
      <c r="B8" s="9" t="s">
        <v>898</v>
      </c>
      <c r="C8" s="9"/>
      <c r="D8" s="9"/>
      <c r="E8" s="9"/>
      <c r="F8" s="9"/>
    </row>
    <row r="10" customFormat="false" ht="30.75" hidden="false" customHeight="true" outlineLevel="0" collapsed="false">
      <c r="B10" s="30" t="s">
        <v>899</v>
      </c>
      <c r="C10" s="11" t="s">
        <v>900</v>
      </c>
      <c r="D10" s="11" t="s">
        <v>901</v>
      </c>
      <c r="E10" s="11" t="s">
        <v>902</v>
      </c>
      <c r="F10" s="11" t="s">
        <v>903</v>
      </c>
    </row>
    <row r="11" customFormat="false" ht="30.75" hidden="false" customHeight="true" outlineLevel="0" collapsed="false">
      <c r="B11" s="11" t="s">
        <v>904</v>
      </c>
      <c r="C11" s="31" t="s">
        <v>905</v>
      </c>
      <c r="D11" s="31" t="s">
        <v>906</v>
      </c>
      <c r="E11" s="31" t="s">
        <v>907</v>
      </c>
      <c r="F11" s="31" t="s">
        <v>908</v>
      </c>
    </row>
    <row r="12" customFormat="false" ht="15.75" hidden="false" customHeight="true" outlineLevel="0" collapsed="false">
      <c r="B12" s="32"/>
      <c r="C12" s="33" t="s">
        <v>909</v>
      </c>
      <c r="D12" s="33" t="s">
        <v>910</v>
      </c>
      <c r="E12" s="33" t="s">
        <v>911</v>
      </c>
      <c r="F12" s="33" t="s">
        <v>912</v>
      </c>
    </row>
    <row r="13" customFormat="false" ht="30.75" hidden="false" customHeight="true" outlineLevel="0" collapsed="false">
      <c r="B13" s="11" t="s">
        <v>913</v>
      </c>
      <c r="C13" s="31" t="s">
        <v>914</v>
      </c>
      <c r="D13" s="31" t="s">
        <v>915</v>
      </c>
      <c r="E13" s="31" t="s">
        <v>916</v>
      </c>
      <c r="F13" s="31" t="s">
        <v>481</v>
      </c>
    </row>
    <row r="14" customFormat="false" ht="15.75" hidden="false" customHeight="true" outlineLevel="0" collapsed="false">
      <c r="B14" s="32"/>
      <c r="C14" s="33" t="s">
        <v>917</v>
      </c>
      <c r="D14" s="33" t="s">
        <v>918</v>
      </c>
      <c r="E14" s="33" t="s">
        <v>919</v>
      </c>
      <c r="F14" s="33" t="s">
        <v>920</v>
      </c>
    </row>
    <row r="15" customFormat="false" ht="30.75" hidden="false" customHeight="true" outlineLevel="0" collapsed="false">
      <c r="B15" s="11" t="s">
        <v>921</v>
      </c>
      <c r="C15" s="31" t="s">
        <v>922</v>
      </c>
      <c r="D15" s="31" t="s">
        <v>923</v>
      </c>
      <c r="E15" s="31" t="s">
        <v>924</v>
      </c>
      <c r="F15" s="31" t="s">
        <v>925</v>
      </c>
    </row>
    <row r="16" customFormat="false" ht="15.75" hidden="false" customHeight="true" outlineLevel="0" collapsed="false">
      <c r="B16" s="32"/>
      <c r="C16" s="33" t="s">
        <v>926</v>
      </c>
      <c r="D16" s="33" t="s">
        <v>927</v>
      </c>
      <c r="E16" s="33" t="s">
        <v>928</v>
      </c>
      <c r="F16" s="33" t="s">
        <v>929</v>
      </c>
    </row>
    <row r="17" customFormat="false" ht="44.25" hidden="false" customHeight="true" outlineLevel="0" collapsed="false">
      <c r="B17" s="11" t="s">
        <v>930</v>
      </c>
      <c r="C17" s="31" t="s">
        <v>931</v>
      </c>
      <c r="D17" s="31" t="s">
        <v>932</v>
      </c>
      <c r="E17" s="31" t="s">
        <v>933</v>
      </c>
      <c r="F17" s="31" t="s">
        <v>934</v>
      </c>
    </row>
    <row r="18" customFormat="false" ht="27.75" hidden="false" customHeight="true" outlineLevel="0" collapsed="false">
      <c r="B18" s="32"/>
      <c r="C18" s="33" t="s">
        <v>935</v>
      </c>
      <c r="D18" s="33" t="s">
        <v>936</v>
      </c>
      <c r="E18" s="33" t="s">
        <v>936</v>
      </c>
      <c r="F18" s="33" t="s">
        <v>937</v>
      </c>
    </row>
    <row r="20" customFormat="false" ht="15.75" hidden="false" customHeight="true" outlineLevel="0" collapsed="false">
      <c r="B20" s="7" t="s">
        <v>938</v>
      </c>
      <c r="C20" s="8"/>
      <c r="D20" s="8"/>
      <c r="E20" s="8"/>
      <c r="F20" s="8"/>
    </row>
    <row r="22" customFormat="false" ht="17.25" hidden="false" customHeight="true" outlineLevel="0" collapsed="false">
      <c r="B22" s="34" t="s">
        <v>939</v>
      </c>
      <c r="C22" s="34"/>
      <c r="D22" s="34"/>
      <c r="E22" s="34"/>
      <c r="F22" s="34"/>
    </row>
    <row r="23" customFormat="false" ht="17.25" hidden="false" customHeight="true" outlineLevel="0" collapsed="false">
      <c r="B23" s="35" t="s">
        <v>940</v>
      </c>
      <c r="C23" s="35"/>
      <c r="D23" s="35"/>
      <c r="E23" s="35"/>
      <c r="F23" s="35"/>
    </row>
    <row r="24" customFormat="false" ht="17.25" hidden="false" customHeight="true" outlineLevel="0" collapsed="false">
      <c r="B24" s="35" t="s">
        <v>941</v>
      </c>
      <c r="C24" s="35"/>
      <c r="D24" s="35"/>
      <c r="E24" s="35"/>
      <c r="F24" s="35"/>
    </row>
    <row r="25" customFormat="false" ht="17.25" hidden="false" customHeight="true" outlineLevel="0" collapsed="false">
      <c r="B25" s="34" t="s">
        <v>942</v>
      </c>
      <c r="C25" s="34"/>
      <c r="D25" s="34"/>
      <c r="E25" s="34"/>
      <c r="F25" s="34"/>
    </row>
    <row r="26" customFormat="false" ht="17.25" hidden="false" customHeight="true" outlineLevel="0" collapsed="false">
      <c r="B26" s="35" t="s">
        <v>943</v>
      </c>
      <c r="C26" s="35"/>
      <c r="D26" s="35"/>
      <c r="E26" s="35"/>
      <c r="F26" s="35"/>
    </row>
    <row r="27" customFormat="false" ht="15" hidden="false" customHeight="true" outlineLevel="0" collapsed="false">
      <c r="B27" s="36" t="s">
        <v>944</v>
      </c>
    </row>
    <row r="28" customFormat="false" ht="17.25" hidden="false" customHeight="true" outlineLevel="0" collapsed="false">
      <c r="B28" s="37" t="s">
        <v>945</v>
      </c>
      <c r="C28" s="37"/>
      <c r="D28" s="37"/>
      <c r="E28" s="37"/>
      <c r="F28" s="37"/>
    </row>
    <row r="29" customFormat="false" ht="17.25" hidden="false" customHeight="true" outlineLevel="0" collapsed="false">
      <c r="B29" s="35" t="s">
        <v>946</v>
      </c>
      <c r="C29" s="35"/>
      <c r="D29" s="35"/>
      <c r="E29" s="35"/>
      <c r="F29" s="35"/>
    </row>
    <row r="30" customFormat="false" ht="17.25" hidden="false" customHeight="true" outlineLevel="0" collapsed="false">
      <c r="B30" s="37" t="s">
        <v>947</v>
      </c>
      <c r="C30" s="37"/>
      <c r="D30" s="37"/>
      <c r="E30" s="37"/>
      <c r="F30" s="37"/>
    </row>
    <row r="31" customFormat="false" ht="17.25" hidden="false" customHeight="true" outlineLevel="0" collapsed="false">
      <c r="B31" s="37" t="s">
        <v>948</v>
      </c>
      <c r="C31" s="37"/>
      <c r="D31" s="37"/>
      <c r="E31" s="37"/>
      <c r="F31" s="37"/>
    </row>
    <row r="32" customFormat="false" ht="17.25" hidden="false" customHeight="true" outlineLevel="0" collapsed="false">
      <c r="B32" s="35" t="s">
        <v>949</v>
      </c>
      <c r="C32" s="35"/>
      <c r="D32" s="35"/>
      <c r="E32" s="35"/>
      <c r="F32" s="35"/>
    </row>
    <row r="33" customFormat="false" ht="17.25" hidden="false" customHeight="true" outlineLevel="0" collapsed="false">
      <c r="B33" s="37" t="s">
        <v>950</v>
      </c>
      <c r="C33" s="37"/>
      <c r="D33" s="37"/>
      <c r="E33" s="37"/>
      <c r="F33" s="37"/>
    </row>
    <row r="34" customFormat="false" ht="17.25" hidden="false" customHeight="true" outlineLevel="0" collapsed="false">
      <c r="B34" s="37" t="s">
        <v>951</v>
      </c>
      <c r="C34" s="37"/>
      <c r="D34" s="37"/>
      <c r="E34" s="37"/>
      <c r="F34" s="37"/>
    </row>
    <row r="35" customFormat="false" ht="15" hidden="false" customHeight="true" outlineLevel="0" collapsed="false">
      <c r="B35" s="38" t="s">
        <v>952</v>
      </c>
    </row>
    <row r="36" customFormat="false" ht="17.25" hidden="false" customHeight="true" outlineLevel="0" collapsed="false">
      <c r="B36" s="35" t="s">
        <v>953</v>
      </c>
      <c r="C36" s="35"/>
      <c r="D36" s="35"/>
      <c r="E36" s="35"/>
      <c r="F36" s="35"/>
    </row>
    <row r="37" customFormat="false" ht="17.25" hidden="false" customHeight="true" outlineLevel="0" collapsed="false">
      <c r="B37" s="35" t="s">
        <v>954</v>
      </c>
      <c r="C37" s="35"/>
      <c r="D37" s="35"/>
      <c r="E37" s="35"/>
      <c r="F37" s="35"/>
    </row>
    <row r="38" customFormat="false" ht="17.25" hidden="false" customHeight="true" outlineLevel="0" collapsed="false">
      <c r="B38" s="35" t="s">
        <v>955</v>
      </c>
      <c r="C38" s="35"/>
      <c r="D38" s="35"/>
      <c r="E38" s="35"/>
      <c r="F38" s="35"/>
    </row>
    <row r="39" customFormat="false" ht="15" hidden="false" customHeight="true" outlineLevel="0" collapsed="false">
      <c r="B39" s="38" t="s">
        <v>956</v>
      </c>
    </row>
    <row r="40" customFormat="false" ht="17.25" hidden="false" customHeight="true" outlineLevel="0" collapsed="false">
      <c r="B40" s="35" t="s">
        <v>957</v>
      </c>
      <c r="C40" s="35"/>
      <c r="D40" s="35"/>
      <c r="E40" s="35"/>
      <c r="F40" s="35"/>
    </row>
    <row r="41" customFormat="false" ht="17.25" hidden="false" customHeight="true" outlineLevel="0" collapsed="false">
      <c r="B41" s="35" t="s">
        <v>958</v>
      </c>
      <c r="C41" s="35"/>
      <c r="D41" s="35"/>
      <c r="E41" s="35"/>
      <c r="F41" s="35"/>
    </row>
    <row r="43" customFormat="false" ht="15.75" hidden="false" customHeight="true" outlineLevel="0" collapsed="false">
      <c r="B43" s="7" t="s">
        <v>959</v>
      </c>
      <c r="C43" s="8"/>
      <c r="D43" s="8"/>
      <c r="E43" s="8"/>
      <c r="F43" s="8"/>
    </row>
    <row r="45" customFormat="false" ht="16.5" hidden="false" customHeight="true" outlineLevel="0" collapsed="false">
      <c r="B45" s="11" t="s">
        <v>960</v>
      </c>
      <c r="C45" s="11" t="s">
        <v>961</v>
      </c>
      <c r="D45" s="11" t="s">
        <v>962</v>
      </c>
    </row>
    <row r="46" customFormat="false" ht="30.75" hidden="false" customHeight="true" outlineLevel="0" collapsed="false">
      <c r="B46" s="12" t="s">
        <v>963</v>
      </c>
      <c r="C46" s="22" t="s">
        <v>964</v>
      </c>
      <c r="D46" s="12" t="s">
        <v>965</v>
      </c>
    </row>
    <row r="47" customFormat="false" ht="16.5" hidden="false" customHeight="true" outlineLevel="0" collapsed="false">
      <c r="B47" s="12" t="s">
        <v>966</v>
      </c>
      <c r="C47" s="22" t="s">
        <v>967</v>
      </c>
      <c r="D47" s="12" t="s">
        <v>968</v>
      </c>
    </row>
    <row r="48" customFormat="false" ht="30.75" hidden="false" customHeight="true" outlineLevel="0" collapsed="false">
      <c r="B48" s="12" t="s">
        <v>969</v>
      </c>
      <c r="C48" s="22" t="s">
        <v>970</v>
      </c>
      <c r="D48" s="12" t="s">
        <v>971</v>
      </c>
    </row>
    <row r="49" customFormat="false" ht="30.75" hidden="false" customHeight="true" outlineLevel="0" collapsed="false">
      <c r="B49" s="12" t="s">
        <v>972</v>
      </c>
      <c r="C49" s="22" t="s">
        <v>973</v>
      </c>
      <c r="D49" s="12" t="s">
        <v>974</v>
      </c>
    </row>
  </sheetData>
  <mergeCells count="21">
    <mergeCell ref="B2:J2"/>
    <mergeCell ref="D3:F3"/>
    <mergeCell ref="B7:F7"/>
    <mergeCell ref="B8:F8"/>
    <mergeCell ref="B22:F22"/>
    <mergeCell ref="B23:F23"/>
    <mergeCell ref="B24:F24"/>
    <mergeCell ref="B25:F25"/>
    <mergeCell ref="B26:F26"/>
    <mergeCell ref="B28:F28"/>
    <mergeCell ref="B29:F29"/>
    <mergeCell ref="B30:F30"/>
    <mergeCell ref="B31:F31"/>
    <mergeCell ref="B32:F32"/>
    <mergeCell ref="B33:F33"/>
    <mergeCell ref="B34:F34"/>
    <mergeCell ref="B36:F36"/>
    <mergeCell ref="B37:F37"/>
    <mergeCell ref="B38:F38"/>
    <mergeCell ref="B40:F40"/>
    <mergeCell ref="B41:F41"/>
  </mergeCells>
  <hyperlinks>
    <hyperlink ref="B3" location="'N-03 Index DMAIC'!A1" display="← Back to Index"/>
    <hyperlink ref="C11" location="'E-23 1-Sample t-Test'!A1" display="1-Sample t-Test"/>
    <hyperlink ref="D11" location="'E-24 2-Sample t-Test'!A1" display="2-Sample t-Test (Welch)&#10;Paired t if same units"/>
    <hyperlink ref="E11" location="'E-26 One-Way ANOVA'!A1" display="One-Way ANOVA + Tukey"/>
    <hyperlink ref="F11" location="'E-36 Simple Regression'!A1" display="Correlation then Regression"/>
    <hyperlink ref="C12" location="'E-31 Nonparametric Tests'!A1" display="NP: Wilcoxon signed rank"/>
    <hyperlink ref="D12" location="'E-31 Nonparametric Tests'!A1" display="NP: Mann-Whitney"/>
    <hyperlink ref="E12" location="'E-31 Nonparametric Tests'!A1" display="NP: Kruskal-Wallis"/>
    <hyperlink ref="F12" location="'E-34 Correlation'!A1" display="NP: Spearman rho"/>
    <hyperlink ref="C13" location="'E-29 Proportion Tests'!A1" display="1-Proportion Test"/>
    <hyperlink ref="D13" location="'E-29 Proportion Tests'!A1" display="2-Proportion Test"/>
    <hyperlink ref="E13" location="'E-30 Chi-Square Tests'!A1" display="Chi-Square test of independence"/>
    <hyperlink ref="F13" location="'E-39 Logistic Regression'!A1" display="Binary Logistic Regression"/>
    <hyperlink ref="C14" location="'E-10 Binomial Distribution'!A1" display="Exact binomial"/>
    <hyperlink ref="D14" location="'E-30 Chi-Square Tests'!A1" display="Fisher exact if counts are small"/>
    <hyperlink ref="E14" location="'E-30 Chi-Square Tests'!A1" display="Fisher exact"/>
    <hyperlink ref="F14" location="'H-09 Stratification'!A1" display="Stratify and use Chi-Square"/>
    <hyperlink ref="C15" location="'E-11 Poisson Distribution'!A1" display="1-Sample Poisson rate test"/>
    <hyperlink ref="D15" location="'E-11 Poisson Distribution'!A1" display="2-Sample Poisson rate test"/>
    <hyperlink ref="E15" location="'E-30 Chi-Square Tests'!A1" display="Chi-Square on a count table"/>
    <hyperlink ref="F15" location="'E-38 Multiple Regression'!A1" display="Regression on the rate (log link approx.)"/>
    <hyperlink ref="C16" location="'E-53 c and u Charts'!A1" display="u-chart against a standard rate"/>
    <hyperlink ref="D16" location="'E-30 Chi-Square Tests'!A1" display="Chi-Square on counts"/>
    <hyperlink ref="E16" location="'E-53 c and u Charts'!A1" display="Compare u-charts by group"/>
    <hyperlink ref="F16" location="'E-30 Chi-Square Tests'!A1" display="Bin X and use Chi-Square"/>
    <hyperlink ref="C17" location="'E-31 Nonparametric Tests'!A1" display="Sign test / Wilcoxon signed rank"/>
    <hyperlink ref="D17" location="'E-31 Nonparametric Tests'!A1" display="Mann-Whitney"/>
    <hyperlink ref="E17" location="'E-31 Nonparametric Tests'!A1" display="Kruskal-Wallis"/>
    <hyperlink ref="F17" location="'E-34 Correlation'!A1" display="Spearman rank correlation"/>
    <hyperlink ref="C18" location="'E-23 1-Sample t-Test'!A1" display="Treat as continuous with caution"/>
    <hyperlink ref="D18" location="'E-30 Chi-Square Tests'!A1" display="Chi-Square on collapsed categories"/>
    <hyperlink ref="E18" location="'E-30 Chi-Square Tests'!A1" display="Chi-Square on collapsed categories"/>
    <hyperlink ref="F18" location="'E-39 Logistic Regression'!A1" display="Ordinal logistic (out of scope)"/>
    <hyperlink ref="C46" location="'E-32 Normality Testing'!A1" display="E-32  Normality Testing and Probability Plots"/>
    <hyperlink ref="C47" location="'E-28 Variance Tests'!A1" display="E-28  Tests for Variance: F, Levene, Bartlett"/>
    <hyperlink ref="C48" location="'E-33 When Assumptions Fail'!A1" display="E-33  When Assumptions Fail: Transformations and Alternatives"/>
    <hyperlink ref="C49" location="'E-20 Sample Size'!A1" display="E-20  Sample Size Determin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234"/>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4" topLeftCell="A5" activePane="bottomLeft" state="frozen"/>
      <selection pane="topLeft" activeCell="A1" activeCellId="0" sqref="A1"/>
      <selection pane="bottomLeft" activeCell="C83" activeCellId="0" sqref="C83"/>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8"/>
    <col collapsed="false" customWidth="true" hidden="false" outlineLevel="0" max="3" min="3" style="1" width="40"/>
    <col collapsed="false" customWidth="true" hidden="false" outlineLevel="0" max="4" min="4" style="1" width="62"/>
    <col collapsed="false" customWidth="true" hidden="false" outlineLevel="0" max="5" min="5" style="1" width="16"/>
    <col collapsed="false" customWidth="true" hidden="false" outlineLevel="0" max="10" min="6" style="1" width="14"/>
    <col collapsed="false" customWidth="true" hidden="false" outlineLevel="0" max="11" min="11" style="1" width="20"/>
  </cols>
  <sheetData>
    <row r="1" customFormat="false" ht="15" hidden="false" customHeight="true" outlineLevel="0" collapsed="false">
      <c r="A1" s="2" t="s">
        <v>0</v>
      </c>
    </row>
    <row r="2" customFormat="false" ht="22.5" hidden="false" customHeight="true" outlineLevel="0" collapsed="false">
      <c r="B2" s="3" t="s">
        <v>975</v>
      </c>
      <c r="C2" s="3"/>
      <c r="D2" s="3"/>
      <c r="E2" s="3"/>
      <c r="F2" s="3"/>
      <c r="G2" s="3"/>
      <c r="H2" s="3"/>
      <c r="I2" s="3"/>
      <c r="J2" s="3"/>
      <c r="K2" s="4" t="s">
        <v>2</v>
      </c>
    </row>
    <row r="3" customFormat="false" ht="28.5" hidden="false" customHeight="true" outlineLevel="0" collapsed="false">
      <c r="B3" s="24" t="s">
        <v>3</v>
      </c>
      <c r="C3" s="24"/>
      <c r="D3" s="6" t="s">
        <v>976</v>
      </c>
      <c r="E3" s="6"/>
    </row>
    <row r="5" customFormat="false" ht="17.25" hidden="false" customHeight="true" outlineLevel="0" collapsed="false">
      <c r="B5" s="34" t="s">
        <v>977</v>
      </c>
      <c r="C5" s="34"/>
      <c r="D5" s="34"/>
      <c r="E5" s="34"/>
      <c r="F5" s="34"/>
    </row>
    <row r="6" customFormat="false" ht="17.25" hidden="false" customHeight="true" outlineLevel="0" collapsed="false">
      <c r="B6" s="9" t="s">
        <v>978</v>
      </c>
      <c r="C6" s="9"/>
      <c r="D6" s="9"/>
      <c r="E6" s="9"/>
      <c r="F6" s="9"/>
    </row>
    <row r="8" customFormat="false" ht="17.25" hidden="false" customHeight="true" outlineLevel="0" collapsed="false">
      <c r="B8" s="11" t="s">
        <v>979</v>
      </c>
      <c r="C8" s="11" t="s">
        <v>980</v>
      </c>
      <c r="D8" s="11" t="s">
        <v>981</v>
      </c>
      <c r="E8" s="11" t="s">
        <v>982</v>
      </c>
      <c r="F8" s="11"/>
    </row>
    <row r="9" customFormat="false" ht="30.75" hidden="false" customHeight="true" outlineLevel="0" collapsed="false">
      <c r="B9" s="27" t="n">
        <v>1</v>
      </c>
      <c r="C9" s="12" t="s">
        <v>983</v>
      </c>
      <c r="D9" s="12" t="s">
        <v>984</v>
      </c>
      <c r="E9" s="39" t="s">
        <v>985</v>
      </c>
      <c r="F9" s="39"/>
    </row>
    <row r="10" customFormat="false" ht="30.75" hidden="false" customHeight="true" outlineLevel="0" collapsed="false">
      <c r="B10" s="27" t="n">
        <v>2</v>
      </c>
      <c r="C10" s="12" t="s">
        <v>986</v>
      </c>
      <c r="D10" s="12" t="s">
        <v>987</v>
      </c>
      <c r="E10" s="39" t="s">
        <v>988</v>
      </c>
      <c r="F10" s="39"/>
    </row>
    <row r="11" customFormat="false" ht="17.25" hidden="false" customHeight="true" outlineLevel="0" collapsed="false">
      <c r="B11" s="27" t="n">
        <v>3</v>
      </c>
      <c r="C11" s="12" t="s">
        <v>989</v>
      </c>
      <c r="D11" s="12" t="s">
        <v>990</v>
      </c>
      <c r="E11" s="39" t="s">
        <v>985</v>
      </c>
      <c r="F11" s="39"/>
    </row>
    <row r="12" customFormat="false" ht="30.75" hidden="false" customHeight="true" outlineLevel="0" collapsed="false">
      <c r="B12" s="27" t="n">
        <v>4</v>
      </c>
      <c r="C12" s="12" t="s">
        <v>991</v>
      </c>
      <c r="D12" s="12" t="s">
        <v>992</v>
      </c>
      <c r="E12" s="39" t="s">
        <v>993</v>
      </c>
      <c r="F12" s="39"/>
    </row>
    <row r="13" customFormat="false" ht="30.75" hidden="false" customHeight="true" outlineLevel="0" collapsed="false">
      <c r="B13" s="27" t="n">
        <v>5</v>
      </c>
      <c r="C13" s="12" t="s">
        <v>994</v>
      </c>
      <c r="D13" s="12" t="s">
        <v>995</v>
      </c>
      <c r="E13" s="39" t="s">
        <v>996</v>
      </c>
      <c r="F13" s="39"/>
    </row>
    <row r="14" customFormat="false" ht="30.75" hidden="false" customHeight="true" outlineLevel="0" collapsed="false">
      <c r="B14" s="27" t="n">
        <v>6</v>
      </c>
      <c r="C14" s="12" t="s">
        <v>997</v>
      </c>
      <c r="D14" s="12" t="s">
        <v>998</v>
      </c>
      <c r="E14" s="39" t="s">
        <v>993</v>
      </c>
      <c r="F14" s="39"/>
    </row>
    <row r="15" customFormat="false" ht="17.25" hidden="false" customHeight="true" outlineLevel="0" collapsed="false">
      <c r="B15" s="27" t="n">
        <v>7</v>
      </c>
      <c r="C15" s="12" t="s">
        <v>999</v>
      </c>
      <c r="D15" s="12" t="s">
        <v>1000</v>
      </c>
      <c r="E15" s="39" t="s">
        <v>993</v>
      </c>
      <c r="F15" s="39"/>
    </row>
    <row r="16" customFormat="false" ht="31.5" hidden="false" customHeight="true" outlineLevel="0" collapsed="false">
      <c r="B16" s="27" t="n">
        <v>8</v>
      </c>
      <c r="C16" s="12" t="s">
        <v>1001</v>
      </c>
      <c r="D16" s="12" t="s">
        <v>1002</v>
      </c>
      <c r="E16" s="39" t="s">
        <v>1003</v>
      </c>
      <c r="F16" s="39"/>
    </row>
    <row r="17" customFormat="false" ht="30.75" hidden="false" customHeight="true" outlineLevel="0" collapsed="false">
      <c r="B17" s="27" t="n">
        <v>9</v>
      </c>
      <c r="C17" s="12" t="s">
        <v>1004</v>
      </c>
      <c r="D17" s="12" t="s">
        <v>1005</v>
      </c>
      <c r="E17" s="39" t="s">
        <v>1006</v>
      </c>
      <c r="F17" s="39"/>
    </row>
    <row r="18" customFormat="false" ht="30.75" hidden="false" customHeight="true" outlineLevel="0" collapsed="false">
      <c r="B18" s="27" t="n">
        <v>10</v>
      </c>
      <c r="C18" s="12" t="s">
        <v>1007</v>
      </c>
      <c r="D18" s="12" t="s">
        <v>1008</v>
      </c>
      <c r="E18" s="39" t="s">
        <v>1009</v>
      </c>
      <c r="F18" s="39"/>
    </row>
    <row r="19" customFormat="false" ht="31.5" hidden="false" customHeight="true" outlineLevel="0" collapsed="false">
      <c r="B19" s="27" t="n">
        <v>11</v>
      </c>
      <c r="C19" s="12" t="s">
        <v>1010</v>
      </c>
      <c r="D19" s="12" t="s">
        <v>1011</v>
      </c>
      <c r="E19" s="39" t="s">
        <v>1012</v>
      </c>
      <c r="F19" s="39"/>
    </row>
    <row r="20" customFormat="false" ht="30.75" hidden="false" customHeight="true" outlineLevel="0" collapsed="false">
      <c r="B20" s="27" t="n">
        <v>12</v>
      </c>
      <c r="C20" s="12" t="s">
        <v>1013</v>
      </c>
      <c r="D20" s="12" t="s">
        <v>1014</v>
      </c>
      <c r="E20" s="39" t="s">
        <v>1015</v>
      </c>
      <c r="F20" s="39"/>
    </row>
    <row r="23" customFormat="false" ht="15.75" hidden="false" customHeight="true" outlineLevel="0" collapsed="false">
      <c r="B23" s="7" t="s">
        <v>1016</v>
      </c>
      <c r="C23" s="8"/>
      <c r="D23" s="8"/>
      <c r="E23" s="8"/>
    </row>
    <row r="24" customFormat="false" ht="17.25" hidden="false" customHeight="true" outlineLevel="0" collapsed="false">
      <c r="B24" s="23" t="s">
        <v>1017</v>
      </c>
      <c r="C24" s="23"/>
      <c r="D24" s="23"/>
      <c r="E24" s="23"/>
      <c r="F24" s="23"/>
    </row>
    <row r="25" customFormat="false" ht="17.25" hidden="false" customHeight="true" outlineLevel="0" collapsed="false">
      <c r="B25" s="23" t="s">
        <v>1018</v>
      </c>
      <c r="C25" s="23"/>
      <c r="D25" s="23"/>
      <c r="E25" s="23"/>
      <c r="F25" s="23"/>
    </row>
    <row r="26" customFormat="false" ht="17.25" hidden="false" customHeight="true" outlineLevel="0" collapsed="false">
      <c r="B26" s="23" t="s">
        <v>1019</v>
      </c>
      <c r="C26" s="23"/>
      <c r="D26" s="23"/>
      <c r="E26" s="23"/>
      <c r="F26" s="23"/>
    </row>
    <row r="28" customFormat="false" ht="16.5" hidden="false" customHeight="true" outlineLevel="0" collapsed="false">
      <c r="B28" s="11" t="s">
        <v>1020</v>
      </c>
      <c r="C28" s="11" t="s">
        <v>1021</v>
      </c>
      <c r="D28" s="11" t="s">
        <v>1022</v>
      </c>
      <c r="E28" s="11" t="s">
        <v>165</v>
      </c>
    </row>
    <row r="29" customFormat="false" ht="16.5" hidden="false" customHeight="true" outlineLevel="0" collapsed="false">
      <c r="B29" s="27" t="n">
        <v>1</v>
      </c>
      <c r="C29" s="22" t="s">
        <v>1023</v>
      </c>
      <c r="D29" s="12" t="s">
        <v>1024</v>
      </c>
      <c r="E29" s="27" t="s">
        <v>175</v>
      </c>
    </row>
    <row r="30" customFormat="false" ht="30.75" hidden="false" customHeight="true" outlineLevel="0" collapsed="false">
      <c r="B30" s="27" t="n">
        <v>2</v>
      </c>
      <c r="C30" s="22" t="s">
        <v>1025</v>
      </c>
      <c r="D30" s="12" t="s">
        <v>1026</v>
      </c>
      <c r="E30" s="27" t="s">
        <v>224</v>
      </c>
    </row>
    <row r="31" customFormat="false" ht="16.5" hidden="false" customHeight="true" outlineLevel="0" collapsed="false">
      <c r="B31" s="27" t="n">
        <v>3</v>
      </c>
      <c r="C31" s="22" t="s">
        <v>1027</v>
      </c>
      <c r="D31" s="12" t="s">
        <v>1028</v>
      </c>
      <c r="E31" s="27" t="s">
        <v>224</v>
      </c>
    </row>
    <row r="32" customFormat="false" ht="16.5" hidden="false" customHeight="true" outlineLevel="0" collapsed="false">
      <c r="B32" s="27" t="n">
        <v>4</v>
      </c>
      <c r="C32" s="22" t="s">
        <v>1029</v>
      </c>
      <c r="D32" s="12" t="s">
        <v>1030</v>
      </c>
      <c r="E32" s="27" t="s">
        <v>224</v>
      </c>
    </row>
    <row r="33" customFormat="false" ht="16.5" hidden="false" customHeight="true" outlineLevel="0" collapsed="false">
      <c r="B33" s="27" t="n">
        <v>5</v>
      </c>
      <c r="C33" s="22" t="s">
        <v>1031</v>
      </c>
      <c r="D33" s="12" t="s">
        <v>1032</v>
      </c>
      <c r="E33" s="27" t="s">
        <v>640</v>
      </c>
    </row>
    <row r="34" customFormat="false" ht="16.5" hidden="false" customHeight="true" outlineLevel="0" collapsed="false">
      <c r="B34" s="27" t="n">
        <v>6</v>
      </c>
      <c r="C34" s="22" t="s">
        <v>1033</v>
      </c>
      <c r="D34" s="12" t="s">
        <v>1034</v>
      </c>
      <c r="E34" s="27" t="s">
        <v>224</v>
      </c>
    </row>
    <row r="35" customFormat="false" ht="16.5" hidden="false" customHeight="true" outlineLevel="0" collapsed="false">
      <c r="B35" s="27" t="n">
        <v>7</v>
      </c>
      <c r="C35" s="22" t="s">
        <v>1035</v>
      </c>
      <c r="D35" s="12" t="s">
        <v>1036</v>
      </c>
      <c r="E35" s="27" t="s">
        <v>378</v>
      </c>
    </row>
    <row r="36" customFormat="false" ht="30.75" hidden="false" customHeight="true" outlineLevel="0" collapsed="false">
      <c r="B36" s="27" t="n">
        <v>8</v>
      </c>
      <c r="C36" s="22" t="s">
        <v>1037</v>
      </c>
      <c r="D36" s="12" t="s">
        <v>1038</v>
      </c>
      <c r="E36" s="27" t="s">
        <v>378</v>
      </c>
    </row>
    <row r="37" customFormat="false" ht="16.5" hidden="false" customHeight="true" outlineLevel="0" collapsed="false">
      <c r="B37" s="27" t="n">
        <v>9</v>
      </c>
      <c r="C37" s="22" t="s">
        <v>1039</v>
      </c>
      <c r="D37" s="12" t="s">
        <v>1040</v>
      </c>
      <c r="E37" s="27" t="s">
        <v>538</v>
      </c>
    </row>
    <row r="38" customFormat="false" ht="16.5" hidden="false" customHeight="true" outlineLevel="0" collapsed="false">
      <c r="B38" s="27" t="n">
        <v>10</v>
      </c>
      <c r="C38" s="22" t="s">
        <v>1041</v>
      </c>
      <c r="D38" s="12" t="s">
        <v>1042</v>
      </c>
      <c r="E38" s="27" t="s">
        <v>640</v>
      </c>
    </row>
    <row r="39" customFormat="false" ht="15" hidden="false" customHeight="true" outlineLevel="0" collapsed="false">
      <c r="C39" s="40" t="s">
        <v>1043</v>
      </c>
    </row>
    <row r="41" customFormat="false" ht="15.75" hidden="false" customHeight="true" outlineLevel="0" collapsed="false">
      <c r="B41" s="7" t="s">
        <v>1044</v>
      </c>
      <c r="C41" s="8"/>
      <c r="D41" s="8"/>
      <c r="E41" s="8"/>
    </row>
    <row r="42" customFormat="false" ht="17.25" hidden="false" customHeight="true" outlineLevel="0" collapsed="false">
      <c r="B42" s="23" t="s">
        <v>1045</v>
      </c>
      <c r="C42" s="23"/>
      <c r="D42" s="23"/>
      <c r="E42" s="23"/>
      <c r="F42" s="23"/>
    </row>
    <row r="43" customFormat="false" ht="17.25" hidden="false" customHeight="true" outlineLevel="0" collapsed="false">
      <c r="B43" s="23" t="s">
        <v>1046</v>
      </c>
      <c r="C43" s="23"/>
      <c r="D43" s="23"/>
      <c r="E43" s="23"/>
      <c r="F43" s="23"/>
    </row>
    <row r="44" customFormat="false" ht="17.25" hidden="false" customHeight="true" outlineLevel="0" collapsed="false">
      <c r="B44" s="23" t="s">
        <v>1047</v>
      </c>
      <c r="C44" s="23"/>
      <c r="D44" s="23"/>
      <c r="E44" s="23"/>
      <c r="F44" s="23"/>
    </row>
    <row r="46" customFormat="false" ht="16.5" hidden="false" customHeight="true" outlineLevel="0" collapsed="false">
      <c r="B46" s="11" t="s">
        <v>1020</v>
      </c>
      <c r="C46" s="11" t="s">
        <v>1021</v>
      </c>
      <c r="D46" s="11" t="s">
        <v>1022</v>
      </c>
      <c r="E46" s="11" t="s">
        <v>165</v>
      </c>
    </row>
    <row r="47" customFormat="false" ht="16.5" hidden="false" customHeight="true" outlineLevel="0" collapsed="false">
      <c r="B47" s="27" t="n">
        <v>1</v>
      </c>
      <c r="C47" s="22" t="s">
        <v>1025</v>
      </c>
      <c r="D47" s="12" t="s">
        <v>1048</v>
      </c>
      <c r="E47" s="27" t="s">
        <v>224</v>
      </c>
    </row>
    <row r="48" customFormat="false" ht="16.5" hidden="false" customHeight="true" outlineLevel="0" collapsed="false">
      <c r="B48" s="27" t="n">
        <v>2</v>
      </c>
      <c r="C48" s="22" t="s">
        <v>1027</v>
      </c>
      <c r="D48" s="12" t="s">
        <v>1049</v>
      </c>
      <c r="E48" s="27" t="s">
        <v>224</v>
      </c>
    </row>
    <row r="49" customFormat="false" ht="16.5" hidden="false" customHeight="true" outlineLevel="0" collapsed="false">
      <c r="B49" s="27" t="n">
        <v>3</v>
      </c>
      <c r="C49" s="22" t="s">
        <v>1029</v>
      </c>
      <c r="D49" s="12" t="s">
        <v>1050</v>
      </c>
      <c r="E49" s="27" t="s">
        <v>224</v>
      </c>
    </row>
    <row r="50" customFormat="false" ht="16.5" hidden="false" customHeight="true" outlineLevel="0" collapsed="false">
      <c r="B50" s="27" t="n">
        <v>4</v>
      </c>
      <c r="C50" s="22" t="s">
        <v>1051</v>
      </c>
      <c r="D50" s="12" t="s">
        <v>1052</v>
      </c>
      <c r="E50" s="27" t="s">
        <v>224</v>
      </c>
    </row>
    <row r="51" customFormat="false" ht="16.5" hidden="false" customHeight="true" outlineLevel="0" collapsed="false">
      <c r="B51" s="27" t="n">
        <v>5</v>
      </c>
      <c r="C51" s="22" t="s">
        <v>1053</v>
      </c>
      <c r="D51" s="12" t="s">
        <v>1054</v>
      </c>
      <c r="E51" s="27" t="s">
        <v>378</v>
      </c>
    </row>
    <row r="52" customFormat="false" ht="16.5" hidden="false" customHeight="true" outlineLevel="0" collapsed="false">
      <c r="B52" s="27" t="n">
        <v>6</v>
      </c>
      <c r="C52" s="22" t="s">
        <v>1033</v>
      </c>
      <c r="D52" s="12" t="s">
        <v>1055</v>
      </c>
      <c r="E52" s="27" t="s">
        <v>224</v>
      </c>
    </row>
    <row r="53" customFormat="false" ht="16.5" hidden="false" customHeight="true" outlineLevel="0" collapsed="false">
      <c r="B53" s="27" t="n">
        <v>7</v>
      </c>
      <c r="C53" s="22" t="s">
        <v>1056</v>
      </c>
      <c r="D53" s="12" t="s">
        <v>1057</v>
      </c>
      <c r="E53" s="27" t="s">
        <v>175</v>
      </c>
    </row>
    <row r="54" customFormat="false" ht="16.5" hidden="false" customHeight="true" outlineLevel="0" collapsed="false">
      <c r="B54" s="27" t="n">
        <v>8</v>
      </c>
      <c r="C54" s="22" t="s">
        <v>1058</v>
      </c>
      <c r="D54" s="12" t="s">
        <v>1059</v>
      </c>
      <c r="E54" s="27" t="s">
        <v>640</v>
      </c>
    </row>
    <row r="55" customFormat="false" ht="16.5" hidden="false" customHeight="true" outlineLevel="0" collapsed="false">
      <c r="B55" s="27" t="n">
        <v>9</v>
      </c>
      <c r="C55" s="22" t="s">
        <v>1060</v>
      </c>
      <c r="D55" s="12" t="s">
        <v>1061</v>
      </c>
      <c r="E55" s="27" t="s">
        <v>640</v>
      </c>
    </row>
    <row r="56" customFormat="false" ht="16.5" hidden="false" customHeight="true" outlineLevel="0" collapsed="false">
      <c r="B56" s="27" t="n">
        <v>10</v>
      </c>
      <c r="C56" s="22" t="s">
        <v>1041</v>
      </c>
      <c r="D56" s="12" t="s">
        <v>1062</v>
      </c>
      <c r="E56" s="27" t="s">
        <v>640</v>
      </c>
    </row>
    <row r="57" customFormat="false" ht="15" hidden="false" customHeight="true" outlineLevel="0" collapsed="false">
      <c r="C57" s="40" t="s">
        <v>1043</v>
      </c>
    </row>
    <row r="59" customFormat="false" ht="15.75" hidden="false" customHeight="true" outlineLevel="0" collapsed="false">
      <c r="B59" s="7" t="s">
        <v>1063</v>
      </c>
      <c r="C59" s="8"/>
      <c r="D59" s="8"/>
      <c r="E59" s="8"/>
    </row>
    <row r="60" customFormat="false" ht="17.25" hidden="false" customHeight="true" outlineLevel="0" collapsed="false">
      <c r="B60" s="23" t="s">
        <v>1064</v>
      </c>
      <c r="C60" s="23"/>
      <c r="D60" s="23"/>
      <c r="E60" s="23"/>
      <c r="F60" s="23"/>
    </row>
    <row r="61" customFormat="false" ht="17.25" hidden="false" customHeight="true" outlineLevel="0" collapsed="false">
      <c r="B61" s="23" t="s">
        <v>1065</v>
      </c>
      <c r="C61" s="23"/>
      <c r="D61" s="23"/>
      <c r="E61" s="23"/>
      <c r="F61" s="23"/>
    </row>
    <row r="62" customFormat="false" ht="17.25" hidden="false" customHeight="true" outlineLevel="0" collapsed="false">
      <c r="B62" s="23" t="s">
        <v>1019</v>
      </c>
      <c r="C62" s="23"/>
      <c r="D62" s="23"/>
      <c r="E62" s="23"/>
      <c r="F62" s="23"/>
    </row>
    <row r="64" customFormat="false" ht="16.5" hidden="false" customHeight="true" outlineLevel="0" collapsed="false">
      <c r="B64" s="11" t="s">
        <v>1020</v>
      </c>
      <c r="C64" s="11" t="s">
        <v>1021</v>
      </c>
      <c r="D64" s="11" t="s">
        <v>1022</v>
      </c>
      <c r="E64" s="11" t="s">
        <v>165</v>
      </c>
    </row>
    <row r="65" customFormat="false" ht="16.5" hidden="false" customHeight="true" outlineLevel="0" collapsed="false">
      <c r="B65" s="27" t="n">
        <v>1</v>
      </c>
      <c r="C65" s="22" t="s">
        <v>1066</v>
      </c>
      <c r="D65" s="12" t="s">
        <v>1067</v>
      </c>
      <c r="E65" s="27" t="s">
        <v>224</v>
      </c>
    </row>
    <row r="66" customFormat="false" ht="16.5" hidden="false" customHeight="true" outlineLevel="0" collapsed="false">
      <c r="B66" s="27" t="n">
        <v>2</v>
      </c>
      <c r="C66" s="22" t="s">
        <v>1068</v>
      </c>
      <c r="D66" s="12" t="s">
        <v>1069</v>
      </c>
      <c r="E66" s="27" t="s">
        <v>224</v>
      </c>
    </row>
    <row r="67" customFormat="false" ht="16.5" hidden="false" customHeight="true" outlineLevel="0" collapsed="false">
      <c r="B67" s="27" t="n">
        <v>3</v>
      </c>
      <c r="C67" s="22" t="s">
        <v>1070</v>
      </c>
      <c r="D67" s="12" t="s">
        <v>1071</v>
      </c>
      <c r="E67" s="27" t="s">
        <v>378</v>
      </c>
    </row>
    <row r="68" customFormat="false" ht="16.5" hidden="false" customHeight="true" outlineLevel="0" collapsed="false">
      <c r="B68" s="27" t="n">
        <v>4</v>
      </c>
      <c r="C68" s="22" t="s">
        <v>1072</v>
      </c>
      <c r="D68" s="12" t="s">
        <v>1073</v>
      </c>
      <c r="E68" s="27" t="s">
        <v>640</v>
      </c>
    </row>
    <row r="69" customFormat="false" ht="16.5" hidden="false" customHeight="true" outlineLevel="0" collapsed="false">
      <c r="B69" s="27" t="n">
        <v>5</v>
      </c>
      <c r="C69" s="22" t="s">
        <v>1074</v>
      </c>
      <c r="D69" s="12" t="s">
        <v>1075</v>
      </c>
      <c r="E69" s="27" t="s">
        <v>378</v>
      </c>
    </row>
    <row r="70" customFormat="false" ht="16.5" hidden="false" customHeight="true" outlineLevel="0" collapsed="false">
      <c r="B70" s="27" t="n">
        <v>6</v>
      </c>
      <c r="C70" s="22" t="s">
        <v>1076</v>
      </c>
      <c r="D70" s="12" t="s">
        <v>1077</v>
      </c>
      <c r="E70" s="27" t="s">
        <v>378</v>
      </c>
    </row>
    <row r="71" customFormat="false" ht="16.5" hidden="false" customHeight="true" outlineLevel="0" collapsed="false">
      <c r="B71" s="27" t="n">
        <v>7</v>
      </c>
      <c r="C71" s="22" t="s">
        <v>1078</v>
      </c>
      <c r="D71" s="12" t="s">
        <v>1079</v>
      </c>
      <c r="E71" s="27" t="s">
        <v>378</v>
      </c>
    </row>
    <row r="72" customFormat="false" ht="16.5" hidden="false" customHeight="true" outlineLevel="0" collapsed="false">
      <c r="B72" s="27" t="n">
        <v>8</v>
      </c>
      <c r="C72" s="22" t="s">
        <v>1080</v>
      </c>
      <c r="D72" s="12" t="s">
        <v>1081</v>
      </c>
      <c r="E72" s="27" t="s">
        <v>378</v>
      </c>
    </row>
    <row r="73" customFormat="false" ht="16.5" hidden="false" customHeight="true" outlineLevel="0" collapsed="false">
      <c r="B73" s="27" t="n">
        <v>9</v>
      </c>
      <c r="C73" s="22" t="s">
        <v>1082</v>
      </c>
      <c r="D73" s="12" t="s">
        <v>1083</v>
      </c>
      <c r="E73" s="27" t="s">
        <v>538</v>
      </c>
    </row>
    <row r="74" customFormat="false" ht="16.5" hidden="false" customHeight="true" outlineLevel="0" collapsed="false">
      <c r="B74" s="27" t="n">
        <v>10</v>
      </c>
      <c r="C74" s="22" t="s">
        <v>1041</v>
      </c>
      <c r="D74" s="12" t="s">
        <v>1084</v>
      </c>
      <c r="E74" s="27" t="s">
        <v>640</v>
      </c>
    </row>
    <row r="75" customFormat="false" ht="15" hidden="false" customHeight="true" outlineLevel="0" collapsed="false">
      <c r="C75" s="40" t="s">
        <v>1043</v>
      </c>
    </row>
    <row r="77" customFormat="false" ht="15.75" hidden="false" customHeight="true" outlineLevel="0" collapsed="false">
      <c r="B77" s="7" t="s">
        <v>1085</v>
      </c>
      <c r="C77" s="8"/>
      <c r="D77" s="8"/>
      <c r="E77" s="8"/>
    </row>
    <row r="78" customFormat="false" ht="17.25" hidden="false" customHeight="true" outlineLevel="0" collapsed="false">
      <c r="B78" s="23" t="s">
        <v>1086</v>
      </c>
      <c r="C78" s="23"/>
      <c r="D78" s="23"/>
      <c r="E78" s="23"/>
      <c r="F78" s="23"/>
    </row>
    <row r="79" customFormat="false" ht="17.25" hidden="false" customHeight="true" outlineLevel="0" collapsed="false">
      <c r="B79" s="23" t="s">
        <v>1087</v>
      </c>
      <c r="C79" s="23"/>
      <c r="D79" s="23"/>
      <c r="E79" s="23"/>
      <c r="F79" s="23"/>
    </row>
    <row r="80" customFormat="false" ht="17.25" hidden="false" customHeight="true" outlineLevel="0" collapsed="false">
      <c r="B80" s="23" t="s">
        <v>1088</v>
      </c>
      <c r="C80" s="23"/>
      <c r="D80" s="23"/>
      <c r="E80" s="23"/>
      <c r="F80" s="23"/>
    </row>
    <row r="82" customFormat="false" ht="16.5" hidden="false" customHeight="true" outlineLevel="0" collapsed="false">
      <c r="B82" s="11" t="s">
        <v>1020</v>
      </c>
      <c r="C82" s="11" t="s">
        <v>1021</v>
      </c>
      <c r="D82" s="11" t="s">
        <v>1022</v>
      </c>
      <c r="E82" s="11" t="s">
        <v>165</v>
      </c>
    </row>
    <row r="83" customFormat="false" ht="16.5" hidden="false" customHeight="true" outlineLevel="0" collapsed="false">
      <c r="B83" s="27" t="n">
        <v>1</v>
      </c>
      <c r="C83" s="22" t="s">
        <v>1089</v>
      </c>
      <c r="D83" s="12" t="s">
        <v>1090</v>
      </c>
      <c r="E83" s="27" t="s">
        <v>224</v>
      </c>
    </row>
    <row r="84" customFormat="false" ht="16.5" hidden="false" customHeight="true" outlineLevel="0" collapsed="false">
      <c r="B84" s="27" t="n">
        <v>2</v>
      </c>
      <c r="C84" s="22" t="s">
        <v>1066</v>
      </c>
      <c r="D84" s="12" t="s">
        <v>1091</v>
      </c>
      <c r="E84" s="27" t="s">
        <v>224</v>
      </c>
    </row>
    <row r="85" customFormat="false" ht="30.75" hidden="false" customHeight="true" outlineLevel="0" collapsed="false">
      <c r="B85" s="27" t="n">
        <v>3</v>
      </c>
      <c r="C85" s="22" t="s">
        <v>1068</v>
      </c>
      <c r="D85" s="12" t="s">
        <v>1092</v>
      </c>
      <c r="E85" s="27" t="s">
        <v>224</v>
      </c>
    </row>
    <row r="86" customFormat="false" ht="16.5" hidden="false" customHeight="true" outlineLevel="0" collapsed="false">
      <c r="B86" s="27" t="n">
        <v>4</v>
      </c>
      <c r="C86" s="22" t="s">
        <v>1093</v>
      </c>
      <c r="D86" s="12" t="s">
        <v>1094</v>
      </c>
      <c r="E86" s="27" t="s">
        <v>224</v>
      </c>
    </row>
    <row r="87" customFormat="false" ht="16.5" hidden="false" customHeight="true" outlineLevel="0" collapsed="false">
      <c r="B87" s="27" t="n">
        <v>5</v>
      </c>
      <c r="C87" s="22" t="s">
        <v>1095</v>
      </c>
      <c r="D87" s="12" t="s">
        <v>1096</v>
      </c>
      <c r="E87" s="27" t="s">
        <v>640</v>
      </c>
    </row>
    <row r="88" customFormat="false" ht="16.5" hidden="false" customHeight="true" outlineLevel="0" collapsed="false">
      <c r="B88" s="27" t="n">
        <v>6</v>
      </c>
      <c r="C88" s="22" t="s">
        <v>1070</v>
      </c>
      <c r="D88" s="12" t="s">
        <v>1097</v>
      </c>
      <c r="E88" s="27" t="s">
        <v>378</v>
      </c>
    </row>
    <row r="89" customFormat="false" ht="16.5" hidden="false" customHeight="true" outlineLevel="0" collapsed="false">
      <c r="B89" s="27" t="n">
        <v>7</v>
      </c>
      <c r="C89" s="22" t="s">
        <v>1098</v>
      </c>
      <c r="D89" s="12" t="s">
        <v>1099</v>
      </c>
      <c r="E89" s="27" t="s">
        <v>378</v>
      </c>
    </row>
    <row r="90" customFormat="false" ht="16.5" hidden="false" customHeight="true" outlineLevel="0" collapsed="false">
      <c r="B90" s="27" t="n">
        <v>8</v>
      </c>
      <c r="C90" s="22" t="s">
        <v>1078</v>
      </c>
      <c r="D90" s="12" t="s">
        <v>1100</v>
      </c>
      <c r="E90" s="27" t="s">
        <v>378</v>
      </c>
    </row>
    <row r="91" customFormat="false" ht="16.5" hidden="false" customHeight="true" outlineLevel="0" collapsed="false">
      <c r="B91" s="27" t="n">
        <v>9</v>
      </c>
      <c r="C91" s="22" t="s">
        <v>1101</v>
      </c>
      <c r="D91" s="12" t="s">
        <v>1102</v>
      </c>
      <c r="E91" s="27" t="s">
        <v>538</v>
      </c>
    </row>
    <row r="92" customFormat="false" ht="16.5" hidden="false" customHeight="true" outlineLevel="0" collapsed="false">
      <c r="B92" s="27" t="n">
        <v>10</v>
      </c>
      <c r="C92" s="22" t="s">
        <v>1103</v>
      </c>
      <c r="D92" s="12" t="s">
        <v>1104</v>
      </c>
      <c r="E92" s="27" t="s">
        <v>640</v>
      </c>
    </row>
    <row r="93" customFormat="false" ht="15" hidden="false" customHeight="true" outlineLevel="0" collapsed="false">
      <c r="C93" s="40" t="s">
        <v>1043</v>
      </c>
    </row>
    <row r="95" customFormat="false" ht="15.75" hidden="false" customHeight="true" outlineLevel="0" collapsed="false">
      <c r="B95" s="7" t="s">
        <v>1105</v>
      </c>
      <c r="C95" s="8"/>
      <c r="D95" s="8"/>
      <c r="E95" s="8"/>
    </row>
    <row r="96" customFormat="false" ht="17.25" hidden="false" customHeight="true" outlineLevel="0" collapsed="false">
      <c r="B96" s="23" t="s">
        <v>1106</v>
      </c>
      <c r="C96" s="23"/>
      <c r="D96" s="23"/>
      <c r="E96" s="23"/>
      <c r="F96" s="23"/>
    </row>
    <row r="97" customFormat="false" ht="17.25" hidden="false" customHeight="true" outlineLevel="0" collapsed="false">
      <c r="B97" s="23" t="s">
        <v>1107</v>
      </c>
      <c r="C97" s="23"/>
      <c r="D97" s="23"/>
      <c r="E97" s="23"/>
      <c r="F97" s="23"/>
    </row>
    <row r="98" customFormat="false" ht="17.25" hidden="false" customHeight="true" outlineLevel="0" collapsed="false">
      <c r="B98" s="23" t="s">
        <v>1108</v>
      </c>
      <c r="C98" s="23"/>
      <c r="D98" s="23"/>
      <c r="E98" s="23"/>
      <c r="F98" s="23"/>
    </row>
    <row r="100" customFormat="false" ht="16.5" hidden="false" customHeight="true" outlineLevel="0" collapsed="false">
      <c r="B100" s="11" t="s">
        <v>1020</v>
      </c>
      <c r="C100" s="11" t="s">
        <v>1021</v>
      </c>
      <c r="D100" s="11" t="s">
        <v>1022</v>
      </c>
      <c r="E100" s="11" t="s">
        <v>165</v>
      </c>
    </row>
    <row r="101" customFormat="false" ht="16.5" hidden="false" customHeight="true" outlineLevel="0" collapsed="false">
      <c r="B101" s="27" t="n">
        <v>1</v>
      </c>
      <c r="C101" s="22" t="s">
        <v>1109</v>
      </c>
      <c r="D101" s="12" t="s">
        <v>1110</v>
      </c>
      <c r="E101" s="27" t="s">
        <v>538</v>
      </c>
    </row>
    <row r="102" customFormat="false" ht="16.5" hidden="false" customHeight="true" outlineLevel="0" collapsed="false">
      <c r="B102" s="27" t="n">
        <v>2</v>
      </c>
      <c r="C102" s="22" t="s">
        <v>1111</v>
      </c>
      <c r="D102" s="12" t="s">
        <v>1112</v>
      </c>
      <c r="E102" s="27" t="s">
        <v>224</v>
      </c>
    </row>
    <row r="103" customFormat="false" ht="16.5" hidden="false" customHeight="true" outlineLevel="0" collapsed="false">
      <c r="B103" s="27" t="n">
        <v>3</v>
      </c>
      <c r="C103" s="22" t="s">
        <v>1113</v>
      </c>
      <c r="D103" s="12" t="s">
        <v>1114</v>
      </c>
      <c r="E103" s="27" t="s">
        <v>224</v>
      </c>
    </row>
    <row r="104" customFormat="false" ht="16.5" hidden="false" customHeight="true" outlineLevel="0" collapsed="false">
      <c r="B104" s="27" t="n">
        <v>4</v>
      </c>
      <c r="C104" s="22" t="s">
        <v>1029</v>
      </c>
      <c r="D104" s="12" t="s">
        <v>1115</v>
      </c>
      <c r="E104" s="27" t="s">
        <v>224</v>
      </c>
    </row>
    <row r="105" customFormat="false" ht="16.5" hidden="false" customHeight="true" outlineLevel="0" collapsed="false">
      <c r="B105" s="27" t="n">
        <v>5</v>
      </c>
      <c r="C105" s="22" t="s">
        <v>1116</v>
      </c>
      <c r="D105" s="12" t="s">
        <v>1117</v>
      </c>
      <c r="E105" s="27" t="s">
        <v>538</v>
      </c>
    </row>
    <row r="106" customFormat="false" ht="16.5" hidden="false" customHeight="true" outlineLevel="0" collapsed="false">
      <c r="B106" s="27" t="n">
        <v>6</v>
      </c>
      <c r="C106" s="22" t="s">
        <v>1058</v>
      </c>
      <c r="D106" s="12" t="s">
        <v>1118</v>
      </c>
      <c r="E106" s="27" t="s">
        <v>640</v>
      </c>
    </row>
    <row r="107" customFormat="false" ht="16.5" hidden="false" customHeight="true" outlineLevel="0" collapsed="false">
      <c r="B107" s="27" t="n">
        <v>7</v>
      </c>
      <c r="C107" s="22" t="s">
        <v>1119</v>
      </c>
      <c r="D107" s="12" t="s">
        <v>1120</v>
      </c>
      <c r="E107" s="27" t="s">
        <v>378</v>
      </c>
    </row>
    <row r="108" customFormat="false" ht="16.5" hidden="false" customHeight="true" outlineLevel="0" collapsed="false">
      <c r="B108" s="27" t="n">
        <v>8</v>
      </c>
      <c r="C108" s="22" t="s">
        <v>1060</v>
      </c>
      <c r="D108" s="12" t="s">
        <v>1121</v>
      </c>
      <c r="E108" s="27" t="s">
        <v>640</v>
      </c>
    </row>
    <row r="109" customFormat="false" ht="16.5" hidden="false" customHeight="true" outlineLevel="0" collapsed="false">
      <c r="B109" s="27" t="n">
        <v>9</v>
      </c>
      <c r="C109" s="22" t="s">
        <v>1122</v>
      </c>
      <c r="D109" s="12" t="s">
        <v>1123</v>
      </c>
      <c r="E109" s="27" t="s">
        <v>538</v>
      </c>
    </row>
    <row r="110" customFormat="false" ht="16.5" hidden="false" customHeight="true" outlineLevel="0" collapsed="false">
      <c r="B110" s="27" t="n">
        <v>10</v>
      </c>
      <c r="C110" s="22" t="s">
        <v>1041</v>
      </c>
      <c r="D110" s="12" t="s">
        <v>1124</v>
      </c>
      <c r="E110" s="27" t="s">
        <v>640</v>
      </c>
    </row>
    <row r="111" customFormat="false" ht="15" hidden="false" customHeight="true" outlineLevel="0" collapsed="false">
      <c r="C111" s="40" t="s">
        <v>1043</v>
      </c>
    </row>
    <row r="113" customFormat="false" ht="15.75" hidden="false" customHeight="true" outlineLevel="0" collapsed="false">
      <c r="B113" s="7" t="s">
        <v>1125</v>
      </c>
      <c r="C113" s="8"/>
      <c r="D113" s="8"/>
      <c r="E113" s="8"/>
    </row>
    <row r="114" customFormat="false" ht="17.25" hidden="false" customHeight="true" outlineLevel="0" collapsed="false">
      <c r="B114" s="23" t="s">
        <v>1126</v>
      </c>
      <c r="C114" s="23"/>
      <c r="D114" s="23"/>
      <c r="E114" s="23"/>
      <c r="F114" s="23"/>
    </row>
    <row r="115" customFormat="false" ht="17.25" hidden="false" customHeight="true" outlineLevel="0" collapsed="false">
      <c r="B115" s="23" t="s">
        <v>1127</v>
      </c>
      <c r="C115" s="23"/>
      <c r="D115" s="23"/>
      <c r="E115" s="23"/>
      <c r="F115" s="23"/>
    </row>
    <row r="116" customFormat="false" ht="17.25" hidden="false" customHeight="true" outlineLevel="0" collapsed="false">
      <c r="B116" s="23" t="s">
        <v>1088</v>
      </c>
      <c r="C116" s="23"/>
      <c r="D116" s="23"/>
      <c r="E116" s="23"/>
      <c r="F116" s="23"/>
    </row>
    <row r="118" customFormat="false" ht="16.5" hidden="false" customHeight="true" outlineLevel="0" collapsed="false">
      <c r="B118" s="11" t="s">
        <v>1020</v>
      </c>
      <c r="C118" s="11" t="s">
        <v>1021</v>
      </c>
      <c r="D118" s="11" t="s">
        <v>1022</v>
      </c>
      <c r="E118" s="11" t="s">
        <v>165</v>
      </c>
    </row>
    <row r="119" customFormat="false" ht="16.5" hidden="false" customHeight="true" outlineLevel="0" collapsed="false">
      <c r="B119" s="27" t="n">
        <v>1</v>
      </c>
      <c r="C119" s="22" t="s">
        <v>1023</v>
      </c>
      <c r="D119" s="12" t="s">
        <v>1128</v>
      </c>
      <c r="E119" s="27" t="s">
        <v>175</v>
      </c>
    </row>
    <row r="120" customFormat="false" ht="16.5" hidden="false" customHeight="true" outlineLevel="0" collapsed="false">
      <c r="B120" s="27" t="n">
        <v>2</v>
      </c>
      <c r="C120" s="22" t="s">
        <v>1056</v>
      </c>
      <c r="D120" s="12" t="s">
        <v>1129</v>
      </c>
      <c r="E120" s="27" t="s">
        <v>175</v>
      </c>
    </row>
    <row r="121" customFormat="false" ht="16.5" hidden="false" customHeight="true" outlineLevel="0" collapsed="false">
      <c r="B121" s="27" t="n">
        <v>3</v>
      </c>
      <c r="C121" s="22" t="s">
        <v>1130</v>
      </c>
      <c r="D121" s="12" t="s">
        <v>1131</v>
      </c>
      <c r="E121" s="27" t="s">
        <v>378</v>
      </c>
    </row>
    <row r="122" customFormat="false" ht="16.5" hidden="false" customHeight="true" outlineLevel="0" collapsed="false">
      <c r="B122" s="27" t="n">
        <v>4</v>
      </c>
      <c r="C122" s="22" t="s">
        <v>1068</v>
      </c>
      <c r="D122" s="12" t="s">
        <v>1132</v>
      </c>
      <c r="E122" s="27" t="s">
        <v>224</v>
      </c>
    </row>
    <row r="123" customFormat="false" ht="16.5" hidden="false" customHeight="true" outlineLevel="0" collapsed="false">
      <c r="B123" s="27" t="n">
        <v>5</v>
      </c>
      <c r="C123" s="22" t="s">
        <v>1035</v>
      </c>
      <c r="D123" s="12" t="s">
        <v>1133</v>
      </c>
      <c r="E123" s="27" t="s">
        <v>378</v>
      </c>
    </row>
    <row r="124" customFormat="false" ht="16.5" hidden="false" customHeight="true" outlineLevel="0" collapsed="false">
      <c r="B124" s="27" t="n">
        <v>6</v>
      </c>
      <c r="C124" s="22" t="s">
        <v>1134</v>
      </c>
      <c r="D124" s="12" t="s">
        <v>1135</v>
      </c>
      <c r="E124" s="27" t="s">
        <v>378</v>
      </c>
    </row>
    <row r="125" customFormat="false" ht="16.5" hidden="false" customHeight="true" outlineLevel="0" collapsed="false">
      <c r="B125" s="27" t="n">
        <v>7</v>
      </c>
      <c r="C125" s="22" t="s">
        <v>1039</v>
      </c>
      <c r="D125" s="12" t="s">
        <v>1136</v>
      </c>
      <c r="E125" s="27" t="s">
        <v>538</v>
      </c>
    </row>
    <row r="126" customFormat="false" ht="16.5" hidden="false" customHeight="true" outlineLevel="0" collapsed="false">
      <c r="B126" s="27" t="n">
        <v>8</v>
      </c>
      <c r="C126" s="22" t="s">
        <v>1082</v>
      </c>
      <c r="D126" s="12" t="s">
        <v>1137</v>
      </c>
      <c r="E126" s="27" t="s">
        <v>538</v>
      </c>
    </row>
    <row r="127" customFormat="false" ht="16.5" hidden="false" customHeight="true" outlineLevel="0" collapsed="false">
      <c r="B127" s="27" t="n">
        <v>9</v>
      </c>
      <c r="C127" s="22" t="s">
        <v>1060</v>
      </c>
      <c r="D127" s="12" t="s">
        <v>1138</v>
      </c>
      <c r="E127" s="27" t="s">
        <v>640</v>
      </c>
    </row>
    <row r="128" customFormat="false" ht="16.5" hidden="false" customHeight="true" outlineLevel="0" collapsed="false">
      <c r="B128" s="27" t="n">
        <v>10</v>
      </c>
      <c r="C128" s="22" t="s">
        <v>1139</v>
      </c>
      <c r="D128" s="12" t="s">
        <v>1140</v>
      </c>
      <c r="E128" s="27" t="s">
        <v>640</v>
      </c>
    </row>
    <row r="129" customFormat="false" ht="15" hidden="false" customHeight="true" outlineLevel="0" collapsed="false">
      <c r="C129" s="40" t="s">
        <v>1043</v>
      </c>
    </row>
    <row r="131" customFormat="false" ht="15.75" hidden="false" customHeight="true" outlineLevel="0" collapsed="false">
      <c r="B131" s="7" t="s">
        <v>1141</v>
      </c>
      <c r="C131" s="8"/>
      <c r="D131" s="8"/>
      <c r="E131" s="8"/>
    </row>
    <row r="132" customFormat="false" ht="17.25" hidden="false" customHeight="true" outlineLevel="0" collapsed="false">
      <c r="B132" s="23" t="s">
        <v>1142</v>
      </c>
      <c r="C132" s="23"/>
      <c r="D132" s="23"/>
      <c r="E132" s="23"/>
      <c r="F132" s="23"/>
    </row>
    <row r="133" customFormat="false" ht="17.25" hidden="false" customHeight="true" outlineLevel="0" collapsed="false">
      <c r="B133" s="23" t="s">
        <v>1143</v>
      </c>
      <c r="C133" s="23"/>
      <c r="D133" s="23"/>
      <c r="E133" s="23"/>
      <c r="F133" s="23"/>
    </row>
    <row r="134" customFormat="false" ht="17.25" hidden="false" customHeight="true" outlineLevel="0" collapsed="false">
      <c r="B134" s="23" t="s">
        <v>1088</v>
      </c>
      <c r="C134" s="23"/>
      <c r="D134" s="23"/>
      <c r="E134" s="23"/>
      <c r="F134" s="23"/>
    </row>
    <row r="136" customFormat="false" ht="16.5" hidden="false" customHeight="true" outlineLevel="0" collapsed="false">
      <c r="B136" s="11" t="s">
        <v>1020</v>
      </c>
      <c r="C136" s="11" t="s">
        <v>1021</v>
      </c>
      <c r="D136" s="11" t="s">
        <v>1022</v>
      </c>
      <c r="E136" s="11" t="s">
        <v>165</v>
      </c>
    </row>
    <row r="137" customFormat="false" ht="16.5" hidden="false" customHeight="true" outlineLevel="0" collapsed="false">
      <c r="B137" s="27" t="n">
        <v>1</v>
      </c>
      <c r="C137" s="22" t="s">
        <v>1144</v>
      </c>
      <c r="D137" s="12" t="s">
        <v>1145</v>
      </c>
      <c r="E137" s="27" t="s">
        <v>224</v>
      </c>
    </row>
    <row r="138" customFormat="false" ht="16.5" hidden="false" customHeight="true" outlineLevel="0" collapsed="false">
      <c r="B138" s="27" t="n">
        <v>2</v>
      </c>
      <c r="C138" s="22" t="s">
        <v>1146</v>
      </c>
      <c r="D138" s="12" t="s">
        <v>1147</v>
      </c>
      <c r="E138" s="27" t="s">
        <v>224</v>
      </c>
    </row>
    <row r="139" customFormat="false" ht="16.5" hidden="false" customHeight="true" outlineLevel="0" collapsed="false">
      <c r="B139" s="27" t="n">
        <v>3</v>
      </c>
      <c r="C139" s="22" t="s">
        <v>1148</v>
      </c>
      <c r="D139" s="12" t="s">
        <v>1149</v>
      </c>
      <c r="E139" s="27" t="s">
        <v>378</v>
      </c>
    </row>
    <row r="140" customFormat="false" ht="16.5" hidden="false" customHeight="true" outlineLevel="0" collapsed="false">
      <c r="B140" s="27" t="n">
        <v>4</v>
      </c>
      <c r="C140" s="22" t="s">
        <v>1150</v>
      </c>
      <c r="D140" s="12" t="s">
        <v>1151</v>
      </c>
      <c r="E140" s="27" t="s">
        <v>378</v>
      </c>
    </row>
    <row r="141" customFormat="false" ht="16.5" hidden="false" customHeight="true" outlineLevel="0" collapsed="false">
      <c r="B141" s="27" t="n">
        <v>5</v>
      </c>
      <c r="C141" s="22" t="s">
        <v>1089</v>
      </c>
      <c r="D141" s="12" t="s">
        <v>1152</v>
      </c>
      <c r="E141" s="27" t="s">
        <v>224</v>
      </c>
    </row>
    <row r="142" customFormat="false" ht="16.5" hidden="false" customHeight="true" outlineLevel="0" collapsed="false">
      <c r="B142" s="27" t="n">
        <v>6</v>
      </c>
      <c r="C142" s="22" t="s">
        <v>1153</v>
      </c>
      <c r="D142" s="12" t="s">
        <v>1154</v>
      </c>
      <c r="E142" s="27" t="s">
        <v>538</v>
      </c>
    </row>
    <row r="143" customFormat="false" ht="16.5" hidden="false" customHeight="true" outlineLevel="0" collapsed="false">
      <c r="B143" s="27" t="n">
        <v>7</v>
      </c>
      <c r="C143" s="22" t="s">
        <v>1155</v>
      </c>
      <c r="D143" s="12" t="s">
        <v>1156</v>
      </c>
      <c r="E143" s="27" t="s">
        <v>538</v>
      </c>
    </row>
    <row r="144" customFormat="false" ht="16.5" hidden="false" customHeight="true" outlineLevel="0" collapsed="false">
      <c r="B144" s="27" t="n">
        <v>8</v>
      </c>
      <c r="C144" s="22" t="s">
        <v>1157</v>
      </c>
      <c r="D144" s="12" t="s">
        <v>1158</v>
      </c>
      <c r="E144" s="27" t="s">
        <v>538</v>
      </c>
    </row>
    <row r="145" customFormat="false" ht="16.5" hidden="false" customHeight="true" outlineLevel="0" collapsed="false">
      <c r="B145" s="27" t="n">
        <v>9</v>
      </c>
      <c r="C145" s="22" t="s">
        <v>1159</v>
      </c>
      <c r="D145" s="12" t="s">
        <v>1160</v>
      </c>
      <c r="E145" s="27" t="s">
        <v>538</v>
      </c>
    </row>
    <row r="146" customFormat="false" ht="16.5" hidden="false" customHeight="true" outlineLevel="0" collapsed="false">
      <c r="B146" s="27" t="n">
        <v>10</v>
      </c>
      <c r="C146" s="22" t="s">
        <v>1161</v>
      </c>
      <c r="D146" s="12" t="s">
        <v>1162</v>
      </c>
      <c r="E146" s="27" t="s">
        <v>224</v>
      </c>
    </row>
    <row r="147" customFormat="false" ht="15" hidden="false" customHeight="true" outlineLevel="0" collapsed="false">
      <c r="C147" s="40" t="s">
        <v>1043</v>
      </c>
    </row>
    <row r="149" customFormat="false" ht="15.75" hidden="false" customHeight="true" outlineLevel="0" collapsed="false">
      <c r="B149" s="7" t="s">
        <v>1163</v>
      </c>
      <c r="C149" s="8"/>
      <c r="D149" s="8"/>
      <c r="E149" s="8"/>
    </row>
    <row r="150" customFormat="false" ht="17.25" hidden="false" customHeight="true" outlineLevel="0" collapsed="false">
      <c r="B150" s="23" t="s">
        <v>1164</v>
      </c>
      <c r="C150" s="23"/>
      <c r="D150" s="23"/>
      <c r="E150" s="23"/>
      <c r="F150" s="23"/>
    </row>
    <row r="151" customFormat="false" ht="17.25" hidden="false" customHeight="true" outlineLevel="0" collapsed="false">
      <c r="B151" s="23" t="s">
        <v>1165</v>
      </c>
      <c r="C151" s="23"/>
      <c r="D151" s="23"/>
      <c r="E151" s="23"/>
      <c r="F151" s="23"/>
    </row>
    <row r="152" customFormat="false" ht="17.25" hidden="false" customHeight="true" outlineLevel="0" collapsed="false">
      <c r="B152" s="23" t="s">
        <v>1166</v>
      </c>
      <c r="C152" s="23"/>
      <c r="D152" s="23"/>
      <c r="E152" s="23"/>
      <c r="F152" s="23"/>
    </row>
    <row r="154" customFormat="false" ht="16.5" hidden="false" customHeight="true" outlineLevel="0" collapsed="false">
      <c r="B154" s="11" t="s">
        <v>1020</v>
      </c>
      <c r="C154" s="11" t="s">
        <v>1021</v>
      </c>
      <c r="D154" s="11" t="s">
        <v>1022</v>
      </c>
      <c r="E154" s="11" t="s">
        <v>165</v>
      </c>
    </row>
    <row r="155" customFormat="false" ht="16.5" hidden="false" customHeight="true" outlineLevel="0" collapsed="false">
      <c r="B155" s="27" t="n">
        <v>1</v>
      </c>
      <c r="C155" s="22" t="s">
        <v>1167</v>
      </c>
      <c r="D155" s="12" t="s">
        <v>1168</v>
      </c>
      <c r="E155" s="27" t="s">
        <v>720</v>
      </c>
    </row>
    <row r="156" customFormat="false" ht="16.5" hidden="false" customHeight="true" outlineLevel="0" collapsed="false">
      <c r="B156" s="27" t="n">
        <v>2</v>
      </c>
      <c r="C156" s="22" t="s">
        <v>1169</v>
      </c>
      <c r="D156" s="12" t="s">
        <v>1170</v>
      </c>
      <c r="E156" s="27" t="s">
        <v>175</v>
      </c>
    </row>
    <row r="157" customFormat="false" ht="16.5" hidden="false" customHeight="true" outlineLevel="0" collapsed="false">
      <c r="B157" s="27" t="n">
        <v>3</v>
      </c>
      <c r="C157" s="22" t="s">
        <v>1066</v>
      </c>
      <c r="D157" s="12" t="s">
        <v>1171</v>
      </c>
      <c r="E157" s="27" t="s">
        <v>224</v>
      </c>
    </row>
    <row r="158" customFormat="false" ht="16.5" hidden="false" customHeight="true" outlineLevel="0" collapsed="false">
      <c r="B158" s="27" t="n">
        <v>4</v>
      </c>
      <c r="C158" s="22" t="s">
        <v>1068</v>
      </c>
      <c r="D158" s="12" t="s">
        <v>1172</v>
      </c>
      <c r="E158" s="27" t="s">
        <v>224</v>
      </c>
    </row>
    <row r="159" customFormat="false" ht="16.5" hidden="false" customHeight="true" outlineLevel="0" collapsed="false">
      <c r="B159" s="27" t="n">
        <v>5</v>
      </c>
      <c r="C159" s="22" t="s">
        <v>1076</v>
      </c>
      <c r="D159" s="12" t="s">
        <v>1173</v>
      </c>
      <c r="E159" s="27" t="s">
        <v>378</v>
      </c>
    </row>
    <row r="160" customFormat="false" ht="16.5" hidden="false" customHeight="true" outlineLevel="0" collapsed="false">
      <c r="B160" s="27" t="n">
        <v>6</v>
      </c>
      <c r="C160" s="22" t="s">
        <v>1078</v>
      </c>
      <c r="D160" s="12" t="s">
        <v>1174</v>
      </c>
      <c r="E160" s="27" t="s">
        <v>378</v>
      </c>
    </row>
    <row r="161" customFormat="false" ht="16.5" hidden="false" customHeight="true" outlineLevel="0" collapsed="false">
      <c r="B161" s="27" t="n">
        <v>7</v>
      </c>
      <c r="C161" s="22" t="s">
        <v>1098</v>
      </c>
      <c r="D161" s="12" t="s">
        <v>1175</v>
      </c>
      <c r="E161" s="27" t="s">
        <v>378</v>
      </c>
    </row>
    <row r="162" customFormat="false" ht="16.5" hidden="false" customHeight="true" outlineLevel="0" collapsed="false">
      <c r="B162" s="27" t="n">
        <v>8</v>
      </c>
      <c r="C162" s="22" t="s">
        <v>1080</v>
      </c>
      <c r="D162" s="12" t="s">
        <v>1176</v>
      </c>
      <c r="E162" s="27" t="s">
        <v>378</v>
      </c>
    </row>
    <row r="163" customFormat="false" ht="16.5" hidden="false" customHeight="true" outlineLevel="0" collapsed="false">
      <c r="B163" s="27" t="n">
        <v>9</v>
      </c>
      <c r="C163" s="22" t="s">
        <v>1041</v>
      </c>
      <c r="D163" s="12" t="s">
        <v>1177</v>
      </c>
      <c r="E163" s="27" t="s">
        <v>640</v>
      </c>
    </row>
    <row r="164" customFormat="false" ht="16.5" hidden="false" customHeight="true" outlineLevel="0" collapsed="false">
      <c r="B164" s="27" t="n">
        <v>10</v>
      </c>
      <c r="C164" s="22" t="s">
        <v>1178</v>
      </c>
      <c r="D164" s="12" t="s">
        <v>1179</v>
      </c>
      <c r="E164" s="27" t="s">
        <v>640</v>
      </c>
    </row>
    <row r="165" customFormat="false" ht="15" hidden="false" customHeight="true" outlineLevel="0" collapsed="false">
      <c r="C165" s="40" t="s">
        <v>1043</v>
      </c>
    </row>
    <row r="167" customFormat="false" ht="15.75" hidden="false" customHeight="true" outlineLevel="0" collapsed="false">
      <c r="B167" s="7" t="s">
        <v>1180</v>
      </c>
      <c r="C167" s="8"/>
      <c r="D167" s="8"/>
      <c r="E167" s="8"/>
    </row>
    <row r="168" customFormat="false" ht="17.25" hidden="false" customHeight="true" outlineLevel="0" collapsed="false">
      <c r="B168" s="23" t="s">
        <v>1181</v>
      </c>
      <c r="C168" s="23"/>
      <c r="D168" s="23"/>
      <c r="E168" s="23"/>
      <c r="F168" s="23"/>
    </row>
    <row r="169" customFormat="false" ht="17.25" hidden="false" customHeight="true" outlineLevel="0" collapsed="false">
      <c r="B169" s="23" t="s">
        <v>1182</v>
      </c>
      <c r="C169" s="23"/>
      <c r="D169" s="23"/>
      <c r="E169" s="23"/>
      <c r="F169" s="23"/>
    </row>
    <row r="170" customFormat="false" ht="17.25" hidden="false" customHeight="true" outlineLevel="0" collapsed="false">
      <c r="B170" s="23" t="s">
        <v>1183</v>
      </c>
      <c r="C170" s="23"/>
      <c r="D170" s="23"/>
      <c r="E170" s="23"/>
      <c r="F170" s="23"/>
    </row>
    <row r="172" customFormat="false" ht="16.5" hidden="false" customHeight="true" outlineLevel="0" collapsed="false">
      <c r="B172" s="11" t="s">
        <v>1020</v>
      </c>
      <c r="C172" s="11" t="s">
        <v>1021</v>
      </c>
      <c r="D172" s="11" t="s">
        <v>1022</v>
      </c>
      <c r="E172" s="11" t="s">
        <v>165</v>
      </c>
    </row>
    <row r="173" customFormat="false" ht="16.5" hidden="false" customHeight="true" outlineLevel="0" collapsed="false">
      <c r="B173" s="27" t="n">
        <v>1</v>
      </c>
      <c r="C173" s="22" t="s">
        <v>1025</v>
      </c>
      <c r="D173" s="12" t="s">
        <v>1184</v>
      </c>
      <c r="E173" s="27" t="s">
        <v>224</v>
      </c>
    </row>
    <row r="174" customFormat="false" ht="16.5" hidden="false" customHeight="true" outlineLevel="0" collapsed="false">
      <c r="B174" s="27" t="n">
        <v>2</v>
      </c>
      <c r="C174" s="22" t="s">
        <v>1027</v>
      </c>
      <c r="D174" s="12" t="s">
        <v>1185</v>
      </c>
      <c r="E174" s="27" t="s">
        <v>224</v>
      </c>
    </row>
    <row r="175" customFormat="false" ht="16.5" hidden="false" customHeight="true" outlineLevel="0" collapsed="false">
      <c r="B175" s="27" t="n">
        <v>3</v>
      </c>
      <c r="C175" s="22" t="s">
        <v>1186</v>
      </c>
      <c r="D175" s="12" t="s">
        <v>1187</v>
      </c>
      <c r="E175" s="27" t="s">
        <v>224</v>
      </c>
    </row>
    <row r="176" customFormat="false" ht="16.5" hidden="false" customHeight="true" outlineLevel="0" collapsed="false">
      <c r="B176" s="27" t="n">
        <v>4</v>
      </c>
      <c r="C176" s="22" t="s">
        <v>964</v>
      </c>
      <c r="D176" s="12" t="s">
        <v>1188</v>
      </c>
      <c r="E176" s="27" t="s">
        <v>378</v>
      </c>
    </row>
    <row r="177" customFormat="false" ht="16.5" hidden="false" customHeight="true" outlineLevel="0" collapsed="false">
      <c r="B177" s="27" t="n">
        <v>5</v>
      </c>
      <c r="C177" s="22" t="s">
        <v>967</v>
      </c>
      <c r="D177" s="12" t="s">
        <v>1189</v>
      </c>
      <c r="E177" s="27" t="s">
        <v>378</v>
      </c>
    </row>
    <row r="178" customFormat="false" ht="16.5" hidden="false" customHeight="true" outlineLevel="0" collapsed="false">
      <c r="B178" s="27" t="n">
        <v>6</v>
      </c>
      <c r="C178" s="22" t="s">
        <v>1037</v>
      </c>
      <c r="D178" s="12" t="s">
        <v>1190</v>
      </c>
      <c r="E178" s="27" t="s">
        <v>378</v>
      </c>
    </row>
    <row r="179" customFormat="false" ht="16.5" hidden="false" customHeight="true" outlineLevel="0" collapsed="false">
      <c r="B179" s="27" t="n">
        <v>7</v>
      </c>
      <c r="C179" s="22" t="s">
        <v>1191</v>
      </c>
      <c r="D179" s="12" t="s">
        <v>1192</v>
      </c>
      <c r="E179" s="27" t="s">
        <v>378</v>
      </c>
    </row>
    <row r="180" customFormat="false" ht="16.5" hidden="false" customHeight="true" outlineLevel="0" collapsed="false">
      <c r="B180" s="27" t="n">
        <v>8</v>
      </c>
      <c r="C180" s="22" t="s">
        <v>1035</v>
      </c>
      <c r="D180" s="12" t="s">
        <v>1193</v>
      </c>
      <c r="E180" s="27" t="s">
        <v>378</v>
      </c>
    </row>
    <row r="181" customFormat="false" ht="16.5" hidden="false" customHeight="true" outlineLevel="0" collapsed="false">
      <c r="B181" s="27" t="n">
        <v>9</v>
      </c>
      <c r="C181" s="22" t="s">
        <v>1194</v>
      </c>
      <c r="D181" s="12" t="s">
        <v>1195</v>
      </c>
      <c r="E181" s="27" t="s">
        <v>378</v>
      </c>
    </row>
    <row r="182" customFormat="false" ht="16.5" hidden="false" customHeight="true" outlineLevel="0" collapsed="false">
      <c r="B182" s="27" t="n">
        <v>10</v>
      </c>
      <c r="C182" s="22" t="s">
        <v>1058</v>
      </c>
      <c r="D182" s="12" t="s">
        <v>1196</v>
      </c>
      <c r="E182" s="27" t="s">
        <v>640</v>
      </c>
    </row>
    <row r="183" customFormat="false" ht="15" hidden="false" customHeight="true" outlineLevel="0" collapsed="false">
      <c r="C183" s="40" t="s">
        <v>1043</v>
      </c>
    </row>
    <row r="185" customFormat="false" ht="15.75" hidden="false" customHeight="true" outlineLevel="0" collapsed="false">
      <c r="B185" s="7" t="s">
        <v>1197</v>
      </c>
      <c r="C185" s="8"/>
      <c r="D185" s="8"/>
      <c r="E185" s="8"/>
    </row>
    <row r="186" customFormat="false" ht="17.25" hidden="false" customHeight="true" outlineLevel="0" collapsed="false">
      <c r="B186" s="23" t="s">
        <v>1198</v>
      </c>
      <c r="C186" s="23"/>
      <c r="D186" s="23"/>
      <c r="E186" s="23"/>
      <c r="F186" s="23"/>
    </row>
    <row r="187" customFormat="false" ht="17.25" hidden="false" customHeight="true" outlineLevel="0" collapsed="false">
      <c r="B187" s="23" t="s">
        <v>1199</v>
      </c>
      <c r="C187" s="23"/>
      <c r="D187" s="23"/>
      <c r="E187" s="23"/>
      <c r="F187" s="23"/>
    </row>
    <row r="188" customFormat="false" ht="17.25" hidden="false" customHeight="true" outlineLevel="0" collapsed="false">
      <c r="B188" s="23" t="s">
        <v>1200</v>
      </c>
      <c r="C188" s="23"/>
      <c r="D188" s="23"/>
      <c r="E188" s="23"/>
      <c r="F188" s="23"/>
    </row>
    <row r="190" customFormat="false" ht="16.5" hidden="false" customHeight="true" outlineLevel="0" collapsed="false">
      <c r="B190" s="11" t="s">
        <v>1020</v>
      </c>
      <c r="C190" s="11" t="s">
        <v>1021</v>
      </c>
      <c r="D190" s="11" t="s">
        <v>1022</v>
      </c>
      <c r="E190" s="11" t="s">
        <v>165</v>
      </c>
    </row>
    <row r="191" customFormat="false" ht="16.5" hidden="false" customHeight="true" outlineLevel="0" collapsed="false">
      <c r="B191" s="27" t="n">
        <v>1</v>
      </c>
      <c r="C191" s="22" t="s">
        <v>1025</v>
      </c>
      <c r="D191" s="12" t="s">
        <v>1201</v>
      </c>
      <c r="E191" s="27" t="s">
        <v>224</v>
      </c>
    </row>
    <row r="192" customFormat="false" ht="16.5" hidden="false" customHeight="true" outlineLevel="0" collapsed="false">
      <c r="B192" s="27" t="n">
        <v>2</v>
      </c>
      <c r="C192" s="22" t="s">
        <v>1202</v>
      </c>
      <c r="D192" s="12" t="s">
        <v>1203</v>
      </c>
      <c r="E192" s="27" t="s">
        <v>224</v>
      </c>
    </row>
    <row r="193" customFormat="false" ht="16.5" hidden="false" customHeight="true" outlineLevel="0" collapsed="false">
      <c r="B193" s="27" t="n">
        <v>3</v>
      </c>
      <c r="C193" s="22" t="s">
        <v>973</v>
      </c>
      <c r="D193" s="12" t="s">
        <v>1204</v>
      </c>
      <c r="E193" s="27" t="s">
        <v>224</v>
      </c>
    </row>
    <row r="194" customFormat="false" ht="16.5" hidden="false" customHeight="true" outlineLevel="0" collapsed="false">
      <c r="B194" s="27" t="n">
        <v>4</v>
      </c>
      <c r="C194" s="22" t="s">
        <v>1027</v>
      </c>
      <c r="D194" s="12" t="s">
        <v>1205</v>
      </c>
      <c r="E194" s="27" t="s">
        <v>224</v>
      </c>
    </row>
    <row r="195" customFormat="false" ht="16.5" hidden="false" customHeight="true" outlineLevel="0" collapsed="false">
      <c r="B195" s="27" t="n">
        <v>5</v>
      </c>
      <c r="C195" s="22" t="s">
        <v>1206</v>
      </c>
      <c r="D195" s="12" t="s">
        <v>1207</v>
      </c>
      <c r="E195" s="27" t="s">
        <v>224</v>
      </c>
    </row>
    <row r="196" customFormat="false" ht="16.5" hidden="false" customHeight="true" outlineLevel="0" collapsed="false">
      <c r="B196" s="27" t="n">
        <v>6</v>
      </c>
      <c r="C196" s="22" t="s">
        <v>1058</v>
      </c>
      <c r="D196" s="12" t="s">
        <v>1208</v>
      </c>
      <c r="E196" s="27" t="s">
        <v>640</v>
      </c>
    </row>
    <row r="197" customFormat="false" ht="16.5" hidden="false" customHeight="true" outlineLevel="0" collapsed="false">
      <c r="B197" s="27" t="n">
        <v>7</v>
      </c>
      <c r="C197" s="22" t="s">
        <v>1060</v>
      </c>
      <c r="D197" s="12" t="s">
        <v>1209</v>
      </c>
      <c r="E197" s="27" t="s">
        <v>640</v>
      </c>
    </row>
    <row r="198" customFormat="false" ht="16.5" hidden="false" customHeight="true" outlineLevel="0" collapsed="false">
      <c r="B198" s="27" t="n">
        <v>8</v>
      </c>
      <c r="C198" s="22" t="s">
        <v>1041</v>
      </c>
      <c r="D198" s="12" t="s">
        <v>1210</v>
      </c>
      <c r="E198" s="27" t="s">
        <v>640</v>
      </c>
    </row>
    <row r="199" customFormat="false" ht="15" hidden="false" customHeight="true" outlineLevel="0" collapsed="false">
      <c r="C199" s="40" t="s">
        <v>1043</v>
      </c>
    </row>
    <row r="201" customFormat="false" ht="15.75" hidden="false" customHeight="true" outlineLevel="0" collapsed="false">
      <c r="B201" s="7" t="s">
        <v>1211</v>
      </c>
      <c r="C201" s="8"/>
      <c r="D201" s="8"/>
      <c r="E201" s="8"/>
    </row>
    <row r="202" customFormat="false" ht="17.25" hidden="false" customHeight="true" outlineLevel="0" collapsed="false">
      <c r="B202" s="23" t="s">
        <v>1212</v>
      </c>
      <c r="C202" s="23"/>
      <c r="D202" s="23"/>
      <c r="E202" s="23"/>
      <c r="F202" s="23"/>
    </row>
    <row r="203" customFormat="false" ht="17.25" hidden="false" customHeight="true" outlineLevel="0" collapsed="false">
      <c r="B203" s="23" t="s">
        <v>1213</v>
      </c>
      <c r="C203" s="23"/>
      <c r="D203" s="23"/>
      <c r="E203" s="23"/>
      <c r="F203" s="23"/>
    </row>
    <row r="204" customFormat="false" ht="17.25" hidden="false" customHeight="true" outlineLevel="0" collapsed="false">
      <c r="B204" s="23" t="s">
        <v>1214</v>
      </c>
      <c r="C204" s="23"/>
      <c r="D204" s="23"/>
      <c r="E204" s="23"/>
      <c r="F204" s="23"/>
    </row>
    <row r="206" customFormat="false" ht="16.5" hidden="false" customHeight="true" outlineLevel="0" collapsed="false">
      <c r="B206" s="11" t="s">
        <v>1020</v>
      </c>
      <c r="C206" s="11" t="s">
        <v>1021</v>
      </c>
      <c r="D206" s="11" t="s">
        <v>1022</v>
      </c>
      <c r="E206" s="11" t="s">
        <v>165</v>
      </c>
    </row>
    <row r="207" customFormat="false" ht="16.5" hidden="false" customHeight="true" outlineLevel="0" collapsed="false">
      <c r="B207" s="27" t="n">
        <v>1</v>
      </c>
      <c r="C207" s="22" t="s">
        <v>1167</v>
      </c>
      <c r="D207" s="12" t="s">
        <v>1215</v>
      </c>
      <c r="E207" s="27" t="s">
        <v>720</v>
      </c>
    </row>
    <row r="208" customFormat="false" ht="16.5" hidden="false" customHeight="true" outlineLevel="0" collapsed="false">
      <c r="B208" s="27" t="n">
        <v>2</v>
      </c>
      <c r="C208" s="22" t="s">
        <v>1066</v>
      </c>
      <c r="D208" s="12" t="s">
        <v>1216</v>
      </c>
      <c r="E208" s="27" t="s">
        <v>224</v>
      </c>
    </row>
    <row r="209" customFormat="false" ht="16.5" hidden="false" customHeight="true" outlineLevel="0" collapsed="false">
      <c r="B209" s="27" t="n">
        <v>3</v>
      </c>
      <c r="C209" s="22" t="s">
        <v>1068</v>
      </c>
      <c r="D209" s="12" t="s">
        <v>1217</v>
      </c>
      <c r="E209" s="27" t="s">
        <v>224</v>
      </c>
    </row>
    <row r="210" customFormat="false" ht="16.5" hidden="false" customHeight="true" outlineLevel="0" collapsed="false">
      <c r="B210" s="27" t="n">
        <v>4</v>
      </c>
      <c r="C210" s="22" t="s">
        <v>1076</v>
      </c>
      <c r="D210" s="12" t="s">
        <v>1218</v>
      </c>
      <c r="E210" s="27" t="s">
        <v>378</v>
      </c>
    </row>
    <row r="211" customFormat="false" ht="16.5" hidden="false" customHeight="true" outlineLevel="0" collapsed="false">
      <c r="B211" s="27" t="n">
        <v>5</v>
      </c>
      <c r="C211" s="22" t="s">
        <v>1078</v>
      </c>
      <c r="D211" s="12" t="s">
        <v>1219</v>
      </c>
      <c r="E211" s="27" t="s">
        <v>378</v>
      </c>
    </row>
    <row r="212" customFormat="false" ht="16.5" hidden="false" customHeight="true" outlineLevel="0" collapsed="false">
      <c r="B212" s="27" t="n">
        <v>6</v>
      </c>
      <c r="C212" s="22" t="s">
        <v>1080</v>
      </c>
      <c r="D212" s="12" t="s">
        <v>1220</v>
      </c>
      <c r="E212" s="27" t="s">
        <v>378</v>
      </c>
    </row>
    <row r="213" customFormat="false" ht="16.5" hidden="false" customHeight="true" outlineLevel="0" collapsed="false">
      <c r="B213" s="27" t="n">
        <v>7</v>
      </c>
      <c r="C213" s="22" t="s">
        <v>1221</v>
      </c>
      <c r="D213" s="12" t="s">
        <v>1222</v>
      </c>
      <c r="E213" s="27" t="s">
        <v>538</v>
      </c>
    </row>
    <row r="214" customFormat="false" ht="16.5" hidden="false" customHeight="true" outlineLevel="0" collapsed="false">
      <c r="B214" s="27" t="n">
        <v>8</v>
      </c>
      <c r="C214" s="22" t="s">
        <v>1223</v>
      </c>
      <c r="D214" s="12" t="s">
        <v>1224</v>
      </c>
      <c r="E214" s="27" t="s">
        <v>640</v>
      </c>
    </row>
    <row r="215" customFormat="false" ht="16.5" hidden="false" customHeight="true" outlineLevel="0" collapsed="false">
      <c r="B215" s="27" t="n">
        <v>9</v>
      </c>
      <c r="C215" s="22" t="s">
        <v>1082</v>
      </c>
      <c r="D215" s="12" t="s">
        <v>1225</v>
      </c>
      <c r="E215" s="27" t="s">
        <v>538</v>
      </c>
    </row>
    <row r="216" customFormat="false" ht="16.5" hidden="false" customHeight="true" outlineLevel="0" collapsed="false">
      <c r="B216" s="27" t="n">
        <v>10</v>
      </c>
      <c r="C216" s="22" t="s">
        <v>1178</v>
      </c>
      <c r="D216" s="12" t="s">
        <v>1226</v>
      </c>
      <c r="E216" s="27" t="s">
        <v>640</v>
      </c>
    </row>
    <row r="217" customFormat="false" ht="15" hidden="false" customHeight="true" outlineLevel="0" collapsed="false">
      <c r="C217" s="40" t="s">
        <v>1043</v>
      </c>
    </row>
    <row r="219" customFormat="false" ht="15.75" hidden="false" customHeight="true" outlineLevel="0" collapsed="false">
      <c r="B219" s="7" t="s">
        <v>1227</v>
      </c>
      <c r="C219" s="8"/>
      <c r="D219" s="8"/>
      <c r="E219" s="8"/>
    </row>
    <row r="220" customFormat="false" ht="17.25" hidden="false" customHeight="true" outlineLevel="0" collapsed="false">
      <c r="B220" s="23" t="s">
        <v>1228</v>
      </c>
      <c r="C220" s="23"/>
      <c r="D220" s="23"/>
      <c r="E220" s="23"/>
      <c r="F220" s="23"/>
    </row>
    <row r="221" customFormat="false" ht="17.25" hidden="false" customHeight="true" outlineLevel="0" collapsed="false">
      <c r="B221" s="23" t="s">
        <v>1229</v>
      </c>
      <c r="C221" s="23"/>
      <c r="D221" s="23"/>
      <c r="E221" s="23"/>
      <c r="F221" s="23"/>
    </row>
    <row r="222" customFormat="false" ht="17.25" hidden="false" customHeight="true" outlineLevel="0" collapsed="false">
      <c r="B222" s="23" t="s">
        <v>1230</v>
      </c>
      <c r="C222" s="23"/>
      <c r="D222" s="23"/>
      <c r="E222" s="23"/>
      <c r="F222" s="23"/>
    </row>
    <row r="224" customFormat="false" ht="16.5" hidden="false" customHeight="true" outlineLevel="0" collapsed="false">
      <c r="B224" s="11" t="s">
        <v>1020</v>
      </c>
      <c r="C224" s="11" t="s">
        <v>1021</v>
      </c>
      <c r="D224" s="11" t="s">
        <v>1022</v>
      </c>
      <c r="E224" s="11" t="s">
        <v>165</v>
      </c>
    </row>
    <row r="225" customFormat="false" ht="16.5" hidden="false" customHeight="true" outlineLevel="0" collapsed="false">
      <c r="B225" s="27" t="n">
        <v>1</v>
      </c>
      <c r="C225" s="22" t="s">
        <v>1056</v>
      </c>
      <c r="D225" s="12" t="s">
        <v>1231</v>
      </c>
      <c r="E225" s="27" t="s">
        <v>175</v>
      </c>
    </row>
    <row r="226" customFormat="false" ht="16.5" hidden="false" customHeight="true" outlineLevel="0" collapsed="false">
      <c r="B226" s="27" t="n">
        <v>2</v>
      </c>
      <c r="C226" s="22" t="s">
        <v>1068</v>
      </c>
      <c r="D226" s="12" t="s">
        <v>1232</v>
      </c>
      <c r="E226" s="27" t="s">
        <v>224</v>
      </c>
    </row>
    <row r="227" customFormat="false" ht="16.5" hidden="false" customHeight="true" outlineLevel="0" collapsed="false">
      <c r="B227" s="27" t="n">
        <v>3</v>
      </c>
      <c r="C227" s="22" t="s">
        <v>1029</v>
      </c>
      <c r="D227" s="12" t="s">
        <v>1233</v>
      </c>
      <c r="E227" s="27" t="s">
        <v>224</v>
      </c>
    </row>
    <row r="228" customFormat="false" ht="16.5" hidden="false" customHeight="true" outlineLevel="0" collapsed="false">
      <c r="B228" s="27" t="n">
        <v>4</v>
      </c>
      <c r="C228" s="22" t="s">
        <v>1060</v>
      </c>
      <c r="D228" s="12" t="s">
        <v>1234</v>
      </c>
      <c r="E228" s="27" t="s">
        <v>640</v>
      </c>
    </row>
    <row r="229" customFormat="false" ht="16.5" hidden="false" customHeight="true" outlineLevel="0" collapsed="false">
      <c r="B229" s="27" t="n">
        <v>5</v>
      </c>
      <c r="C229" s="22" t="s">
        <v>1134</v>
      </c>
      <c r="D229" s="12" t="s">
        <v>1235</v>
      </c>
      <c r="E229" s="27" t="s">
        <v>378</v>
      </c>
    </row>
    <row r="230" customFormat="false" ht="16.5" hidden="false" customHeight="true" outlineLevel="0" collapsed="false">
      <c r="B230" s="27" t="n">
        <v>6</v>
      </c>
      <c r="C230" s="22" t="s">
        <v>1035</v>
      </c>
      <c r="D230" s="12" t="s">
        <v>1236</v>
      </c>
      <c r="E230" s="27" t="s">
        <v>378</v>
      </c>
    </row>
    <row r="231" customFormat="false" ht="16.5" hidden="false" customHeight="true" outlineLevel="0" collapsed="false">
      <c r="B231" s="27" t="n">
        <v>7</v>
      </c>
      <c r="C231" s="22" t="s">
        <v>1039</v>
      </c>
      <c r="D231" s="12" t="s">
        <v>1237</v>
      </c>
      <c r="E231" s="27" t="s">
        <v>538</v>
      </c>
    </row>
    <row r="232" customFormat="false" ht="16.5" hidden="false" customHeight="true" outlineLevel="0" collapsed="false">
      <c r="B232" s="27" t="n">
        <v>8</v>
      </c>
      <c r="C232" s="22" t="s">
        <v>1116</v>
      </c>
      <c r="D232" s="12" t="s">
        <v>1238</v>
      </c>
      <c r="E232" s="27" t="s">
        <v>538</v>
      </c>
    </row>
    <row r="233" customFormat="false" ht="16.5" hidden="false" customHeight="true" outlineLevel="0" collapsed="false">
      <c r="B233" s="27" t="n">
        <v>9</v>
      </c>
      <c r="C233" s="22" t="s">
        <v>1139</v>
      </c>
      <c r="D233" s="12" t="s">
        <v>1239</v>
      </c>
      <c r="E233" s="27" t="s">
        <v>640</v>
      </c>
    </row>
    <row r="234" customFormat="false" ht="15" hidden="false" customHeight="true" outlineLevel="0" collapsed="false">
      <c r="C234" s="40" t="s">
        <v>1043</v>
      </c>
    </row>
  </sheetData>
  <mergeCells count="54">
    <mergeCell ref="B2:J2"/>
    <mergeCell ref="B3:C3"/>
    <mergeCell ref="D3:E3"/>
    <mergeCell ref="B5:F5"/>
    <mergeCell ref="B6:F6"/>
    <mergeCell ref="E8:F8"/>
    <mergeCell ref="E9:F9"/>
    <mergeCell ref="E10:F10"/>
    <mergeCell ref="E11:F11"/>
    <mergeCell ref="E12:F12"/>
    <mergeCell ref="E13:F13"/>
    <mergeCell ref="E14:F14"/>
    <mergeCell ref="E15:F15"/>
    <mergeCell ref="E16:F16"/>
    <mergeCell ref="E17:F17"/>
    <mergeCell ref="E18:F18"/>
    <mergeCell ref="E19:F19"/>
    <mergeCell ref="E20:F20"/>
    <mergeCell ref="B24:F24"/>
    <mergeCell ref="B25:F25"/>
    <mergeCell ref="B26:F26"/>
    <mergeCell ref="B42:F42"/>
    <mergeCell ref="B43:F43"/>
    <mergeCell ref="B44:F44"/>
    <mergeCell ref="B60:F60"/>
    <mergeCell ref="B61:F61"/>
    <mergeCell ref="B62:F62"/>
    <mergeCell ref="B78:F78"/>
    <mergeCell ref="B79:F79"/>
    <mergeCell ref="B80:F80"/>
    <mergeCell ref="B96:F96"/>
    <mergeCell ref="B97:F97"/>
    <mergeCell ref="B98:F98"/>
    <mergeCell ref="B114:F114"/>
    <mergeCell ref="B115:F115"/>
    <mergeCell ref="B116:F116"/>
    <mergeCell ref="B132:F132"/>
    <mergeCell ref="B133:F133"/>
    <mergeCell ref="B134:F134"/>
    <mergeCell ref="B150:F150"/>
    <mergeCell ref="B151:F151"/>
    <mergeCell ref="B152:F152"/>
    <mergeCell ref="B168:F168"/>
    <mergeCell ref="B169:F169"/>
    <mergeCell ref="B170:F170"/>
    <mergeCell ref="B186:F186"/>
    <mergeCell ref="B187:F187"/>
    <mergeCell ref="B188:F188"/>
    <mergeCell ref="B202:F202"/>
    <mergeCell ref="B203:F203"/>
    <mergeCell ref="B204:F204"/>
    <mergeCell ref="B220:F220"/>
    <mergeCell ref="B221:F221"/>
    <mergeCell ref="B222:F222"/>
  </mergeCells>
  <hyperlinks>
    <hyperlink ref="B3" location="'N-03 Index DMAIC'!A1" display="← Back to Index"/>
    <hyperlink ref="C29" location="'H-02 SIPOC'!A1" display="H-02  SIPOC"/>
    <hyperlink ref="C30" location="'E-06 Data Collection Plan'!A1" display="E-06  Operational Definitions and Data Collection Plan"/>
    <hyperlink ref="C31" location="'E-59 Gage R and R'!A1" display="E-59  Gage R&amp;R: ANOVA and Range Methods"/>
    <hyperlink ref="C32" location="'E-03 Descriptive Stats'!A1" display="E-03  Descriptive Statistics: Centre and Spread"/>
    <hyperlink ref="C33" location="'E-50 Xbar-R Chart'!A1" display="E-50  Xbar-R Chart"/>
    <hyperlink ref="C34" location="'E-57 Process Capability'!A1" display="E-57  Cp, Cpk, Pp, Ppk and Cpm"/>
    <hyperlink ref="C35" location="'E-40 Multi-Vari Analysis'!A1" display="E-40  Multi-Vari Analysis"/>
    <hyperlink ref="C36" location="'E-26 One-Way ANOVA'!A1" display="E-26  One-Way ANOVA with Tukey HSD"/>
    <hyperlink ref="C37" location="'E-42 Full Factorial'!A1" display="E-42  Full Factorial Designs (2^k)"/>
    <hyperlink ref="C38" location="'H-16 Control and Reaction'!A1" display="H-16  Control Plan and Reaction Plan (OCAP)"/>
    <hyperlink ref="C39" location="'N-06 Index by Problem'!B8" display="↑ Back to the archetype list"/>
    <hyperlink ref="C47" location="'E-06 Data Collection Plan'!A1" display="E-06  Operational Definitions and Data Collection Plan"/>
    <hyperlink ref="C48" location="'E-59 Gage R and R'!A1" display="E-59  Gage R&amp;R: ANOVA and Range Methods"/>
    <hyperlink ref="C49" location="'E-03 Descriptive Stats'!A1" display="E-03  Descriptive Statistics: Centre and Spread"/>
    <hyperlink ref="C50" location="'E-15 CI Mean'!A1" display="E-15  Confidence Intervals for the Mean"/>
    <hyperlink ref="C51" location="'E-23 1-Sample t-Test'!A1" display="E-23  One-Sample t-Test"/>
    <hyperlink ref="C52" location="'E-57 Process Capability'!A1" display="E-57  Cp, Cpk, Pp, Ppk and Cpm"/>
    <hyperlink ref="C53" location="'G-02 Business Case COPQ'!A1" display="G-02  Business Case and Cost of Poor Quality"/>
    <hyperlink ref="C54" location="'L-14 Standard Work'!A1" display="L-14  Standard Work and Combination Sheet"/>
    <hyperlink ref="C55" location="'E-49 I-MR Chart'!A1" display="E-49  Individuals and Moving Range Chart"/>
    <hyperlink ref="C56" location="'H-16 Control and Reaction'!A1" display="H-16  Control Plan and Reaction Plan (OCAP)"/>
    <hyperlink ref="C57" location="'N-06 Index by Problem'!B8" display="↑ Back to the archetype list"/>
    <hyperlink ref="C65" location="'H-05 Check Sheets'!A1" display="H-05  Check Sheets and Data Collection Forms"/>
    <hyperlink ref="C66" location="'H-06 Pareto Analysis'!A1" display="H-06  Pareto Analysis"/>
    <hyperlink ref="C67" location="'H-09 Stratification'!A1" display="H-09  Stratification"/>
    <hyperlink ref="C68" location="'E-52 p and np Charts'!A1" display="E-52  p and np Charts"/>
    <hyperlink ref="C69" location="'E-29 Proportion Tests'!A1" display="E-29  One and Two Proportion Tests"/>
    <hyperlink ref="C70" location="'H-10 Ishikawa'!A1" display="H-10  Ishikawa / Fishbone Diagram"/>
    <hyperlink ref="C71" location="'H-11 5 Whys'!A1" display="H-11  5 Whys"/>
    <hyperlink ref="C72" location="'H-13 FMEA AIAG-VDA'!A1" display="H-13  FMEA (AIAG-VDA 2019, Action Priority)"/>
    <hyperlink ref="C73" location="'L-17 Poka-Yoke'!A1" display="L-17  Poka-Yoke (Mistake Proofing)"/>
    <hyperlink ref="C74" location="'H-16 Control and Reaction'!A1" display="H-16  Control Plan and Reaction Plan (OCAP)"/>
    <hyperlink ref="C75" location="'N-06 Index by Problem'!B8" display="↑ Back to the archetype list"/>
    <hyperlink ref="C83" location="'L-11 OEE'!A1" display="L-11  Overall Equipment Effectiveness"/>
    <hyperlink ref="C84" location="'H-05 Check Sheets'!A1" display="H-05  Check Sheets and Data Collection Forms"/>
    <hyperlink ref="C85" location="'H-06 Pareto Analysis'!A1" display="H-06  Pareto Analysis"/>
    <hyperlink ref="C86" location="'E-11 Poisson Distribution'!A1" display="E-11  Poisson Distribution (Defects per Unit)"/>
    <hyperlink ref="C87" location="'E-53 c and u Charts'!A1" display="E-53  c and u Charts"/>
    <hyperlink ref="C88" location="'H-09 Stratification'!A1" display="H-09  Stratification"/>
    <hyperlink ref="C89" location="'E-30 Chi-Square Tests'!A1" display="E-30  Chi-Square Tests and Fisher Exact"/>
    <hyperlink ref="C90" location="'H-11 5 Whys'!A1" display="H-11  5 Whys"/>
    <hyperlink ref="C91" location="'L-16 TPM'!A1" display="L-16  TPM and Autonomous Maintenance"/>
    <hyperlink ref="C92" location="'L-18 Jidoka and Andon'!A1" display="L-18  Jidoka and Andon"/>
    <hyperlink ref="C93" location="'N-06 Index by Problem'!B8" display="↑ Back to the archetype list"/>
    <hyperlink ref="C101" location="'L-15 SMED'!A1" display="L-15  SMED and Quick Changeover"/>
    <hyperlink ref="C102" location="'L-05 Spaghetti Diagram'!A1" display="L-05  Spaghetti Diagram"/>
    <hyperlink ref="C103" location="'L-22 Gemba Walk'!A1" display="L-22  Gemba Walk"/>
    <hyperlink ref="C104" location="'E-03 Descriptive Stats'!A1" display="E-03  Descriptive Statistics: Centre and Spread"/>
    <hyperlink ref="C105" location="'L-25 Solution Selection'!A1" display="L-25  Pugh Matrix, Impact-Effort, Weighted Criteria"/>
    <hyperlink ref="C106" location="'L-14 Standard Work'!A1" display="L-14  Standard Work and Combination Sheet"/>
    <hyperlink ref="C107" location="'E-24 2-Sample t-Test'!A1" display="E-24  Two-Sample t-Test (Welch and Pooled)"/>
    <hyperlink ref="C108" location="'E-49 I-MR Chart'!A1" display="E-49  Individuals and Moving Range Chart"/>
    <hyperlink ref="C109" location="'L-21 Kaizen Event'!A1" display="L-21  Kaizen Event Planning and Execution"/>
    <hyperlink ref="C110" location="'H-16 Control and Reaction'!A1" display="H-16  Control Plan and Reaction Plan (OCAP)"/>
    <hyperlink ref="C111" location="'N-06 Index by Problem'!B8" display="↑ Back to the archetype list"/>
    <hyperlink ref="C119" location="'H-02 SIPOC'!A1" display="H-02  SIPOC"/>
    <hyperlink ref="C120" location="'G-02 Business Case COPQ'!A1" display="G-02  Business Case and Cost of Poor Quality"/>
    <hyperlink ref="C121" location="'L-06 Value Added Analysis'!A1" display="L-06  Value-Added / Non-Value-Added Analysis"/>
    <hyperlink ref="C122" location="'H-06 Pareto Analysis'!A1" display="H-06  Pareto Analysis"/>
    <hyperlink ref="C123" location="'E-40 Multi-Vari Analysis'!A1" display="E-40  Multi-Vari Analysis"/>
    <hyperlink ref="C124" location="'E-36 Simple Regression'!A1" display="E-36  Simple Linear Regression"/>
    <hyperlink ref="C125" location="'E-42 Full Factorial'!A1" display="E-42  Full Factorial Designs (2^k)"/>
    <hyperlink ref="C126" location="'L-17 Poka-Yoke'!A1" display="L-17  Poka-Yoke (Mistake Proofing)"/>
    <hyperlink ref="C127" location="'E-49 I-MR Chart'!A1" display="E-49  Individuals and Moving Range Chart"/>
    <hyperlink ref="C128" location="'G-09 Benefit Validation'!A1" display="G-09  Financial Benefit Validation (Hard vs Soft)"/>
    <hyperlink ref="C129" location="'N-06 Index by Problem'!B8" display="↑ Back to the archetype list"/>
    <hyperlink ref="C137" location="'L-02 VSM Current State'!A1" display="L-02  Value Stream Map - Current State"/>
    <hyperlink ref="C138" location="'L-07 Takt Cycle Lead Time'!A1" display="L-07  Takt Time, Cycle Time and Lead Time"/>
    <hyperlink ref="C139" location="'L-09 Theory of Constraints'!A1" display="L-09  Theory of Constraints and Bottleneck Analysis"/>
    <hyperlink ref="C140" location="'L-08 Littles Law and WIP'!A1" display="L-08  Little's Law and Work in Process"/>
    <hyperlink ref="C141" location="'L-11 OEE'!A1" display="L-11  Overall Equipment Effectiveness"/>
    <hyperlink ref="C142" location="'L-10 Line Balancing'!A1" display="L-10  Line Balancing and Yamazumi"/>
    <hyperlink ref="C143" location="'L-03 VSM Future State'!A1" display="L-03  Value Stream Map - Future State"/>
    <hyperlink ref="C144" location="'L-19 Kanban Pull Systems'!A1" display="L-19  Pull Systems and Kanban"/>
    <hyperlink ref="C145" location="'L-26 Pilot and Confirmation'!A1" display="L-26  Pilot Design and Confirmation Run"/>
    <hyperlink ref="C146" location="'H-08 Run Chart'!A1" display="H-08  Run Chart and Trend Analysis"/>
    <hyperlink ref="C147" location="'N-06 Index by Problem'!B8" display="↑ Back to the archetype list"/>
    <hyperlink ref="C155" location="'H-15 8D Problem Solving'!A1" display="H-15  8D Problem Solving"/>
    <hyperlink ref="C156" location="'H-03 VOC and CTQ Tree'!A1" display="H-03  Voice of the Customer and CTQ Tree"/>
    <hyperlink ref="C157" location="'H-05 Check Sheets'!A1" display="H-05  Check Sheets and Data Collection Forms"/>
    <hyperlink ref="C158" location="'H-06 Pareto Analysis'!A1" display="H-06  Pareto Analysis"/>
    <hyperlink ref="C159" location="'H-10 Ishikawa'!A1" display="H-10  Ishikawa / Fishbone Diagram"/>
    <hyperlink ref="C160" location="'H-11 5 Whys'!A1" display="H-11  5 Whys"/>
    <hyperlink ref="C161" location="'E-30 Chi-Square Tests'!A1" display="E-30  Chi-Square Tests and Fisher Exact"/>
    <hyperlink ref="C162" location="'H-13 FMEA AIAG-VDA'!A1" display="H-13  FMEA (AIAG-VDA 2019, Action Priority)"/>
    <hyperlink ref="C163" location="'H-16 Control and Reaction'!A1" display="H-16  Control Plan and Reaction Plan (OCAP)"/>
    <hyperlink ref="C164" location="'G-10 Closure Replication'!A1" display="G-10  Closure, Handover, Lessons Learned, Replication"/>
    <hyperlink ref="C165" location="'N-06 Index by Problem'!B8" display="↑ Back to the archetype list"/>
    <hyperlink ref="C173" location="'E-06 Data Collection Plan'!A1" display="E-06  Operational Definitions and Data Collection Plan"/>
    <hyperlink ref="C174" location="'E-59 Gage R and R'!A1" display="E-59  Gage R&amp;R: ANOVA and Range Methods"/>
    <hyperlink ref="C175" location="'H-07 Histogram and Box Plot'!A1" display="H-07  Histogram and Box Plot"/>
    <hyperlink ref="C176" location="'E-32 Normality Testing'!A1" display="E-32  Normality Testing and Probability Plots"/>
    <hyperlink ref="C177" location="'E-28 Variance Tests'!A1" display="E-28  Tests for Variance: F, Levene, Bartlett"/>
    <hyperlink ref="C178" location="'E-26 One-Way ANOVA'!A1" display="E-26  One-Way ANOVA with Tukey HSD"/>
    <hyperlink ref="C179" location="'E-31 Nonparametric Tests'!A1" display="E-31  Nonparametric Tests"/>
    <hyperlink ref="C180" location="'E-40 Multi-Vari Analysis'!A1" display="E-40  Multi-Vari Analysis"/>
    <hyperlink ref="C181" location="'E-21 Statistical vs Practical'!A1" display="E-21  Statistical vs Practical Significance"/>
    <hyperlink ref="C182" location="'L-14 Standard Work'!A1" display="L-14  Standard Work and Combination Sheet"/>
    <hyperlink ref="C183" location="'N-06 Index by Problem'!B8" display="↑ Back to the archetype list"/>
    <hyperlink ref="C191" location="'E-06 Data Collection Plan'!A1" display="E-06  Operational Definitions and Data Collection Plan"/>
    <hyperlink ref="C192" location="'E-01 Data Types'!A1" display="E-01  Data Types and Measurement Scales"/>
    <hyperlink ref="C193" location="'E-20 Sample Size'!A1" display="E-20  Sample Size Determination"/>
    <hyperlink ref="C194" location="'E-59 Gage R and R'!A1" display="E-59  Gage R&amp;R: ANOVA and Range Methods"/>
    <hyperlink ref="C195" location="'E-60 MSA Bias Linearity'!A1" display="E-60  MSA: Bias, Linearity, Stability, Attribute Agreement"/>
    <hyperlink ref="C196" location="'L-14 Standard Work'!A1" display="L-14  Standard Work and Combination Sheet"/>
    <hyperlink ref="C197" location="'E-49 I-MR Chart'!A1" display="E-49  Individuals and Moving Range Chart"/>
    <hyperlink ref="C198" location="'H-16 Control and Reaction'!A1" display="H-16  Control Plan and Reaction Plan (OCAP)"/>
    <hyperlink ref="C199" location="'N-06 Index by Problem'!B8" display="↑ Back to the archetype list"/>
    <hyperlink ref="C207" location="'H-15 8D Problem Solving'!A1" display="H-15  8D Problem Solving"/>
    <hyperlink ref="C208" location="'H-05 Check Sheets'!A1" display="H-05  Check Sheets and Data Collection Forms"/>
    <hyperlink ref="C209" location="'H-06 Pareto Analysis'!A1" display="H-06  Pareto Analysis"/>
    <hyperlink ref="C210" location="'H-10 Ishikawa'!A1" display="H-10  Ishikawa / Fishbone Diagram"/>
    <hyperlink ref="C211" location="'H-11 5 Whys'!A1" display="H-11  5 Whys"/>
    <hyperlink ref="C212" location="'H-13 FMEA AIAG-VDA'!A1" display="H-13  FMEA (AIAG-VDA 2019, Action Priority)"/>
    <hyperlink ref="C213" location="'L-12 5S'!A1" display="L-12  5S and Workplace Organisation"/>
    <hyperlink ref="C214" location="'L-13 Visual Management'!A1" display="L-13  Visual Management"/>
    <hyperlink ref="C215" location="'L-17 Poka-Yoke'!A1" display="L-17  Poka-Yoke (Mistake Proofing)"/>
    <hyperlink ref="C216" location="'G-10 Closure Replication'!A1" display="G-10  Closure, Handover, Lessons Learned, Replication"/>
    <hyperlink ref="C217" location="'N-06 Index by Problem'!B8" display="↑ Back to the archetype list"/>
    <hyperlink ref="C225" location="'G-02 Business Case COPQ'!A1" display="G-02  Business Case and Cost of Poor Quality"/>
    <hyperlink ref="C226" location="'H-06 Pareto Analysis'!A1" display="H-06  Pareto Analysis"/>
    <hyperlink ref="C227" location="'E-03 Descriptive Stats'!A1" display="E-03  Descriptive Statistics: Centre and Spread"/>
    <hyperlink ref="C228" location="'E-49 I-MR Chart'!A1" display="E-49  Individuals and Moving Range Chart"/>
    <hyperlink ref="C229" location="'E-36 Simple Regression'!A1" display="E-36  Simple Linear Regression"/>
    <hyperlink ref="C230" location="'E-40 Multi-Vari Analysis'!A1" display="E-40  Multi-Vari Analysis"/>
    <hyperlink ref="C231" location="'E-42 Full Factorial'!A1" display="E-42  Full Factorial Designs (2^k)"/>
    <hyperlink ref="C232" location="'L-25 Solution Selection'!A1" display="L-25  Pugh Matrix, Impact-Effort, Weighted Criteria"/>
    <hyperlink ref="C233" location="'G-09 Benefit Validation'!A1" display="G-09  Financial Benefit Validation (Hard vs Soft)"/>
    <hyperlink ref="C234" location="'N-06 Index by Problem'!B8" display="↑ Back to the archetype lis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7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4" topLeftCell="A5" activePane="bottomLeft" state="frozen"/>
      <selection pane="topLeft" activeCell="A1" activeCellId="0" sqref="A1"/>
      <selection pane="bottomLeft" activeCell="E18" activeCellId="0" sqref="E18"/>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3" min="3" style="1" width="30"/>
    <col collapsed="false" customWidth="true" hidden="false" outlineLevel="0" max="4" min="4" style="1" width="62"/>
    <col collapsed="false" customWidth="true" hidden="false" outlineLevel="0" max="5" min="5" style="1" width="12"/>
    <col collapsed="false" customWidth="true" hidden="false" outlineLevel="0" max="6" min="6" style="1" width="16"/>
    <col collapsed="false" customWidth="true" hidden="false" outlineLevel="0" max="10" min="7" style="1" width="14"/>
    <col collapsed="false" customWidth="true" hidden="false" outlineLevel="0" max="11" min="11" style="1" width="24"/>
  </cols>
  <sheetData>
    <row r="1" customFormat="false" ht="15" hidden="false" customHeight="true" outlineLevel="0" collapsed="false">
      <c r="A1" s="2" t="s">
        <v>0</v>
      </c>
    </row>
    <row r="2" customFormat="false" ht="22.5" hidden="false" customHeight="true" outlineLevel="0" collapsed="false">
      <c r="B2" s="3" t="s">
        <v>1240</v>
      </c>
      <c r="C2" s="3"/>
      <c r="D2" s="3"/>
      <c r="E2" s="3"/>
      <c r="F2" s="3"/>
      <c r="G2" s="3"/>
      <c r="H2" s="3"/>
      <c r="I2" s="3"/>
      <c r="J2" s="3"/>
      <c r="K2" s="4" t="s">
        <v>2</v>
      </c>
    </row>
    <row r="3" customFormat="false" ht="28.5" hidden="false" customHeight="true" outlineLevel="0" collapsed="false">
      <c r="B3" s="5" t="s">
        <v>3</v>
      </c>
      <c r="D3" s="6" t="s">
        <v>1241</v>
      </c>
      <c r="E3" s="6"/>
      <c r="F3" s="6"/>
    </row>
    <row r="5" customFormat="false" ht="17.25" hidden="false" customHeight="true" outlineLevel="0" collapsed="false">
      <c r="B5" s="34" t="s">
        <v>1242</v>
      </c>
      <c r="C5" s="34"/>
      <c r="D5" s="34"/>
    </row>
    <row r="6" customFormat="false" ht="17.25" hidden="false" customHeight="true" outlineLevel="0" collapsed="false">
      <c r="B6" s="9" t="s">
        <v>1243</v>
      </c>
      <c r="C6" s="9"/>
      <c r="D6" s="9"/>
    </row>
    <row r="8" customFormat="false" ht="15" hidden="false" customHeight="true" outlineLevel="0" collapsed="false">
      <c r="B8" s="19" t="s">
        <v>85</v>
      </c>
      <c r="C8" s="41" t="s">
        <v>86</v>
      </c>
    </row>
    <row r="10" customFormat="false" ht="15.75" hidden="false" customHeight="true" outlineLevel="0" collapsed="false">
      <c r="B10" s="7" t="s">
        <v>1244</v>
      </c>
      <c r="C10" s="8"/>
      <c r="D10" s="8"/>
      <c r="E10" s="8"/>
      <c r="F10" s="8"/>
    </row>
    <row r="11" customFormat="false" ht="16.5" hidden="false" customHeight="true" outlineLevel="0" collapsed="false">
      <c r="B11" s="11" t="s">
        <v>1245</v>
      </c>
      <c r="C11" s="11" t="s">
        <v>1246</v>
      </c>
      <c r="D11" s="11" t="s">
        <v>1247</v>
      </c>
      <c r="E11" s="11" t="s">
        <v>1248</v>
      </c>
    </row>
    <row r="12" customFormat="false" ht="16.5" hidden="false" customHeight="true" outlineLevel="0" collapsed="false">
      <c r="B12" s="12" t="s">
        <v>1249</v>
      </c>
      <c r="C12" s="22" t="s">
        <v>1250</v>
      </c>
      <c r="D12" s="12" t="s">
        <v>1251</v>
      </c>
      <c r="E12" s="19" t="s">
        <v>98</v>
      </c>
    </row>
    <row r="13" customFormat="false" ht="16.5" hidden="false" customHeight="true" outlineLevel="0" collapsed="false">
      <c r="B13" s="12" t="s">
        <v>1252</v>
      </c>
      <c r="C13" s="22" t="s">
        <v>1056</v>
      </c>
      <c r="D13" s="12" t="s">
        <v>1253</v>
      </c>
      <c r="E13" s="19" t="s">
        <v>98</v>
      </c>
    </row>
    <row r="14" customFormat="false" ht="16.5" hidden="false" customHeight="true" outlineLevel="0" collapsed="false">
      <c r="B14" s="12" t="s">
        <v>1254</v>
      </c>
      <c r="C14" s="22" t="s">
        <v>1023</v>
      </c>
      <c r="D14" s="12" t="s">
        <v>1255</v>
      </c>
      <c r="E14" s="19" t="s">
        <v>98</v>
      </c>
    </row>
    <row r="15" customFormat="false" ht="16.5" hidden="false" customHeight="true" outlineLevel="0" collapsed="false">
      <c r="B15" s="12" t="s">
        <v>1256</v>
      </c>
      <c r="C15" s="22" t="s">
        <v>1169</v>
      </c>
      <c r="D15" s="12" t="s">
        <v>1257</v>
      </c>
      <c r="E15" s="19" t="s">
        <v>98</v>
      </c>
    </row>
    <row r="16" customFormat="false" ht="16.5" hidden="false" customHeight="true" outlineLevel="0" collapsed="false">
      <c r="B16" s="12" t="s">
        <v>1258</v>
      </c>
      <c r="C16" s="22" t="s">
        <v>1259</v>
      </c>
      <c r="D16" s="12" t="s">
        <v>1260</v>
      </c>
      <c r="E16" s="19" t="s">
        <v>98</v>
      </c>
    </row>
    <row r="17" customFormat="false" ht="16.5" hidden="false" customHeight="true" outlineLevel="0" collapsed="false">
      <c r="B17" s="12" t="s">
        <v>1261</v>
      </c>
      <c r="C17" s="22" t="s">
        <v>1262</v>
      </c>
      <c r="D17" s="12" t="s">
        <v>1263</v>
      </c>
      <c r="E17" s="19" t="s">
        <v>98</v>
      </c>
    </row>
    <row r="18" customFormat="false" ht="16.5" hidden="false" customHeight="true" outlineLevel="0" collapsed="false">
      <c r="B18" s="12" t="s">
        <v>1264</v>
      </c>
      <c r="C18" s="22" t="s">
        <v>1265</v>
      </c>
      <c r="D18" s="12" t="s">
        <v>1266</v>
      </c>
      <c r="E18" s="19" t="s">
        <v>98</v>
      </c>
    </row>
    <row r="19" customFormat="false" ht="15.75" hidden="false" customHeight="true" outlineLevel="0" collapsed="false">
      <c r="B19" s="10" t="s">
        <v>1267</v>
      </c>
      <c r="D19" s="42" t="str">
        <f aca="false">IF(E19=1,"TOLLGATE PASSED - phase may be closed",IF(E19&gt;=0.8,"NEARLY THERE - close the remaining gaps","NOT READY - do not book the review yet"))</f>
        <v>NOT READY - do not book the review yet</v>
      </c>
      <c r="E19" s="43" t="n">
        <f aca="false">IFERROR(COUNTIF(E12:E18,"Yes")/COUNTA(E12:E18),0)</f>
        <v>0</v>
      </c>
    </row>
    <row r="21" customFormat="false" ht="15.75" hidden="false" customHeight="true" outlineLevel="0" collapsed="false">
      <c r="B21" s="7" t="s">
        <v>1268</v>
      </c>
      <c r="C21" s="8"/>
      <c r="D21" s="8"/>
      <c r="E21" s="8"/>
      <c r="F21" s="8"/>
    </row>
    <row r="22" customFormat="false" ht="16.5" hidden="false" customHeight="true" outlineLevel="0" collapsed="false">
      <c r="B22" s="11" t="s">
        <v>1245</v>
      </c>
      <c r="C22" s="11" t="s">
        <v>1246</v>
      </c>
      <c r="D22" s="11" t="s">
        <v>1247</v>
      </c>
      <c r="E22" s="11" t="s">
        <v>1248</v>
      </c>
    </row>
    <row r="23" customFormat="false" ht="16.5" hidden="false" customHeight="true" outlineLevel="0" collapsed="false">
      <c r="B23" s="12" t="s">
        <v>1269</v>
      </c>
      <c r="C23" s="22" t="s">
        <v>1270</v>
      </c>
      <c r="D23" s="12" t="s">
        <v>1271</v>
      </c>
      <c r="E23" s="19" t="s">
        <v>98</v>
      </c>
    </row>
    <row r="24" customFormat="false" ht="16.5" hidden="false" customHeight="true" outlineLevel="0" collapsed="false">
      <c r="B24" s="12" t="s">
        <v>1272</v>
      </c>
      <c r="C24" s="22" t="s">
        <v>1025</v>
      </c>
      <c r="D24" s="12" t="s">
        <v>1273</v>
      </c>
      <c r="E24" s="19" t="s">
        <v>98</v>
      </c>
    </row>
    <row r="25" customFormat="false" ht="16.5" hidden="false" customHeight="true" outlineLevel="0" collapsed="false">
      <c r="B25" s="12" t="s">
        <v>1274</v>
      </c>
      <c r="C25" s="22" t="s">
        <v>1027</v>
      </c>
      <c r="D25" s="12" t="s">
        <v>1275</v>
      </c>
      <c r="E25" s="19" t="s">
        <v>98</v>
      </c>
    </row>
    <row r="26" customFormat="false" ht="16.5" hidden="false" customHeight="true" outlineLevel="0" collapsed="false">
      <c r="B26" s="12" t="s">
        <v>1276</v>
      </c>
      <c r="C26" s="22" t="s">
        <v>973</v>
      </c>
      <c r="D26" s="12" t="s">
        <v>1277</v>
      </c>
      <c r="E26" s="19" t="s">
        <v>98</v>
      </c>
    </row>
    <row r="27" customFormat="false" ht="16.5" hidden="false" customHeight="true" outlineLevel="0" collapsed="false">
      <c r="B27" s="12" t="s">
        <v>1278</v>
      </c>
      <c r="C27" s="22" t="s">
        <v>1029</v>
      </c>
      <c r="D27" s="12" t="s">
        <v>1279</v>
      </c>
      <c r="E27" s="19" t="s">
        <v>98</v>
      </c>
    </row>
    <row r="28" customFormat="false" ht="16.5" hidden="false" customHeight="true" outlineLevel="0" collapsed="false">
      <c r="B28" s="12" t="s">
        <v>1280</v>
      </c>
      <c r="C28" s="22" t="s">
        <v>1060</v>
      </c>
      <c r="D28" s="12" t="s">
        <v>1281</v>
      </c>
      <c r="E28" s="19" t="s">
        <v>98</v>
      </c>
    </row>
    <row r="29" customFormat="false" ht="16.5" hidden="false" customHeight="true" outlineLevel="0" collapsed="false">
      <c r="B29" s="12" t="s">
        <v>1282</v>
      </c>
      <c r="C29" s="22" t="s">
        <v>1033</v>
      </c>
      <c r="D29" s="12" t="s">
        <v>1283</v>
      </c>
      <c r="E29" s="19" t="s">
        <v>98</v>
      </c>
    </row>
    <row r="30" customFormat="false" ht="15.75" hidden="false" customHeight="true" outlineLevel="0" collapsed="false">
      <c r="B30" s="10" t="s">
        <v>1267</v>
      </c>
      <c r="D30" s="42" t="str">
        <f aca="false">IF(E30=1,"TOLLGATE PASSED - phase may be closed",IF(E30&gt;=0.8,"NEARLY THERE - close the remaining gaps","NOT READY - do not book the review yet"))</f>
        <v>NOT READY - do not book the review yet</v>
      </c>
      <c r="E30" s="43" t="n">
        <f aca="false">IFERROR(COUNTIF(E23:E29,"Yes")/COUNTA(E23:E29),0)</f>
        <v>0</v>
      </c>
    </row>
    <row r="32" customFormat="false" ht="15.75" hidden="false" customHeight="true" outlineLevel="0" collapsed="false">
      <c r="B32" s="7" t="s">
        <v>1284</v>
      </c>
      <c r="C32" s="8"/>
      <c r="D32" s="8"/>
      <c r="E32" s="8"/>
      <c r="F32" s="8"/>
    </row>
    <row r="33" customFormat="false" ht="16.5" hidden="false" customHeight="true" outlineLevel="0" collapsed="false">
      <c r="B33" s="11" t="s">
        <v>1245</v>
      </c>
      <c r="C33" s="11" t="s">
        <v>1246</v>
      </c>
      <c r="D33" s="11" t="s">
        <v>1247</v>
      </c>
      <c r="E33" s="11" t="s">
        <v>1248</v>
      </c>
    </row>
    <row r="34" customFormat="false" ht="16.5" hidden="false" customHeight="true" outlineLevel="0" collapsed="false">
      <c r="B34" s="12" t="s">
        <v>1285</v>
      </c>
      <c r="C34" s="22" t="s">
        <v>1076</v>
      </c>
      <c r="D34" s="12" t="s">
        <v>1286</v>
      </c>
      <c r="E34" s="19" t="s">
        <v>98</v>
      </c>
    </row>
    <row r="35" customFormat="false" ht="16.5" hidden="false" customHeight="true" outlineLevel="0" collapsed="false">
      <c r="B35" s="12" t="s">
        <v>1287</v>
      </c>
      <c r="C35" s="22" t="s">
        <v>1288</v>
      </c>
      <c r="D35" s="12" t="s">
        <v>1289</v>
      </c>
      <c r="E35" s="19" t="s">
        <v>98</v>
      </c>
    </row>
    <row r="36" customFormat="false" ht="16.5" hidden="false" customHeight="true" outlineLevel="0" collapsed="false">
      <c r="B36" s="12" t="s">
        <v>1290</v>
      </c>
      <c r="C36" s="22" t="s">
        <v>1070</v>
      </c>
      <c r="D36" s="12" t="s">
        <v>1291</v>
      </c>
      <c r="E36" s="19" t="s">
        <v>98</v>
      </c>
    </row>
    <row r="37" customFormat="false" ht="16.5" hidden="false" customHeight="true" outlineLevel="0" collapsed="false">
      <c r="B37" s="12" t="s">
        <v>1292</v>
      </c>
      <c r="C37" s="22" t="s">
        <v>1293</v>
      </c>
      <c r="D37" s="12" t="s">
        <v>1294</v>
      </c>
      <c r="E37" s="19" t="s">
        <v>98</v>
      </c>
    </row>
    <row r="38" customFormat="false" ht="16.5" hidden="false" customHeight="true" outlineLevel="0" collapsed="false">
      <c r="B38" s="12" t="s">
        <v>1295</v>
      </c>
      <c r="C38" s="22" t="s">
        <v>964</v>
      </c>
      <c r="D38" s="12" t="s">
        <v>1296</v>
      </c>
      <c r="E38" s="19" t="s">
        <v>98</v>
      </c>
    </row>
    <row r="39" customFormat="false" ht="16.5" hidden="false" customHeight="true" outlineLevel="0" collapsed="false">
      <c r="B39" s="12" t="s">
        <v>1297</v>
      </c>
      <c r="C39" s="22" t="s">
        <v>1078</v>
      </c>
      <c r="D39" s="12" t="s">
        <v>1298</v>
      </c>
      <c r="E39" s="19" t="s">
        <v>98</v>
      </c>
    </row>
    <row r="40" customFormat="false" ht="16.5" hidden="false" customHeight="true" outlineLevel="0" collapsed="false">
      <c r="B40" s="12" t="s">
        <v>1299</v>
      </c>
      <c r="C40" s="22" t="s">
        <v>1194</v>
      </c>
      <c r="D40" s="12" t="s">
        <v>1300</v>
      </c>
      <c r="E40" s="19" t="s">
        <v>98</v>
      </c>
    </row>
    <row r="41" customFormat="false" ht="15.75" hidden="false" customHeight="true" outlineLevel="0" collapsed="false">
      <c r="B41" s="10" t="s">
        <v>1267</v>
      </c>
      <c r="D41" s="42" t="str">
        <f aca="false">IF(E41=1,"TOLLGATE PASSED - phase may be closed",IF(E41&gt;=0.8,"NEARLY THERE - close the remaining gaps","NOT READY - do not book the review yet"))</f>
        <v>NOT READY - do not book the review yet</v>
      </c>
      <c r="E41" s="43" t="n">
        <f aca="false">IFERROR(COUNTIF(E34:E40,"Yes")/COUNTA(E34:E40),0)</f>
        <v>0</v>
      </c>
    </row>
    <row r="43" customFormat="false" ht="15.75" hidden="false" customHeight="true" outlineLevel="0" collapsed="false">
      <c r="B43" s="7" t="s">
        <v>1301</v>
      </c>
      <c r="C43" s="8"/>
      <c r="D43" s="8"/>
      <c r="E43" s="8"/>
      <c r="F43" s="8"/>
    </row>
    <row r="44" customFormat="false" ht="16.5" hidden="false" customHeight="true" outlineLevel="0" collapsed="false">
      <c r="B44" s="11" t="s">
        <v>1245</v>
      </c>
      <c r="C44" s="11" t="s">
        <v>1246</v>
      </c>
      <c r="D44" s="11" t="s">
        <v>1247</v>
      </c>
      <c r="E44" s="11" t="s">
        <v>1248</v>
      </c>
    </row>
    <row r="45" customFormat="false" ht="16.5" hidden="false" customHeight="true" outlineLevel="0" collapsed="false">
      <c r="B45" s="12" t="s">
        <v>1302</v>
      </c>
      <c r="C45" s="22" t="s">
        <v>1303</v>
      </c>
      <c r="D45" s="12" t="s">
        <v>1304</v>
      </c>
      <c r="E45" s="19" t="s">
        <v>98</v>
      </c>
    </row>
    <row r="46" customFormat="false" ht="16.5" hidden="false" customHeight="true" outlineLevel="0" collapsed="false">
      <c r="B46" s="12" t="s">
        <v>1305</v>
      </c>
      <c r="C46" s="22" t="s">
        <v>1116</v>
      </c>
      <c r="D46" s="12" t="s">
        <v>1306</v>
      </c>
      <c r="E46" s="19" t="s">
        <v>98</v>
      </c>
    </row>
    <row r="47" customFormat="false" ht="16.5" hidden="false" customHeight="true" outlineLevel="0" collapsed="false">
      <c r="B47" s="12" t="s">
        <v>1307</v>
      </c>
      <c r="C47" s="22" t="s">
        <v>1039</v>
      </c>
      <c r="D47" s="12" t="s">
        <v>1308</v>
      </c>
      <c r="E47" s="19" t="s">
        <v>98</v>
      </c>
    </row>
    <row r="48" customFormat="false" ht="16.5" hidden="false" customHeight="true" outlineLevel="0" collapsed="false">
      <c r="B48" s="12" t="s">
        <v>1309</v>
      </c>
      <c r="C48" s="22" t="s">
        <v>1080</v>
      </c>
      <c r="D48" s="12" t="s">
        <v>1310</v>
      </c>
      <c r="E48" s="19" t="s">
        <v>98</v>
      </c>
    </row>
    <row r="49" customFormat="false" ht="16.5" hidden="false" customHeight="true" outlineLevel="0" collapsed="false">
      <c r="B49" s="12" t="s">
        <v>1311</v>
      </c>
      <c r="C49" s="22" t="s">
        <v>1159</v>
      </c>
      <c r="D49" s="12" t="s">
        <v>1312</v>
      </c>
      <c r="E49" s="19" t="s">
        <v>98</v>
      </c>
    </row>
    <row r="50" customFormat="false" ht="16.5" hidden="false" customHeight="true" outlineLevel="0" collapsed="false">
      <c r="B50" s="12" t="s">
        <v>1313</v>
      </c>
      <c r="C50" s="22" t="s">
        <v>1119</v>
      </c>
      <c r="D50" s="12" t="s">
        <v>1314</v>
      </c>
      <c r="E50" s="19" t="s">
        <v>98</v>
      </c>
    </row>
    <row r="51" customFormat="false" ht="16.5" hidden="false" customHeight="true" outlineLevel="0" collapsed="false">
      <c r="B51" s="12" t="s">
        <v>1315</v>
      </c>
      <c r="C51" s="22" t="s">
        <v>1316</v>
      </c>
      <c r="D51" s="12" t="s">
        <v>1317</v>
      </c>
      <c r="E51" s="19" t="s">
        <v>98</v>
      </c>
    </row>
    <row r="52" customFormat="false" ht="15.75" hidden="false" customHeight="true" outlineLevel="0" collapsed="false">
      <c r="B52" s="10" t="s">
        <v>1267</v>
      </c>
      <c r="D52" s="42" t="str">
        <f aca="false">IF(E52=1,"TOLLGATE PASSED - phase may be closed",IF(E52&gt;=0.8,"NEARLY THERE - close the remaining gaps","NOT READY - do not book the review yet"))</f>
        <v>NOT READY - do not book the review yet</v>
      </c>
      <c r="E52" s="43" t="n">
        <f aca="false">IFERROR(COUNTIF(E45:E51,"Yes")/COUNTA(E45:E51),0)</f>
        <v>0</v>
      </c>
    </row>
    <row r="54" customFormat="false" ht="15.75" hidden="false" customHeight="true" outlineLevel="0" collapsed="false">
      <c r="B54" s="7" t="s">
        <v>1318</v>
      </c>
      <c r="C54" s="8"/>
      <c r="D54" s="8"/>
      <c r="E54" s="8"/>
      <c r="F54" s="8"/>
    </row>
    <row r="55" customFormat="false" ht="16.5" hidden="false" customHeight="true" outlineLevel="0" collapsed="false">
      <c r="B55" s="11" t="s">
        <v>1245</v>
      </c>
      <c r="C55" s="11" t="s">
        <v>1246</v>
      </c>
      <c r="D55" s="11" t="s">
        <v>1247</v>
      </c>
      <c r="E55" s="11" t="s">
        <v>1248</v>
      </c>
    </row>
    <row r="56" customFormat="false" ht="16.5" hidden="false" customHeight="true" outlineLevel="0" collapsed="false">
      <c r="B56" s="12" t="s">
        <v>1319</v>
      </c>
      <c r="C56" s="22" t="s">
        <v>1041</v>
      </c>
      <c r="D56" s="12" t="s">
        <v>1320</v>
      </c>
      <c r="E56" s="19" t="s">
        <v>98</v>
      </c>
    </row>
    <row r="57" customFormat="false" ht="16.5" hidden="false" customHeight="true" outlineLevel="0" collapsed="false">
      <c r="B57" s="12" t="s">
        <v>1321</v>
      </c>
      <c r="C57" s="22" t="s">
        <v>1041</v>
      </c>
      <c r="D57" s="12" t="s">
        <v>1322</v>
      </c>
      <c r="E57" s="19" t="s">
        <v>98</v>
      </c>
    </row>
    <row r="58" customFormat="false" ht="16.5" hidden="false" customHeight="true" outlineLevel="0" collapsed="false">
      <c r="B58" s="12" t="s">
        <v>1323</v>
      </c>
      <c r="C58" s="22" t="s">
        <v>1058</v>
      </c>
      <c r="D58" s="12" t="s">
        <v>1324</v>
      </c>
      <c r="E58" s="19" t="s">
        <v>98</v>
      </c>
    </row>
    <row r="59" customFormat="false" ht="16.5" hidden="false" customHeight="true" outlineLevel="0" collapsed="false">
      <c r="B59" s="12" t="s">
        <v>1325</v>
      </c>
      <c r="C59" s="22" t="s">
        <v>1326</v>
      </c>
      <c r="D59" s="12" t="s">
        <v>1327</v>
      </c>
      <c r="E59" s="19" t="s">
        <v>98</v>
      </c>
    </row>
    <row r="60" customFormat="false" ht="16.5" hidden="false" customHeight="true" outlineLevel="0" collapsed="false">
      <c r="B60" s="12" t="s">
        <v>1328</v>
      </c>
      <c r="C60" s="22" t="s">
        <v>1223</v>
      </c>
      <c r="D60" s="12" t="s">
        <v>1329</v>
      </c>
      <c r="E60" s="19" t="s">
        <v>98</v>
      </c>
    </row>
    <row r="61" customFormat="false" ht="16.5" hidden="false" customHeight="true" outlineLevel="0" collapsed="false">
      <c r="B61" s="12" t="s">
        <v>1330</v>
      </c>
      <c r="C61" s="22" t="s">
        <v>1139</v>
      </c>
      <c r="D61" s="12" t="s">
        <v>1331</v>
      </c>
      <c r="E61" s="19" t="s">
        <v>98</v>
      </c>
    </row>
    <row r="62" customFormat="false" ht="16.5" hidden="false" customHeight="true" outlineLevel="0" collapsed="false">
      <c r="B62" s="12" t="s">
        <v>893</v>
      </c>
      <c r="C62" s="22" t="s">
        <v>1178</v>
      </c>
      <c r="D62" s="12" t="s">
        <v>1332</v>
      </c>
      <c r="E62" s="19" t="s">
        <v>98</v>
      </c>
    </row>
    <row r="63" customFormat="false" ht="15.75" hidden="false" customHeight="true" outlineLevel="0" collapsed="false">
      <c r="B63" s="10" t="s">
        <v>1267</v>
      </c>
      <c r="D63" s="42" t="str">
        <f aca="false">IF(E63=1,"TOLLGATE PASSED - phase may be closed",IF(E63&gt;=0.8,"NEARLY THERE - close the remaining gaps","NOT READY - do not book the review yet"))</f>
        <v>NOT READY - do not book the review yet</v>
      </c>
      <c r="E63" s="43" t="n">
        <f aca="false">IFERROR(COUNTIF(E56:E62,"Yes")/COUNTA(E56:E62),0)</f>
        <v>0</v>
      </c>
    </row>
    <row r="65" customFormat="false" ht="15.75" hidden="false" customHeight="true" outlineLevel="0" collapsed="false">
      <c r="B65" s="7" t="s">
        <v>1333</v>
      </c>
      <c r="C65" s="8"/>
      <c r="D65" s="8"/>
      <c r="E65" s="8"/>
      <c r="F65" s="8"/>
    </row>
    <row r="67" customFormat="false" ht="15" hidden="false" customHeight="true" outlineLevel="0" collapsed="false">
      <c r="B67" s="10" t="s">
        <v>1334</v>
      </c>
      <c r="E67" s="44" t="n">
        <f aca="false">COUNTIF(E12:E18,"Yes")+COUNTIF(E23:E29,"Yes")+COUNTIF(E34:E40,"Yes")+COUNTIF(E45:E51,"Yes")+COUNTIF(E56:E62,"Yes")</f>
        <v>0</v>
      </c>
    </row>
    <row r="68" customFormat="false" ht="15.75" hidden="false" customHeight="true" outlineLevel="0" collapsed="false">
      <c r="B68" s="10" t="s">
        <v>1335</v>
      </c>
      <c r="D68" s="42" t="str">
        <f aca="false">IF(E68=1,"PROJECT COMPLETE - proceed to closure on G-10",IF(E68&gt;=0.6,"ON TRACK - keep the tollgate discipline","EARLY STAGE - do not skip Measure to reach Improve faster"))</f>
        <v>EARLY STAGE - do not skip Measure to reach Improve faster</v>
      </c>
      <c r="E68" s="43" t="n">
        <f aca="false">IFERROR((COUNTIF(E12:E18,"Yes")+COUNTIF(E23:E29,"Yes")+COUNTIF(E34:E40,"Yes")+COUNTIF(E45:E51,"Yes")+COUNTIF(E56:E62,"Yes"))/35,0)</f>
        <v>0</v>
      </c>
    </row>
    <row r="70" customFormat="false" ht="15.75" hidden="false" customHeight="true" outlineLevel="0" collapsed="false">
      <c r="B70" s="16" t="s">
        <v>1336</v>
      </c>
      <c r="C70" s="16"/>
      <c r="D70" s="16"/>
    </row>
  </sheetData>
  <mergeCells count="5">
    <mergeCell ref="B2:J2"/>
    <mergeCell ref="D3:F3"/>
    <mergeCell ref="B5:D5"/>
    <mergeCell ref="B6:D6"/>
    <mergeCell ref="B70:D70"/>
  </mergeCells>
  <dataValidations count="1">
    <dataValidation allowBlank="true" errorStyle="stop" operator="between" showDropDown="false" showErrorMessage="false" showInputMessage="false" sqref="E12:E18 E23:E29 E34:E40 E45:E51 E56:E62" type="list">
      <formula1>"Yes,No"</formula1>
      <formula2>0</formula2>
    </dataValidation>
  </dataValidations>
  <hyperlinks>
    <hyperlink ref="B3" location="'N-03 Index DMAIC'!A1" display="← Back to Index"/>
    <hyperlink ref="C12" location="'H-01 Project Charter'!A1" display="H-01  Project Charter"/>
    <hyperlink ref="C13" location="'G-02 Business Case COPQ'!A1" display="G-02  Business Case and Cost of Poor Quality"/>
    <hyperlink ref="C14" location="'H-02 SIPOC'!A1" display="H-02  SIPOC"/>
    <hyperlink ref="C15" location="'H-03 VOC and CTQ Tree'!A1" display="H-03  Voice of the Customer and CTQ Tree"/>
    <hyperlink ref="C16" location="'G-03 Stakeholder Analysis'!A1" display="G-03  Stakeholder Analysis"/>
    <hyperlink ref="C17" location="'G-04 RACI Matrix'!A1" display="G-04  RACI Matrix"/>
    <hyperlink ref="C18" location="'G-07 Risk Register'!A1" display="G-07  Project Risk Register"/>
    <hyperlink ref="C23" location="'L-04 Process Mapping'!A1" display="L-04  Process Mapping and Swimlane Flowcharts"/>
    <hyperlink ref="C24" location="'E-06 Data Collection Plan'!A1" display="E-06  Operational Definitions and Data Collection Plan"/>
    <hyperlink ref="C25" location="'E-59 Gage R and R'!A1" display="E-59  Gage R&amp;R: ANOVA and Range Methods"/>
    <hyperlink ref="C26" location="'E-20 Sample Size'!A1" display="E-20  Sample Size Determination"/>
    <hyperlink ref="C27" location="'E-03 Descriptive Stats'!A1" display="E-03  Descriptive Statistics: Centre and Spread"/>
    <hyperlink ref="C28" location="'E-49 I-MR Chart'!A1" display="E-49  Individuals and Moving Range Chart"/>
    <hyperlink ref="C29" location="'E-57 Process Capability'!A1" display="E-57  Cp, Cpk, Pp, Ppk and Cpm"/>
    <hyperlink ref="C34" location="'H-10 Ishikawa'!A1" display="H-10  Ishikawa / Fishbone Diagram"/>
    <hyperlink ref="C35" location="'H-12 Cause Effect Matrix'!A1" display="H-12  Cause and Effect (X-Y) Matrix"/>
    <hyperlink ref="C36" location="'H-09 Stratification'!A1" display="H-09  Stratification"/>
    <hyperlink ref="C37" location="'E-22 Test Selection Roadmap'!A1" display="E-22  Hypothesis Test Selection Roadmap"/>
    <hyperlink ref="C38" location="'E-32 Normality Testing'!A1" display="E-32  Normality Testing and Probability Plots"/>
    <hyperlink ref="C39" location="'H-11 5 Whys'!A1" display="H-11  5 Whys"/>
    <hyperlink ref="C40" location="'E-21 Statistical vs Practical'!A1" display="E-21  Statistical vs Practical Significance"/>
    <hyperlink ref="C45" location="'L-24 Idea Generation'!A1" display="L-24  Idea Generation: Brainwriting, SCAMPER"/>
    <hyperlink ref="C46" location="'L-25 Solution Selection'!A1" display="L-25  Pugh Matrix, Impact-Effort, Weighted Criteria"/>
    <hyperlink ref="C47" location="'E-42 Full Factorial'!A1" display="E-42  Full Factorial Designs (2^k)"/>
    <hyperlink ref="C48" location="'H-13 FMEA AIAG-VDA'!A1" display="H-13  FMEA (AIAG-VDA 2019, Action Priority)"/>
    <hyperlink ref="C49" location="'L-26 Pilot and Confirmation'!A1" display="L-26  Pilot Design and Confirmation Run"/>
    <hyperlink ref="C50" location="'E-24 2-Sample t-Test'!A1" display="E-24  Two-Sample t-Test (Welch and Pooled)"/>
    <hyperlink ref="C51" location="'G-06 Change Management'!A1" display="G-06  Change Management and Resistance (ADKAR)"/>
    <hyperlink ref="C56" location="'H-16 Control and Reaction'!A1" display="H-16  Control Plan and Reaction Plan (OCAP)"/>
    <hyperlink ref="C57" location="'H-16 Control and Reaction'!A1" display="H-16  Control Plan and Reaction Plan (OCAP)"/>
    <hyperlink ref="C58" location="'L-14 Standard Work'!A1" display="L-14  Standard Work and Combination Sheet"/>
    <hyperlink ref="C59" location="'E-48 Chart Selection Tree'!A1" display="E-48  Control Chart Selection Tree"/>
    <hyperlink ref="C60" location="'L-13 Visual Management'!A1" display="L-13  Visual Management"/>
    <hyperlink ref="C61" location="'G-09 Benefit Validation'!A1" display="G-09  Financial Benefit Validation (Hard vs Soft)"/>
    <hyperlink ref="C62" location="'G-10 Closure Replication'!A1" display="G-10  Closure, Handover, Lessons Learned, Replic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F25" activeCellId="0" sqref="F25"/>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3" min="3" style="1" width="46"/>
    <col collapsed="false" customWidth="true" hidden="false" outlineLevel="0" max="4" min="4" style="1" width="26"/>
    <col collapsed="false" customWidth="true" hidden="false" outlineLevel="0" max="5" min="5" style="1" width="40"/>
    <col collapsed="false" customWidth="true" hidden="false" outlineLevel="0" max="6" min="6" style="1" width="30"/>
    <col collapsed="false" customWidth="true" hidden="false" outlineLevel="0" max="7" min="7" style="1" width="16"/>
    <col collapsed="false" customWidth="true" hidden="false" outlineLevel="0" max="10" min="8" style="1" width="14"/>
    <col collapsed="false" customWidth="true" hidden="false" outlineLevel="0" max="11" min="11" style="1" width="24"/>
  </cols>
  <sheetData>
    <row r="1" customFormat="false" ht="15" hidden="false" customHeight="true" outlineLevel="0" collapsed="false">
      <c r="A1" s="2" t="s">
        <v>0</v>
      </c>
    </row>
    <row r="2" customFormat="false" ht="22.5" hidden="false" customHeight="true" outlineLevel="0" collapsed="false">
      <c r="B2" s="3" t="s">
        <v>1337</v>
      </c>
      <c r="C2" s="3"/>
      <c r="D2" s="3"/>
      <c r="E2" s="3"/>
      <c r="F2" s="3"/>
      <c r="G2" s="3"/>
      <c r="H2" s="3"/>
      <c r="I2" s="3"/>
      <c r="J2" s="3"/>
      <c r="K2" s="4" t="s">
        <v>2</v>
      </c>
    </row>
    <row r="3" customFormat="false" ht="28.5" hidden="false" customHeight="true" outlineLevel="0" collapsed="false">
      <c r="B3" s="5" t="s">
        <v>3</v>
      </c>
      <c r="D3" s="6" t="s">
        <v>1338</v>
      </c>
      <c r="E3" s="6"/>
      <c r="F3" s="6"/>
    </row>
    <row r="5" customFormat="false" ht="17.25" hidden="false" customHeight="true" outlineLevel="0" collapsed="false">
      <c r="B5" s="34" t="s">
        <v>1339</v>
      </c>
      <c r="C5" s="34"/>
      <c r="D5" s="34"/>
      <c r="E5" s="34"/>
      <c r="F5" s="34"/>
    </row>
    <row r="6" customFormat="false" ht="17.25" hidden="false" customHeight="true" outlineLevel="0" collapsed="false">
      <c r="B6" s="9" t="s">
        <v>1340</v>
      </c>
      <c r="C6" s="9"/>
      <c r="D6" s="9"/>
      <c r="E6" s="9"/>
      <c r="F6" s="9"/>
    </row>
    <row r="9" customFormat="false" ht="15.75" hidden="false" customHeight="true" outlineLevel="0" collapsed="false">
      <c r="B9" s="7" t="s">
        <v>1341</v>
      </c>
      <c r="C9" s="8"/>
      <c r="D9" s="8"/>
      <c r="E9" s="8"/>
      <c r="F9" s="8"/>
      <c r="G9" s="8"/>
    </row>
    <row r="10" customFormat="false" ht="16.5" hidden="false" customHeight="true" outlineLevel="0" collapsed="false">
      <c r="B10" s="11" t="s">
        <v>1342</v>
      </c>
      <c r="C10" s="11" t="s">
        <v>1343</v>
      </c>
      <c r="D10" s="11" t="s">
        <v>982</v>
      </c>
      <c r="E10" s="11" t="s">
        <v>1344</v>
      </c>
      <c r="F10" s="11" t="s">
        <v>1345</v>
      </c>
      <c r="G10" s="11" t="s">
        <v>1346</v>
      </c>
    </row>
    <row r="11" customFormat="false" ht="30.75" hidden="false" customHeight="true" outlineLevel="0" collapsed="false">
      <c r="B11" s="13" t="s">
        <v>1347</v>
      </c>
      <c r="C11" s="12" t="s">
        <v>1348</v>
      </c>
      <c r="D11" s="12" t="s">
        <v>1349</v>
      </c>
      <c r="E11" s="12" t="s">
        <v>1350</v>
      </c>
      <c r="F11" s="12" t="s">
        <v>1351</v>
      </c>
      <c r="G11" s="28" t="s">
        <v>1352</v>
      </c>
    </row>
    <row r="12" customFormat="false" ht="30.75" hidden="false" customHeight="true" outlineLevel="0" collapsed="false">
      <c r="B12" s="13" t="s">
        <v>1353</v>
      </c>
      <c r="C12" s="12" t="s">
        <v>1354</v>
      </c>
      <c r="D12" s="12" t="s">
        <v>1355</v>
      </c>
      <c r="E12" s="12" t="s">
        <v>1356</v>
      </c>
      <c r="F12" s="12" t="s">
        <v>1357</v>
      </c>
      <c r="G12" s="28" t="s">
        <v>1352</v>
      </c>
    </row>
    <row r="13" customFormat="false" ht="30.75" hidden="false" customHeight="true" outlineLevel="0" collapsed="false">
      <c r="B13" s="13" t="s">
        <v>1358</v>
      </c>
      <c r="C13" s="12" t="s">
        <v>1359</v>
      </c>
      <c r="D13" s="12" t="s">
        <v>1360</v>
      </c>
      <c r="E13" s="12" t="s">
        <v>1361</v>
      </c>
      <c r="F13" s="12" t="s">
        <v>1362</v>
      </c>
      <c r="G13" s="28" t="s">
        <v>1352</v>
      </c>
    </row>
    <row r="14" customFormat="false" ht="30.75" hidden="false" customHeight="true" outlineLevel="0" collapsed="false">
      <c r="B14" s="13" t="s">
        <v>1363</v>
      </c>
      <c r="C14" s="12" t="s">
        <v>1364</v>
      </c>
      <c r="D14" s="12" t="s">
        <v>1365</v>
      </c>
      <c r="E14" s="12" t="s">
        <v>1366</v>
      </c>
      <c r="F14" s="12" t="s">
        <v>1367</v>
      </c>
      <c r="G14" s="28" t="s">
        <v>1352</v>
      </c>
    </row>
    <row r="15" customFormat="false" ht="30.75" hidden="false" customHeight="true" outlineLevel="0" collapsed="false">
      <c r="B15" s="13" t="s">
        <v>1368</v>
      </c>
      <c r="C15" s="12" t="s">
        <v>1369</v>
      </c>
      <c r="D15" s="12" t="s">
        <v>1370</v>
      </c>
      <c r="E15" s="12" t="s">
        <v>1371</v>
      </c>
      <c r="F15" s="12" t="s">
        <v>1372</v>
      </c>
      <c r="G15" s="28" t="s">
        <v>1352</v>
      </c>
    </row>
    <row r="18" customFormat="false" ht="15.75" hidden="false" customHeight="true" outlineLevel="0" collapsed="false">
      <c r="B18" s="7" t="s">
        <v>1373</v>
      </c>
      <c r="C18" s="8"/>
      <c r="D18" s="8"/>
      <c r="E18" s="8"/>
      <c r="F18" s="8"/>
      <c r="G18" s="8"/>
    </row>
    <row r="20" customFormat="false" ht="15" hidden="false" customHeight="true" outlineLevel="0" collapsed="false">
      <c r="B20" s="19" t="s">
        <v>85</v>
      </c>
      <c r="C20" s="41" t="s">
        <v>86</v>
      </c>
    </row>
    <row r="22" customFormat="false" ht="16.5" hidden="false" customHeight="true" outlineLevel="0" collapsed="false">
      <c r="B22" s="11" t="s">
        <v>979</v>
      </c>
      <c r="C22" s="11" t="s">
        <v>1374</v>
      </c>
      <c r="D22" s="11"/>
      <c r="E22" s="11"/>
      <c r="F22" s="11" t="s">
        <v>1375</v>
      </c>
    </row>
    <row r="23" customFormat="false" ht="15" hidden="false" customHeight="true" outlineLevel="0" collapsed="false">
      <c r="B23" s="27" t="n">
        <v>1</v>
      </c>
      <c r="C23" s="45" t="s">
        <v>1376</v>
      </c>
      <c r="D23" s="12"/>
      <c r="E23" s="12"/>
      <c r="F23" s="19" t="s">
        <v>98</v>
      </c>
    </row>
    <row r="24" customFormat="false" ht="15" hidden="false" customHeight="true" outlineLevel="0" collapsed="false">
      <c r="B24" s="27" t="n">
        <v>2</v>
      </c>
      <c r="C24" s="45" t="s">
        <v>1377</v>
      </c>
      <c r="D24" s="12"/>
      <c r="E24" s="12"/>
      <c r="F24" s="19" t="s">
        <v>98</v>
      </c>
    </row>
    <row r="25" customFormat="false" ht="15" hidden="false" customHeight="true" outlineLevel="0" collapsed="false">
      <c r="B25" s="27" t="n">
        <v>3</v>
      </c>
      <c r="C25" s="45" t="s">
        <v>1378</v>
      </c>
      <c r="D25" s="12"/>
      <c r="E25" s="12"/>
      <c r="F25" s="19" t="s">
        <v>98</v>
      </c>
    </row>
    <row r="26" customFormat="false" ht="15" hidden="false" customHeight="true" outlineLevel="0" collapsed="false">
      <c r="B26" s="27" t="n">
        <v>4</v>
      </c>
      <c r="C26" s="45" t="s">
        <v>1379</v>
      </c>
      <c r="D26" s="12"/>
      <c r="E26" s="12"/>
      <c r="F26" s="19" t="s">
        <v>1380</v>
      </c>
    </row>
    <row r="27" customFormat="false" ht="15" hidden="false" customHeight="true" outlineLevel="0" collapsed="false">
      <c r="B27" s="27" t="n">
        <v>5</v>
      </c>
      <c r="C27" s="45" t="s">
        <v>1381</v>
      </c>
      <c r="D27" s="12"/>
      <c r="E27" s="12"/>
      <c r="F27" s="19" t="s">
        <v>98</v>
      </c>
    </row>
    <row r="29" customFormat="false" ht="15.75" hidden="false" customHeight="true" outlineLevel="0" collapsed="false">
      <c r="B29" s="10" t="s">
        <v>1382</v>
      </c>
      <c r="C29" s="42" t="str">
        <f aca="false">IF(F23="Yes","8D - contain within 24 hours, then close formally (H-15)",IF(F25="Yes","JUST DO IT - implement, verify the before and after, move on (L-23)",IF(AND(F24="Yes",F27="Yes"),"KAIZEN EVENT - one focused week with the team (L-21)",IF(AND(F24="Yes",F27="No"),"A3 - structured single-page project (H-14)",IF(F26="Yes","FULL DMAIC - the cause needs data and statistics (N-03)","A3 - start here and escalate to DMAIC only if the cause resists")))))</f>
        <v>FULL DMAIC - the cause needs data and statistics (N-03)</v>
      </c>
    </row>
    <row r="31" customFormat="false" ht="15.75" hidden="false" customHeight="true" outlineLevel="0" collapsed="false">
      <c r="B31" s="7" t="s">
        <v>1383</v>
      </c>
      <c r="C31" s="8"/>
      <c r="D31" s="8"/>
      <c r="E31" s="8"/>
      <c r="F31" s="8"/>
      <c r="G31" s="8"/>
    </row>
    <row r="33" customFormat="false" ht="31.5" hidden="false" customHeight="true" outlineLevel="0" collapsed="false">
      <c r="B33" s="9" t="s">
        <v>1384</v>
      </c>
      <c r="C33" s="9"/>
      <c r="D33" s="9"/>
      <c r="E33" s="9"/>
      <c r="F33" s="9"/>
    </row>
    <row r="34" customFormat="false" ht="31.5" hidden="false" customHeight="true" outlineLevel="0" collapsed="false">
      <c r="B34" s="9" t="s">
        <v>1385</v>
      </c>
      <c r="C34" s="9"/>
      <c r="D34" s="9"/>
      <c r="E34" s="9"/>
      <c r="F34" s="9"/>
    </row>
    <row r="35" customFormat="false" ht="17.25" hidden="false" customHeight="true" outlineLevel="0" collapsed="false">
      <c r="B35" s="9" t="s">
        <v>1386</v>
      </c>
      <c r="C35" s="9"/>
      <c r="D35" s="9"/>
      <c r="E35" s="9"/>
      <c r="F35" s="9"/>
    </row>
    <row r="36" customFormat="false" ht="31.5" hidden="false" customHeight="true" outlineLevel="0" collapsed="false">
      <c r="B36" s="9" t="s">
        <v>1387</v>
      </c>
      <c r="C36" s="9"/>
      <c r="D36" s="9"/>
      <c r="E36" s="9"/>
      <c r="F36" s="9"/>
    </row>
  </sheetData>
  <mergeCells count="8">
    <mergeCell ref="B2:J2"/>
    <mergeCell ref="D3:F3"/>
    <mergeCell ref="B5:F5"/>
    <mergeCell ref="B6:F6"/>
    <mergeCell ref="B33:F33"/>
    <mergeCell ref="B34:F34"/>
    <mergeCell ref="B35:F35"/>
    <mergeCell ref="B36:F36"/>
  </mergeCells>
  <dataValidations count="1">
    <dataValidation allowBlank="false" errorStyle="stop" operator="between" showDropDown="false" showErrorMessage="false" showInputMessage="false" sqref="F23:F27" type="list">
      <formula1>"Yes,No"</formula1>
      <formula2>0</formula2>
    </dataValidation>
  </dataValidations>
  <hyperlinks>
    <hyperlink ref="B3" location="'N-03 Index DMAIC'!A1" display="← Back to Index"/>
    <hyperlink ref="G11" location="'N-03 Index DMAIC'!A1" display="Open →"/>
    <hyperlink ref="G12" location="'L-21 Kaizen Event'!A1" display="Open →"/>
    <hyperlink ref="G13" location="'H-14 A3 Problem Solving'!A1" display="Open →"/>
    <hyperlink ref="G14" location="'H-15 8D Problem Solving'!A1" display="Open →"/>
    <hyperlink ref="G15" location="'L-23 PDCA'!A1" display="Open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92"/>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pane xSplit="0" ySplit="4" topLeftCell="A5" activePane="bottomLeft" state="frozen"/>
      <selection pane="topLeft" activeCell="A1" activeCellId="0" sqref="A1"/>
      <selection pane="bottomLeft" activeCell="B41" activeCellId="0" sqref="B4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1388</v>
      </c>
      <c r="C2" s="3"/>
      <c r="D2" s="3"/>
      <c r="E2" s="3"/>
      <c r="F2" s="3"/>
      <c r="G2" s="3"/>
      <c r="H2" s="3"/>
      <c r="I2" s="3"/>
      <c r="J2" s="3"/>
      <c r="K2" s="46" t="s">
        <v>1389</v>
      </c>
    </row>
    <row r="3" customFormat="false" ht="28.5" hidden="false" customHeight="true" outlineLevel="0" collapsed="false">
      <c r="B3" s="5" t="s">
        <v>3</v>
      </c>
      <c r="D3" s="6" t="s">
        <v>1390</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1393</v>
      </c>
      <c r="D6" s="9"/>
    </row>
    <row r="7" customFormat="false" ht="31.5" hidden="false" customHeight="true" outlineLevel="0" collapsed="false">
      <c r="B7" s="47" t="s">
        <v>1394</v>
      </c>
      <c r="C7" s="9" t="s">
        <v>1395</v>
      </c>
      <c r="D7" s="9"/>
    </row>
    <row r="8" customFormat="false" ht="31.5" hidden="false" customHeight="true" outlineLevel="0" collapsed="false">
      <c r="B8" s="47" t="s">
        <v>1396</v>
      </c>
      <c r="C8" s="9" t="s">
        <v>1397</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1399</v>
      </c>
      <c r="C11" s="9"/>
      <c r="D11" s="9"/>
      <c r="E11" s="9"/>
      <c r="F11" s="9"/>
    </row>
    <row r="12" customFormat="false" ht="17.25" hidden="false" customHeight="true" outlineLevel="0" collapsed="false">
      <c r="B12" s="9" t="s">
        <v>1400</v>
      </c>
      <c r="C12" s="9"/>
      <c r="D12" s="9"/>
      <c r="E12" s="9"/>
      <c r="F12" s="9"/>
    </row>
    <row r="13" customFormat="false" ht="17.25" hidden="false" customHeight="true" outlineLevel="0" collapsed="false">
      <c r="B13" s="9" t="s">
        <v>1401</v>
      </c>
      <c r="C13" s="9"/>
      <c r="D13" s="9"/>
      <c r="E13" s="9"/>
      <c r="F13" s="9"/>
    </row>
    <row r="14" customFormat="false" ht="17.25" hidden="false" customHeight="true" outlineLevel="0" collapsed="false">
      <c r="B14" s="9" t="s">
        <v>1402</v>
      </c>
      <c r="C14" s="9"/>
      <c r="D14" s="9"/>
      <c r="E14" s="9"/>
      <c r="F14" s="9"/>
    </row>
    <row r="15" customFormat="false" ht="17.25" hidden="false" customHeight="true" outlineLevel="0" collapsed="false">
      <c r="B15" s="9" t="s">
        <v>1403</v>
      </c>
      <c r="C15" s="9"/>
      <c r="D15" s="9"/>
      <c r="E15" s="9"/>
      <c r="F15" s="9"/>
    </row>
    <row r="16" customFormat="false" ht="17.25" hidden="false" customHeight="true" outlineLevel="0" collapsed="false">
      <c r="B16" s="9" t="s">
        <v>1404</v>
      </c>
      <c r="C16" s="9"/>
      <c r="D16" s="9"/>
      <c r="E16" s="9"/>
      <c r="F16" s="9"/>
    </row>
    <row r="17" customFormat="false" ht="15.75" hidden="false" customHeight="true" outlineLevel="0" collapsed="false">
      <c r="B17" s="9" t="s">
        <v>1405</v>
      </c>
      <c r="C17" s="9"/>
      <c r="D17" s="9"/>
      <c r="E17" s="9"/>
      <c r="F17" s="9"/>
    </row>
    <row r="18" customFormat="false" ht="15.75" hidden="false" customHeight="true" outlineLevel="0" collapsed="false">
      <c r="B18" s="9"/>
      <c r="C18" s="9"/>
      <c r="D18" s="9"/>
      <c r="E18" s="9"/>
      <c r="F18" s="9"/>
    </row>
    <row r="20" customFormat="false" ht="15.75" hidden="false" customHeight="true" outlineLevel="0" collapsed="false">
      <c r="B20" s="7" t="s">
        <v>1406</v>
      </c>
      <c r="C20" s="8"/>
      <c r="D20" s="8"/>
      <c r="E20" s="8"/>
      <c r="F20" s="8"/>
      <c r="G20" s="8"/>
      <c r="H20" s="8"/>
      <c r="I20" s="8"/>
      <c r="J20" s="8"/>
      <c r="K20" s="8"/>
    </row>
    <row r="21" customFormat="false" ht="17.25" hidden="false" customHeight="true" outlineLevel="0" collapsed="false">
      <c r="B21" s="48" t="s">
        <v>1407</v>
      </c>
      <c r="C21" s="48"/>
      <c r="D21" s="48"/>
      <c r="E21" s="49" t="s">
        <v>1408</v>
      </c>
      <c r="F21" s="49"/>
    </row>
    <row r="22" customFormat="false" ht="17.25" hidden="false" customHeight="true" outlineLevel="0" collapsed="false">
      <c r="B22" s="23" t="s">
        <v>1409</v>
      </c>
      <c r="C22" s="23"/>
      <c r="D22" s="23"/>
      <c r="E22" s="23" t="s">
        <v>1410</v>
      </c>
      <c r="F22" s="23"/>
    </row>
    <row r="23" customFormat="false" ht="31.5" hidden="false" customHeight="true" outlineLevel="0" collapsed="false">
      <c r="B23" s="23" t="s">
        <v>1411</v>
      </c>
      <c r="C23" s="23"/>
      <c r="D23" s="23"/>
      <c r="E23" s="23" t="s">
        <v>1412</v>
      </c>
      <c r="F23" s="23"/>
    </row>
    <row r="24" customFormat="false" ht="31.5" hidden="false" customHeight="true" outlineLevel="0" collapsed="false">
      <c r="B24" s="23" t="s">
        <v>1413</v>
      </c>
      <c r="C24" s="23"/>
      <c r="D24" s="23"/>
      <c r="E24" s="23" t="s">
        <v>1414</v>
      </c>
      <c r="F24" s="23"/>
    </row>
    <row r="25" customFormat="false" ht="17.25" hidden="false" customHeight="true" outlineLevel="0" collapsed="false">
      <c r="B25" s="23" t="s">
        <v>1415</v>
      </c>
      <c r="C25" s="23"/>
      <c r="D25" s="23"/>
      <c r="E25" s="23"/>
      <c r="F25" s="23"/>
    </row>
    <row r="27" customFormat="false" ht="16.5" hidden="false" customHeight="true" outlineLevel="0" collapsed="false">
      <c r="B27" s="11" t="s">
        <v>1416</v>
      </c>
      <c r="C27" s="11" t="s">
        <v>1417</v>
      </c>
      <c r="D27" s="11" t="s">
        <v>1418</v>
      </c>
      <c r="E27" s="11" t="s">
        <v>1419</v>
      </c>
    </row>
    <row r="28" customFormat="false" ht="44.25" hidden="false" customHeight="true" outlineLevel="0" collapsed="false">
      <c r="B28" s="12" t="s">
        <v>1420</v>
      </c>
      <c r="C28" s="12" t="s">
        <v>1421</v>
      </c>
      <c r="D28" s="12" t="s">
        <v>1422</v>
      </c>
      <c r="E28" s="50" t="s">
        <v>1025</v>
      </c>
    </row>
    <row r="29" customFormat="false" ht="44.25" hidden="false" customHeight="true" outlineLevel="0" collapsed="false">
      <c r="B29" s="12" t="s">
        <v>1423</v>
      </c>
      <c r="C29" s="12" t="s">
        <v>1424</v>
      </c>
      <c r="D29" s="12" t="s">
        <v>1425</v>
      </c>
      <c r="E29" s="50" t="s">
        <v>1027</v>
      </c>
    </row>
    <row r="30" customFormat="false" ht="30.75" hidden="false" customHeight="true" outlineLevel="0" collapsed="false">
      <c r="B30" s="12" t="s">
        <v>1426</v>
      </c>
      <c r="C30" s="12" t="s">
        <v>1427</v>
      </c>
      <c r="D30" s="12" t="s">
        <v>1428</v>
      </c>
      <c r="E30" s="50" t="s">
        <v>1025</v>
      </c>
    </row>
    <row r="32" customFormat="false" ht="15.75" hidden="false" customHeight="true" outlineLevel="0" collapsed="false">
      <c r="B32" s="7" t="s">
        <v>1429</v>
      </c>
      <c r="C32" s="8"/>
      <c r="D32" s="8"/>
      <c r="E32" s="8"/>
      <c r="F32" s="8"/>
      <c r="G32" s="8"/>
      <c r="H32" s="8"/>
      <c r="I32" s="8"/>
      <c r="J32" s="8"/>
      <c r="K32" s="8"/>
    </row>
    <row r="33" customFormat="false" ht="17.25" hidden="false" customHeight="true" outlineLevel="0" collapsed="false">
      <c r="B33" s="51" t="s">
        <v>1430</v>
      </c>
      <c r="C33" s="51"/>
      <c r="D33" s="51"/>
      <c r="E33" s="51"/>
      <c r="F33" s="51"/>
    </row>
    <row r="34" customFormat="false" ht="17.25" hidden="false" customHeight="true" outlineLevel="0" collapsed="false">
      <c r="B34" s="52" t="s">
        <v>1431</v>
      </c>
      <c r="C34" s="52"/>
      <c r="D34" s="52"/>
      <c r="E34" s="52"/>
      <c r="F34" s="52"/>
    </row>
    <row r="35" customFormat="false" ht="17.25" hidden="false" customHeight="true" outlineLevel="0" collapsed="false">
      <c r="B35" s="52" t="s">
        <v>1432</v>
      </c>
      <c r="C35" s="52"/>
      <c r="D35" s="52"/>
      <c r="E35" s="52"/>
      <c r="F35" s="52"/>
    </row>
    <row r="36" customFormat="false" ht="17.25" hidden="false" customHeight="true" outlineLevel="0" collapsed="false">
      <c r="B36" s="52" t="s">
        <v>1433</v>
      </c>
      <c r="C36" s="52"/>
      <c r="D36" s="52"/>
      <c r="E36" s="52"/>
      <c r="F36" s="52"/>
    </row>
    <row r="37" customFormat="false" ht="17.25" hidden="false" customHeight="true" outlineLevel="0" collapsed="false">
      <c r="B37" s="52" t="s">
        <v>1434</v>
      </c>
      <c r="C37" s="52"/>
      <c r="D37" s="52"/>
      <c r="E37" s="52"/>
      <c r="F37" s="52"/>
    </row>
    <row r="38" customFormat="false" ht="17.25" hidden="false" customHeight="true" outlineLevel="0" collapsed="false">
      <c r="B38" s="51" t="s">
        <v>1435</v>
      </c>
      <c r="C38" s="51"/>
      <c r="D38" s="51"/>
      <c r="E38" s="51"/>
      <c r="F38" s="51"/>
    </row>
    <row r="39" customFormat="false" ht="17.25" hidden="false" customHeight="true" outlineLevel="0" collapsed="false">
      <c r="B39" s="52" t="s">
        <v>1436</v>
      </c>
      <c r="C39" s="52"/>
      <c r="D39" s="52"/>
      <c r="E39" s="52"/>
      <c r="F39" s="52"/>
    </row>
    <row r="41" customFormat="false" ht="15.75" hidden="false" customHeight="true" outlineLevel="0" collapsed="false">
      <c r="B41" s="7" t="s">
        <v>1437</v>
      </c>
      <c r="C41" s="8"/>
      <c r="D41" s="8"/>
      <c r="E41" s="8"/>
      <c r="F41" s="8"/>
      <c r="G41" s="8"/>
      <c r="H41" s="8"/>
      <c r="I41" s="8"/>
      <c r="J41" s="8"/>
      <c r="K41" s="8"/>
    </row>
    <row r="42" customFormat="false" ht="16.5" hidden="false" customHeight="true" outlineLevel="0" collapsed="false">
      <c r="B42" s="11" t="s">
        <v>1438</v>
      </c>
      <c r="C42" s="11" t="s">
        <v>1439</v>
      </c>
      <c r="D42" s="11" t="s">
        <v>1440</v>
      </c>
    </row>
    <row r="43" customFormat="false" ht="30.75" hidden="false" customHeight="true" outlineLevel="0" collapsed="false">
      <c r="B43" s="12" t="s">
        <v>1441</v>
      </c>
      <c r="C43" s="12" t="s">
        <v>1442</v>
      </c>
      <c r="D43" s="12" t="s">
        <v>1443</v>
      </c>
    </row>
    <row r="44" customFormat="false" ht="30.75" hidden="false" customHeight="true" outlineLevel="0" collapsed="false">
      <c r="B44" s="12" t="s">
        <v>1444</v>
      </c>
      <c r="C44" s="12" t="s">
        <v>1445</v>
      </c>
      <c r="D44" s="12" t="s">
        <v>1446</v>
      </c>
    </row>
    <row r="45" customFormat="false" ht="30.75" hidden="false" customHeight="true" outlineLevel="0" collapsed="false">
      <c r="B45" s="12" t="s">
        <v>1447</v>
      </c>
      <c r="C45" s="12" t="s">
        <v>1448</v>
      </c>
      <c r="D45" s="12" t="s">
        <v>1449</v>
      </c>
    </row>
    <row r="46" customFormat="false" ht="30.75" hidden="false" customHeight="true" outlineLevel="0" collapsed="false">
      <c r="B46" s="12" t="s">
        <v>1450</v>
      </c>
      <c r="C46" s="12" t="s">
        <v>1451</v>
      </c>
      <c r="D46" s="12" t="s">
        <v>1452</v>
      </c>
    </row>
    <row r="47" customFormat="false" ht="28.5" hidden="false" customHeight="true" outlineLevel="0" collapsed="false">
      <c r="B47" s="16" t="s">
        <v>1453</v>
      </c>
      <c r="C47" s="16"/>
      <c r="D47" s="16"/>
      <c r="E47" s="16"/>
      <c r="F47" s="16"/>
    </row>
    <row r="49" customFormat="false" ht="15.75" hidden="false" customHeight="true" outlineLevel="0" collapsed="false">
      <c r="B49" s="7" t="s">
        <v>1454</v>
      </c>
      <c r="C49" s="8"/>
      <c r="D49" s="8"/>
      <c r="E49" s="8"/>
      <c r="F49" s="8"/>
      <c r="G49" s="8"/>
      <c r="H49" s="8"/>
      <c r="I49" s="8"/>
      <c r="J49" s="8"/>
      <c r="K49" s="8"/>
    </row>
    <row r="50" customFormat="false" ht="8.25" hidden="false" customHeight="true" outlineLevel="0" collapsed="false">
      <c r="B50" s="9" t="s">
        <v>1455</v>
      </c>
      <c r="C50" s="9"/>
      <c r="D50" s="9"/>
      <c r="E50" s="9"/>
      <c r="F50" s="9"/>
    </row>
    <row r="51" customFormat="false" ht="8.25" hidden="false" customHeight="true" outlineLevel="0" collapsed="false">
      <c r="B51" s="9"/>
      <c r="C51" s="9"/>
      <c r="D51" s="9"/>
      <c r="E51" s="9"/>
      <c r="F51" s="9"/>
    </row>
    <row r="52" customFormat="false" ht="15" hidden="false" customHeight="true" outlineLevel="0" collapsed="false">
      <c r="B52" s="19" t="s">
        <v>85</v>
      </c>
      <c r="C52" s="41" t="s">
        <v>86</v>
      </c>
    </row>
    <row r="54" customFormat="false" ht="16.5" hidden="false" customHeight="true" outlineLevel="0" collapsed="false">
      <c r="B54" s="11" t="s">
        <v>1456</v>
      </c>
      <c r="C54" s="11" t="s">
        <v>1457</v>
      </c>
      <c r="D54" s="11" t="s">
        <v>1458</v>
      </c>
      <c r="E54" s="11" t="s">
        <v>1459</v>
      </c>
      <c r="F54" s="11" t="s">
        <v>1460</v>
      </c>
      <c r="G54" s="11" t="s">
        <v>1461</v>
      </c>
    </row>
    <row r="55" customFormat="false" ht="30.75" hidden="false" customHeight="true" outlineLevel="0" collapsed="false">
      <c r="B55" s="12" t="s">
        <v>1462</v>
      </c>
      <c r="C55" s="12" t="s">
        <v>1463</v>
      </c>
      <c r="D55" s="12" t="s">
        <v>1464</v>
      </c>
      <c r="E55" s="12" t="s">
        <v>1465</v>
      </c>
      <c r="F55" s="12" t="s">
        <v>1466</v>
      </c>
      <c r="G55" s="12" t="s">
        <v>1467</v>
      </c>
    </row>
    <row r="56" customFormat="false" ht="30.75" hidden="false" customHeight="true" outlineLevel="0" collapsed="false">
      <c r="B56" s="12" t="s">
        <v>1468</v>
      </c>
      <c r="C56" s="12" t="s">
        <v>1469</v>
      </c>
      <c r="D56" s="12" t="s">
        <v>1470</v>
      </c>
      <c r="E56" s="12" t="s">
        <v>1471</v>
      </c>
      <c r="F56" s="12" t="s">
        <v>1472</v>
      </c>
      <c r="G56" s="12" t="s">
        <v>1473</v>
      </c>
    </row>
    <row r="57" customFormat="false" ht="30.75" hidden="false" customHeight="true" outlineLevel="0" collapsed="false">
      <c r="B57" s="12" t="s">
        <v>1474</v>
      </c>
      <c r="C57" s="12" t="s">
        <v>1475</v>
      </c>
      <c r="D57" s="12" t="s">
        <v>1476</v>
      </c>
      <c r="E57" s="12" t="s">
        <v>1477</v>
      </c>
      <c r="F57" s="12" t="s">
        <v>1478</v>
      </c>
      <c r="G57" s="12" t="s">
        <v>1479</v>
      </c>
    </row>
    <row r="58" customFormat="false" ht="30.75" hidden="false" customHeight="true" outlineLevel="0" collapsed="false">
      <c r="B58" s="12" t="s">
        <v>1480</v>
      </c>
      <c r="C58" s="12" t="s">
        <v>1481</v>
      </c>
      <c r="D58" s="12" t="s">
        <v>1482</v>
      </c>
      <c r="E58" s="12" t="s">
        <v>1483</v>
      </c>
      <c r="F58" s="12" t="s">
        <v>1484</v>
      </c>
      <c r="G58" s="12" t="s">
        <v>1485</v>
      </c>
    </row>
    <row r="60" customFormat="false" ht="15" hidden="false" customHeight="true" outlineLevel="0" collapsed="false">
      <c r="B60" s="10" t="s">
        <v>1486</v>
      </c>
      <c r="C60" s="19" t="s">
        <v>1487</v>
      </c>
    </row>
    <row r="61" customFormat="false" ht="15" hidden="false" customHeight="true" outlineLevel="0" collapsed="false">
      <c r="B61" s="10" t="s">
        <v>1488</v>
      </c>
      <c r="C61" s="19" t="s">
        <v>1480</v>
      </c>
    </row>
    <row r="63" customFormat="false" ht="15" hidden="false" customHeight="true" outlineLevel="0" collapsed="false">
      <c r="B63" s="10" t="s">
        <v>1489</v>
      </c>
      <c r="C63" s="41" t="str">
        <f aca="false">INDEX($D$55:$D$58,MATCH($C$61,$B$55:$B$58,0))</f>
        <v>Mean and geometric mean</v>
      </c>
    </row>
    <row r="64" customFormat="false" ht="15" hidden="false" customHeight="true" outlineLevel="0" collapsed="false">
      <c r="B64" s="10" t="s">
        <v>1490</v>
      </c>
      <c r="C64" s="41" t="str">
        <f aca="false">INDEX($E$55:$E$58,MATCH($C$61,$B$55:$B$58,0))</f>
        <v>StDev and coefficient of variation</v>
      </c>
    </row>
    <row r="65" customFormat="false" ht="15" hidden="false" customHeight="true" outlineLevel="0" collapsed="false">
      <c r="B65" s="10" t="s">
        <v>1491</v>
      </c>
      <c r="C65" s="41" t="str">
        <f aca="false">INDEX($F$55:$F$58,MATCH($C$61,$B$55:$B$58,0))</f>
        <v>Xbar-R plus capability (E-57)</v>
      </c>
    </row>
    <row r="66" customFormat="false" ht="15" hidden="false" customHeight="true" outlineLevel="0" collapsed="false">
      <c r="B66" s="10" t="s">
        <v>1492</v>
      </c>
      <c r="C66" s="41" t="str">
        <f aca="false">INDEX($G$55:$G$58,MATCH($C$61,$B$55:$B$58,0))</f>
        <v>t, ANOVA, regression (E-36)</v>
      </c>
    </row>
    <row r="68" customFormat="false" ht="15.75" hidden="false" customHeight="true" outlineLevel="0" collapsed="false">
      <c r="B68" s="7" t="s">
        <v>1493</v>
      </c>
      <c r="C68" s="8"/>
      <c r="D68" s="8"/>
      <c r="E68" s="8"/>
      <c r="F68" s="8"/>
      <c r="G68" s="8"/>
      <c r="H68" s="8"/>
      <c r="I68" s="8"/>
      <c r="J68" s="8"/>
      <c r="K68" s="8"/>
    </row>
    <row r="69" customFormat="false" ht="33.75" hidden="false" customHeight="true" outlineLevel="0" collapsed="false">
      <c r="B69" s="53" t="s">
        <v>1494</v>
      </c>
      <c r="C69" s="54" t="str">
        <f aca="false">IF(OR($C$61="Nominal",$C$61="Ordinal"),"ATTRIBUTE DATA - counts and proportions only. Expect to need 10 to 100 times more samples.","CONTINUOUS DATA - the full parametric toolkit is available, including capability indices.")</f>
        <v>CONTINUOUS DATA - the full parametric toolkit is available, including capability indices.</v>
      </c>
      <c r="D69" s="54"/>
    </row>
    <row r="71" customFormat="false" ht="16.5" hidden="false" customHeight="true" outlineLevel="0" collapsed="false">
      <c r="B71" s="11" t="s">
        <v>1495</v>
      </c>
      <c r="C71" s="11" t="s">
        <v>1496</v>
      </c>
      <c r="D71" s="11" t="s">
        <v>1497</v>
      </c>
    </row>
    <row r="72" customFormat="false" ht="30.75" hidden="false" customHeight="true" outlineLevel="0" collapsed="false">
      <c r="B72" s="12" t="s">
        <v>1498</v>
      </c>
      <c r="C72" s="12" t="s">
        <v>1499</v>
      </c>
      <c r="D72" s="12" t="s">
        <v>1500</v>
      </c>
    </row>
    <row r="73" customFormat="false" ht="30.75" hidden="false" customHeight="true" outlineLevel="0" collapsed="false">
      <c r="B73" s="12" t="s">
        <v>1501</v>
      </c>
      <c r="C73" s="12" t="s">
        <v>1380</v>
      </c>
      <c r="D73" s="12" t="s">
        <v>1502</v>
      </c>
    </row>
    <row r="74" customFormat="false" ht="30.75" hidden="false" customHeight="true" outlineLevel="0" collapsed="false">
      <c r="B74" s="12" t="s">
        <v>1503</v>
      </c>
      <c r="C74" s="12" t="s">
        <v>1380</v>
      </c>
      <c r="D74" s="12" t="s">
        <v>1504</v>
      </c>
    </row>
    <row r="75" customFormat="false" ht="30.75" hidden="false" customHeight="true" outlineLevel="0" collapsed="false">
      <c r="B75" s="12" t="s">
        <v>1505</v>
      </c>
      <c r="C75" s="12" t="s">
        <v>1380</v>
      </c>
      <c r="D75" s="12" t="s">
        <v>1506</v>
      </c>
    </row>
    <row r="77" customFormat="false" ht="15" hidden="false" customHeight="true" outlineLevel="0" collapsed="false">
      <c r="B77" s="55" t="s">
        <v>1507</v>
      </c>
    </row>
    <row r="78" customFormat="false" ht="17.25" hidden="false" customHeight="true" outlineLevel="0" collapsed="false">
      <c r="B78" s="9" t="s">
        <v>1508</v>
      </c>
      <c r="C78" s="9"/>
      <c r="D78" s="9"/>
      <c r="E78" s="9"/>
      <c r="F78" s="9"/>
    </row>
    <row r="79" customFormat="false" ht="31.5" hidden="false" customHeight="true" outlineLevel="0" collapsed="false">
      <c r="B79" s="9" t="s">
        <v>1509</v>
      </c>
      <c r="C79" s="9"/>
      <c r="D79" s="9"/>
      <c r="E79" s="9"/>
      <c r="F79" s="9"/>
    </row>
    <row r="80" customFormat="false" ht="17.25" hidden="false" customHeight="true" outlineLevel="0" collapsed="false">
      <c r="B80" s="9" t="s">
        <v>1510</v>
      </c>
      <c r="C80" s="9"/>
      <c r="D80" s="9"/>
      <c r="E80" s="9"/>
      <c r="F80" s="9"/>
    </row>
    <row r="81" customFormat="false" ht="17.25" hidden="false" customHeight="true" outlineLevel="0" collapsed="false">
      <c r="B81" s="9" t="s">
        <v>1511</v>
      </c>
      <c r="C81" s="9"/>
      <c r="D81" s="9"/>
      <c r="E81" s="9"/>
      <c r="F81" s="9"/>
    </row>
    <row r="82" customFormat="false" ht="17.25" hidden="false" customHeight="true" outlineLevel="0" collapsed="false">
      <c r="B82" s="9" t="s">
        <v>1512</v>
      </c>
      <c r="C82" s="9"/>
      <c r="D82" s="9"/>
      <c r="E82" s="9"/>
      <c r="F82" s="9"/>
    </row>
    <row r="84" customFormat="false" ht="15.75" hidden="false" customHeight="true" outlineLevel="0" collapsed="false">
      <c r="B84" s="7" t="s">
        <v>1513</v>
      </c>
      <c r="C84" s="8"/>
      <c r="D84" s="8"/>
      <c r="E84" s="8"/>
      <c r="F84" s="8"/>
      <c r="G84" s="8"/>
      <c r="H84" s="8"/>
      <c r="I84" s="8"/>
      <c r="J84" s="8"/>
      <c r="K84" s="8"/>
    </row>
    <row r="85" customFormat="false" ht="17.25" hidden="false" customHeight="true" outlineLevel="0" collapsed="false">
      <c r="B85" s="9" t="s">
        <v>1514</v>
      </c>
      <c r="C85" s="9"/>
      <c r="D85" s="9"/>
      <c r="E85" s="9"/>
      <c r="N85" s="56" t="s">
        <v>1515</v>
      </c>
    </row>
    <row r="86" customFormat="false" ht="17.25" hidden="false" customHeight="true" outlineLevel="0" collapsed="false">
      <c r="B86" s="9" t="s">
        <v>1516</v>
      </c>
      <c r="C86" s="9"/>
      <c r="D86" s="9"/>
      <c r="E86" s="9"/>
      <c r="N86" s="57" t="s">
        <v>1517</v>
      </c>
    </row>
    <row r="87" customFormat="false" ht="17.25" hidden="false" customHeight="true" outlineLevel="0" collapsed="false">
      <c r="B87" s="9" t="s">
        <v>1518</v>
      </c>
      <c r="C87" s="9"/>
      <c r="D87" s="9"/>
      <c r="E87" s="9"/>
      <c r="N87" s="57" t="s">
        <v>1519</v>
      </c>
    </row>
    <row r="88" customFormat="false" ht="17.25" hidden="false" customHeight="true" outlineLevel="0" collapsed="false">
      <c r="B88" s="9" t="s">
        <v>1520</v>
      </c>
      <c r="C88" s="9"/>
      <c r="D88" s="9"/>
      <c r="E88" s="9"/>
      <c r="N88" s="57" t="s">
        <v>1521</v>
      </c>
    </row>
    <row r="90" customFormat="false" ht="15.75" hidden="false" customHeight="true" outlineLevel="0" collapsed="false">
      <c r="B90" s="7" t="s">
        <v>1522</v>
      </c>
      <c r="C90" s="8"/>
      <c r="D90" s="8"/>
      <c r="E90" s="8"/>
      <c r="F90" s="8"/>
      <c r="G90" s="8"/>
      <c r="H90" s="8"/>
      <c r="I90" s="8"/>
      <c r="J90" s="8"/>
      <c r="K90" s="8"/>
    </row>
    <row r="91" customFormat="false" ht="16.5" hidden="false" customHeight="true" outlineLevel="0" collapsed="false">
      <c r="B91" s="11" t="s">
        <v>1523</v>
      </c>
      <c r="C91" s="11" t="s">
        <v>1524</v>
      </c>
      <c r="D91" s="11" t="s">
        <v>1525</v>
      </c>
    </row>
    <row r="92" customFormat="false" ht="30.75" hidden="false" customHeight="true" outlineLevel="0" collapsed="false">
      <c r="B92" s="58" t="s">
        <v>1526</v>
      </c>
      <c r="C92" s="58" t="s">
        <v>1527</v>
      </c>
      <c r="D92" s="58" t="s">
        <v>1025</v>
      </c>
    </row>
  </sheetData>
  <mergeCells count="40">
    <mergeCell ref="B2:J2"/>
    <mergeCell ref="D3:F3"/>
    <mergeCell ref="C6:D6"/>
    <mergeCell ref="C7:D7"/>
    <mergeCell ref="C8:D8"/>
    <mergeCell ref="B11:F11"/>
    <mergeCell ref="B12:F12"/>
    <mergeCell ref="B13:F13"/>
    <mergeCell ref="B14:F14"/>
    <mergeCell ref="B15:F15"/>
    <mergeCell ref="B16:F16"/>
    <mergeCell ref="B17:F18"/>
    <mergeCell ref="B21:D21"/>
    <mergeCell ref="E21:F21"/>
    <mergeCell ref="B22:D22"/>
    <mergeCell ref="E22:F22"/>
    <mergeCell ref="B23:D23"/>
    <mergeCell ref="E23:F23"/>
    <mergeCell ref="B24:D24"/>
    <mergeCell ref="E24:F24"/>
    <mergeCell ref="B25:F25"/>
    <mergeCell ref="B33:F33"/>
    <mergeCell ref="B34:F34"/>
    <mergeCell ref="B35:F35"/>
    <mergeCell ref="B36:F36"/>
    <mergeCell ref="B37:F37"/>
    <mergeCell ref="B38:F38"/>
    <mergeCell ref="B39:F39"/>
    <mergeCell ref="B47:F47"/>
    <mergeCell ref="B50:F51"/>
    <mergeCell ref="C69:D69"/>
    <mergeCell ref="B78:F78"/>
    <mergeCell ref="B79:F79"/>
    <mergeCell ref="B80:F80"/>
    <mergeCell ref="B81:F81"/>
    <mergeCell ref="B82:F82"/>
    <mergeCell ref="B85:E85"/>
    <mergeCell ref="B86:E86"/>
    <mergeCell ref="B87:E87"/>
    <mergeCell ref="B88:E88"/>
  </mergeCells>
  <dataValidations count="1">
    <dataValidation allowBlank="false" errorStyle="stop" operator="between" showDropDown="false" showErrorMessage="false" showInputMessage="false" sqref="C61" type="list">
      <formula1>"Nominal,Ordinal,Interval,Ratio"</formula1>
      <formula2>0</formula2>
    </dataValidation>
  </dataValidations>
  <hyperlinks>
    <hyperlink ref="B3" location="'N-03 Index DMAIC'!A1" display="← Back to Index"/>
    <hyperlink ref="E28" location="'E-06 Data Collection Plan'!A1" display="E-06  Operational Definitions and Data Collection Plan"/>
    <hyperlink ref="E29" location="'E-59 Gage R and R'!A1" display="E-59  Gage R&amp;R: ANOVA and Range Methods"/>
    <hyperlink ref="E30" location="'E-06 Data Collection Plan'!A1" display="E-06  Operational Definitions and Data Collection Plan"/>
    <hyperlink ref="B92" location="'N-05 Test Selector'!A1" display="N-05  Statistical Test Selector (Y vs X Matrix)"/>
    <hyperlink ref="C92" location="'E-02 Population vs Sample'!A1" display="E-02  Population, Sample and Sampling Error"/>
    <hyperlink ref="D92" location="'E-06 Data Collection Plan'!A1" display="E-06  Operational Definitions and Data Collection Pl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1528</v>
      </c>
      <c r="C2" s="3"/>
      <c r="D2" s="3"/>
      <c r="E2" s="3"/>
      <c r="F2" s="3"/>
      <c r="G2" s="3"/>
      <c r="H2" s="3"/>
      <c r="I2" s="3"/>
      <c r="J2" s="3"/>
      <c r="K2" s="46" t="s">
        <v>1389</v>
      </c>
    </row>
    <row r="3" customFormat="false" ht="28.5" hidden="false" customHeight="true" outlineLevel="0" collapsed="false">
      <c r="B3" s="5" t="s">
        <v>3</v>
      </c>
      <c r="D3" s="6" t="s">
        <v>1529</v>
      </c>
      <c r="E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1530</v>
      </c>
      <c r="D6" s="9"/>
    </row>
    <row r="7" customFormat="false" ht="31.5" hidden="false" customHeight="true" outlineLevel="0" collapsed="false">
      <c r="B7" s="47" t="s">
        <v>1394</v>
      </c>
      <c r="C7" s="9" t="s">
        <v>1531</v>
      </c>
      <c r="D7" s="9"/>
    </row>
    <row r="8" customFormat="false" ht="31.5" hidden="false" customHeight="true" outlineLevel="0" collapsed="false">
      <c r="B8" s="47" t="s">
        <v>1396</v>
      </c>
      <c r="C8" s="9" t="s">
        <v>1532</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1533</v>
      </c>
      <c r="C11" s="9"/>
      <c r="D11" s="9"/>
      <c r="E11" s="9"/>
      <c r="F11" s="9"/>
    </row>
    <row r="12" customFormat="false" ht="15.75" hidden="false" customHeight="true" outlineLevel="0" collapsed="false">
      <c r="B12" s="9" t="s">
        <v>1534</v>
      </c>
      <c r="C12" s="9"/>
      <c r="D12" s="9"/>
      <c r="E12" s="9"/>
      <c r="F12" s="9"/>
    </row>
    <row r="13" customFormat="false" ht="15.75" hidden="false" customHeight="true" outlineLevel="0" collapsed="false">
      <c r="B13" s="9"/>
      <c r="C13" s="9"/>
      <c r="D13" s="9"/>
      <c r="E13" s="9"/>
      <c r="F13" s="9"/>
    </row>
    <row r="14" customFormat="false" ht="15.75" hidden="false" customHeight="true" outlineLevel="0" collapsed="false">
      <c r="B14" s="9" t="s">
        <v>1535</v>
      </c>
      <c r="C14" s="9"/>
      <c r="D14" s="9"/>
      <c r="E14" s="9"/>
      <c r="F14" s="9"/>
    </row>
    <row r="15" customFormat="false" ht="15.75" hidden="false" customHeight="true" outlineLevel="0" collapsed="false">
      <c r="B15" s="9"/>
      <c r="C15" s="9"/>
      <c r="D15" s="9"/>
      <c r="E15" s="9"/>
      <c r="F15" s="9"/>
    </row>
    <row r="16" customFormat="false" ht="15" hidden="false" customHeight="true" outlineLevel="0" collapsed="false">
      <c r="B16" s="9" t="s">
        <v>1536</v>
      </c>
      <c r="C16" s="9"/>
      <c r="D16" s="9"/>
      <c r="E16" s="9"/>
      <c r="F16" s="9"/>
    </row>
    <row r="17" customFormat="false" ht="15" hidden="false" customHeight="true" outlineLevel="0" collapsed="false">
      <c r="B17" s="9"/>
      <c r="C17" s="9"/>
      <c r="D17" s="9"/>
      <c r="E17" s="9"/>
      <c r="F17" s="9"/>
    </row>
    <row r="18" customFormat="false" ht="15" hidden="false" customHeight="true" outlineLevel="0" collapsed="false">
      <c r="B18" s="9"/>
      <c r="C18" s="9"/>
      <c r="D18" s="9"/>
      <c r="E18" s="9"/>
      <c r="F18" s="9"/>
    </row>
    <row r="20" customFormat="false" ht="15.75" hidden="false" customHeight="true" outlineLevel="0" collapsed="false">
      <c r="B20" s="7" t="s">
        <v>1406</v>
      </c>
      <c r="C20" s="8"/>
      <c r="D20" s="8"/>
      <c r="E20" s="8"/>
      <c r="F20" s="8"/>
      <c r="G20" s="8"/>
      <c r="H20" s="8"/>
      <c r="I20" s="8"/>
      <c r="J20" s="8"/>
      <c r="K20" s="8"/>
    </row>
    <row r="21" customFormat="false" ht="17.25" hidden="false" customHeight="true" outlineLevel="0" collapsed="false">
      <c r="B21" s="48" t="s">
        <v>1407</v>
      </c>
      <c r="C21" s="48"/>
      <c r="D21" s="48"/>
      <c r="E21" s="49" t="s">
        <v>1408</v>
      </c>
      <c r="F21" s="49"/>
    </row>
    <row r="22" customFormat="false" ht="31.5" hidden="false" customHeight="true" outlineLevel="0" collapsed="false">
      <c r="B22" s="23" t="s">
        <v>1537</v>
      </c>
      <c r="C22" s="23"/>
      <c r="D22" s="23"/>
      <c r="E22" s="23" t="s">
        <v>1538</v>
      </c>
      <c r="F22" s="23"/>
    </row>
    <row r="23" customFormat="false" ht="31.5" hidden="false" customHeight="true" outlineLevel="0" collapsed="false">
      <c r="B23" s="23" t="s">
        <v>1539</v>
      </c>
      <c r="C23" s="23"/>
      <c r="D23" s="23"/>
      <c r="E23" s="23" t="s">
        <v>1540</v>
      </c>
      <c r="F23" s="23"/>
    </row>
    <row r="24" customFormat="false" ht="31.5" hidden="false" customHeight="true" outlineLevel="0" collapsed="false">
      <c r="B24" s="23" t="s">
        <v>1541</v>
      </c>
      <c r="C24" s="23"/>
      <c r="D24" s="23"/>
      <c r="E24" s="23" t="s">
        <v>1542</v>
      </c>
      <c r="F24" s="23"/>
    </row>
    <row r="26" customFormat="false" ht="16.5" hidden="false" customHeight="true" outlineLevel="0" collapsed="false">
      <c r="B26" s="11" t="s">
        <v>1416</v>
      </c>
      <c r="C26" s="11" t="s">
        <v>1417</v>
      </c>
      <c r="D26" s="11" t="s">
        <v>1418</v>
      </c>
      <c r="E26" s="11" t="s">
        <v>1419</v>
      </c>
    </row>
    <row r="27" customFormat="false" ht="44.25" hidden="false" customHeight="true" outlineLevel="0" collapsed="false">
      <c r="B27" s="12" t="s">
        <v>1543</v>
      </c>
      <c r="C27" s="12" t="s">
        <v>1544</v>
      </c>
      <c r="D27" s="12" t="s">
        <v>1545</v>
      </c>
      <c r="E27" s="50" t="s">
        <v>1546</v>
      </c>
    </row>
    <row r="28" customFormat="false" ht="44.25" hidden="false" customHeight="true" outlineLevel="0" collapsed="false">
      <c r="B28" s="12" t="s">
        <v>1547</v>
      </c>
      <c r="C28" s="12" t="s">
        <v>1548</v>
      </c>
      <c r="D28" s="12" t="s">
        <v>1549</v>
      </c>
      <c r="E28" s="50" t="s">
        <v>1546</v>
      </c>
    </row>
    <row r="29" customFormat="false" ht="30.75" hidden="false" customHeight="true" outlineLevel="0" collapsed="false">
      <c r="B29" s="12" t="s">
        <v>1550</v>
      </c>
      <c r="C29" s="12" t="s">
        <v>1551</v>
      </c>
      <c r="D29" s="12" t="s">
        <v>1552</v>
      </c>
      <c r="E29" s="50" t="s">
        <v>1060</v>
      </c>
    </row>
    <row r="31" customFormat="false" ht="15.75" hidden="false" customHeight="true" outlineLevel="0" collapsed="false">
      <c r="B31" s="7" t="s">
        <v>1429</v>
      </c>
      <c r="C31" s="8"/>
      <c r="D31" s="8"/>
      <c r="E31" s="8"/>
      <c r="F31" s="8"/>
      <c r="G31" s="8"/>
      <c r="H31" s="8"/>
      <c r="I31" s="8"/>
      <c r="J31" s="8"/>
      <c r="K31" s="8"/>
    </row>
    <row r="32" customFormat="false" ht="17.25" hidden="false" customHeight="true" outlineLevel="0" collapsed="false">
      <c r="B32" s="51" t="s">
        <v>1553</v>
      </c>
      <c r="C32" s="51"/>
      <c r="D32" s="51"/>
      <c r="E32" s="51"/>
      <c r="F32" s="51"/>
    </row>
    <row r="33" customFormat="false" ht="15" hidden="false" customHeight="true" outlineLevel="0" collapsed="false">
      <c r="B33" s="59" t="s">
        <v>1554</v>
      </c>
    </row>
    <row r="34" customFormat="false" ht="17.25" hidden="false" customHeight="true" outlineLevel="0" collapsed="false">
      <c r="B34" s="51" t="s">
        <v>1555</v>
      </c>
      <c r="C34" s="51"/>
      <c r="D34" s="51"/>
      <c r="E34" s="51"/>
      <c r="F34" s="51"/>
    </row>
    <row r="35" customFormat="false" ht="15" hidden="false" customHeight="true" outlineLevel="0" collapsed="false">
      <c r="B35" s="59" t="s">
        <v>1556</v>
      </c>
    </row>
    <row r="36" customFormat="false" ht="17.25" hidden="false" customHeight="true" outlineLevel="0" collapsed="false">
      <c r="B36" s="51" t="s">
        <v>1557</v>
      </c>
      <c r="C36" s="51"/>
      <c r="D36" s="51"/>
      <c r="E36" s="51"/>
      <c r="F36" s="51"/>
    </row>
    <row r="37" customFormat="false" ht="15" hidden="false" customHeight="true" outlineLevel="0" collapsed="false">
      <c r="B37" s="59" t="s">
        <v>1558</v>
      </c>
    </row>
    <row r="38" customFormat="false" ht="17.25" hidden="false" customHeight="true" outlineLevel="0" collapsed="false">
      <c r="B38" s="51" t="s">
        <v>1559</v>
      </c>
      <c r="C38" s="51"/>
      <c r="D38" s="51"/>
      <c r="E38" s="51"/>
      <c r="F38" s="51"/>
    </row>
    <row r="39" customFormat="false" ht="15" hidden="false" customHeight="true" outlineLevel="0" collapsed="false">
      <c r="B39" s="59" t="s">
        <v>1560</v>
      </c>
    </row>
    <row r="40" customFormat="false" ht="17.25" hidden="false" customHeight="true" outlineLevel="0" collapsed="false">
      <c r="B40" s="52" t="s">
        <v>1561</v>
      </c>
      <c r="C40" s="52"/>
      <c r="D40" s="52"/>
      <c r="E40" s="52"/>
      <c r="F40" s="52"/>
    </row>
    <row r="42" customFormat="false" ht="15.75" hidden="false" customHeight="true" outlineLevel="0" collapsed="false">
      <c r="B42" s="7" t="s">
        <v>1437</v>
      </c>
      <c r="C42" s="8"/>
      <c r="D42" s="8"/>
      <c r="E42" s="8"/>
      <c r="F42" s="8"/>
      <c r="G42" s="8"/>
      <c r="H42" s="8"/>
      <c r="I42" s="8"/>
      <c r="J42" s="8"/>
      <c r="K42" s="8"/>
    </row>
    <row r="43" customFormat="false" ht="16.5" hidden="false" customHeight="true" outlineLevel="0" collapsed="false">
      <c r="B43" s="11" t="s">
        <v>1438</v>
      </c>
      <c r="C43" s="11" t="s">
        <v>1439</v>
      </c>
      <c r="D43" s="11" t="s">
        <v>1440</v>
      </c>
    </row>
    <row r="44" customFormat="false" ht="16.5" hidden="false" customHeight="true" outlineLevel="0" collapsed="false">
      <c r="B44" s="12" t="s">
        <v>1562</v>
      </c>
      <c r="C44" s="12" t="s">
        <v>1563</v>
      </c>
      <c r="D44" s="12" t="s">
        <v>1564</v>
      </c>
    </row>
    <row r="45" customFormat="false" ht="30.75" hidden="false" customHeight="true" outlineLevel="0" collapsed="false">
      <c r="B45" s="12" t="s">
        <v>1565</v>
      </c>
      <c r="C45" s="12" t="s">
        <v>1566</v>
      </c>
      <c r="D45" s="12" t="s">
        <v>1567</v>
      </c>
    </row>
    <row r="46" customFormat="false" ht="16.5" hidden="false" customHeight="true" outlineLevel="0" collapsed="false">
      <c r="B46" s="12" t="s">
        <v>1568</v>
      </c>
      <c r="C46" s="12" t="s">
        <v>1569</v>
      </c>
      <c r="D46" s="12" t="s">
        <v>1570</v>
      </c>
    </row>
    <row r="47" customFormat="false" ht="30.75" hidden="false" customHeight="true" outlineLevel="0" collapsed="false">
      <c r="B47" s="12" t="s">
        <v>1571</v>
      </c>
      <c r="C47" s="12" t="s">
        <v>1572</v>
      </c>
      <c r="D47" s="12" t="s">
        <v>1573</v>
      </c>
    </row>
    <row r="48" customFormat="false" ht="30.75" hidden="false" customHeight="true" outlineLevel="0" collapsed="false">
      <c r="B48" s="12" t="s">
        <v>1574</v>
      </c>
      <c r="C48" s="12" t="s">
        <v>1575</v>
      </c>
      <c r="D48" s="12" t="s">
        <v>1576</v>
      </c>
    </row>
    <row r="49" customFormat="false" ht="30.75" hidden="false" customHeight="true" outlineLevel="0" collapsed="false">
      <c r="B49" s="12" t="s">
        <v>1577</v>
      </c>
      <c r="C49" s="12" t="s">
        <v>1578</v>
      </c>
      <c r="D49" s="12" t="s">
        <v>1579</v>
      </c>
    </row>
    <row r="50" customFormat="false" ht="28.5" hidden="false" customHeight="true" outlineLevel="0" collapsed="false">
      <c r="B50" s="16" t="s">
        <v>1453</v>
      </c>
      <c r="C50" s="16"/>
      <c r="D50" s="16"/>
      <c r="E50" s="16"/>
      <c r="F50" s="16"/>
    </row>
    <row r="52" customFormat="false" ht="15.75" hidden="false" customHeight="true" outlineLevel="0" collapsed="false">
      <c r="B52" s="7" t="s">
        <v>1454</v>
      </c>
      <c r="C52" s="8"/>
      <c r="D52" s="8"/>
      <c r="E52" s="8"/>
      <c r="F52" s="8"/>
      <c r="G52" s="8"/>
      <c r="H52" s="8"/>
      <c r="I52" s="8"/>
      <c r="J52" s="8"/>
      <c r="K52" s="8"/>
    </row>
    <row r="53" customFormat="false" ht="15.75" hidden="false" customHeight="true" outlineLevel="0" collapsed="false">
      <c r="B53" s="9" t="s">
        <v>1580</v>
      </c>
      <c r="C53" s="9"/>
      <c r="D53" s="9"/>
      <c r="E53" s="9"/>
      <c r="F53" s="9"/>
    </row>
    <row r="54" customFormat="false" ht="15.75" hidden="false" customHeight="true" outlineLevel="0" collapsed="false">
      <c r="B54" s="9"/>
      <c r="C54" s="9"/>
      <c r="D54" s="9"/>
      <c r="E54" s="9"/>
      <c r="F54" s="9"/>
    </row>
    <row r="55" customFormat="false" ht="15" hidden="false" customHeight="true" outlineLevel="0" collapsed="false">
      <c r="B55" s="19" t="s">
        <v>85</v>
      </c>
      <c r="C55" s="41" t="s">
        <v>86</v>
      </c>
    </row>
    <row r="57" customFormat="false" ht="15" hidden="false" customHeight="true" outlineLevel="0" collapsed="false">
      <c r="B57" s="10" t="s">
        <v>1581</v>
      </c>
      <c r="C57" s="60" t="n">
        <v>500.4</v>
      </c>
      <c r="D57" s="60" t="n">
        <v>499.1</v>
      </c>
      <c r="E57" s="60" t="n">
        <v>501.2</v>
      </c>
      <c r="F57" s="60" t="n">
        <v>500.8</v>
      </c>
      <c r="G57" s="60" t="n">
        <v>498.7</v>
      </c>
    </row>
    <row r="58" customFormat="false" ht="15" hidden="false" customHeight="true" outlineLevel="0" collapsed="false">
      <c r="C58" s="60" t="n">
        <v>500.1</v>
      </c>
      <c r="D58" s="60" t="n">
        <v>502.3</v>
      </c>
      <c r="E58" s="60" t="n">
        <v>499.6</v>
      </c>
      <c r="F58" s="60" t="n">
        <v>500.9</v>
      </c>
      <c r="G58" s="60" t="n">
        <v>501.5</v>
      </c>
    </row>
    <row r="60" customFormat="false" ht="15" hidden="false" customHeight="true" outlineLevel="0" collapsed="false">
      <c r="B60" s="10" t="s">
        <v>1582</v>
      </c>
      <c r="C60" s="60" t="n">
        <v>500</v>
      </c>
    </row>
    <row r="61" customFormat="false" ht="15" hidden="false" customHeight="true" outlineLevel="0" collapsed="false">
      <c r="B61" s="10" t="s">
        <v>1583</v>
      </c>
      <c r="C61" s="61" t="n">
        <v>1.1</v>
      </c>
    </row>
    <row r="62" customFormat="false" ht="15" hidden="false" customHeight="true" outlineLevel="0" collapsed="false">
      <c r="B62" s="10" t="s">
        <v>1584</v>
      </c>
      <c r="C62" s="62" t="n">
        <v>0.95</v>
      </c>
    </row>
    <row r="64" customFormat="false" ht="15" hidden="false" customHeight="true" outlineLevel="0" collapsed="false">
      <c r="B64" s="10" t="s">
        <v>1585</v>
      </c>
      <c r="C64" s="44" t="n">
        <f aca="false">COUNT($C$57:$G$58)</f>
        <v>10</v>
      </c>
    </row>
    <row r="65" customFormat="false" ht="15" hidden="false" customHeight="true" outlineLevel="0" collapsed="false">
      <c r="B65" s="10" t="s">
        <v>1586</v>
      </c>
      <c r="C65" s="63" t="n">
        <f aca="false">AVERAGE($C$57:$G$58)</f>
        <v>500.46</v>
      </c>
    </row>
    <row r="66" customFormat="false" ht="15" hidden="false" customHeight="true" outlineLevel="0" collapsed="false">
      <c r="B66" s="10" t="s">
        <v>1587</v>
      </c>
      <c r="C66" s="63" t="n">
        <f aca="false">STDEV($C$57:$G$58)</f>
        <v>1.11275434046433</v>
      </c>
    </row>
    <row r="67" customFormat="false" ht="15" hidden="false" customHeight="true" outlineLevel="0" collapsed="false">
      <c r="B67" s="10" t="s">
        <v>1588</v>
      </c>
      <c r="C67" s="63" t="n">
        <f aca="false">C61/SQRT(C64)</f>
        <v>0.347850542618522</v>
      </c>
    </row>
    <row r="68" customFormat="false" ht="15" hidden="false" customHeight="true" outlineLevel="0" collapsed="false">
      <c r="B68" s="10" t="s">
        <v>1589</v>
      </c>
      <c r="C68" s="63" t="n">
        <f aca="false">C66/SQRT(C64)</f>
        <v>0.351883819210576</v>
      </c>
    </row>
    <row r="69" customFormat="false" ht="15" hidden="false" customHeight="true" outlineLevel="0" collapsed="false">
      <c r="B69" s="10" t="s">
        <v>1590</v>
      </c>
      <c r="C69" s="63" t="n">
        <f aca="false">NORMSINV(1-(1-C62)/2)</f>
        <v>1.95996398454005</v>
      </c>
    </row>
    <row r="70" customFormat="false" ht="15" hidden="false" customHeight="true" outlineLevel="0" collapsed="false">
      <c r="B70" s="10" t="s">
        <v>1591</v>
      </c>
      <c r="C70" s="63" t="n">
        <f aca="false">C69*C67</f>
        <v>0.681774535535017</v>
      </c>
    </row>
    <row r="71" customFormat="false" ht="15" hidden="false" customHeight="true" outlineLevel="0" collapsed="false">
      <c r="B71" s="10" t="s">
        <v>1592</v>
      </c>
      <c r="C71" s="63" t="n">
        <f aca="false">C65-C60</f>
        <v>0.460000000000036</v>
      </c>
    </row>
    <row r="72" customFormat="false" ht="15" hidden="false" customHeight="true" outlineLevel="0" collapsed="false">
      <c r="B72" s="10" t="s">
        <v>1593</v>
      </c>
      <c r="C72" s="64" t="n">
        <f aca="false">IFERROR((C65-C60)/C67,0)</f>
        <v>1.32240702152506</v>
      </c>
    </row>
    <row r="74" customFormat="false" ht="15.75" hidden="false" customHeight="true" outlineLevel="0" collapsed="false">
      <c r="B74" s="7" t="s">
        <v>1493</v>
      </c>
      <c r="C74" s="8"/>
      <c r="D74" s="8"/>
      <c r="E74" s="8"/>
      <c r="F74" s="8"/>
      <c r="G74" s="8"/>
      <c r="H74" s="8"/>
      <c r="I74" s="8"/>
      <c r="J74" s="8"/>
      <c r="K74" s="8"/>
    </row>
    <row r="75" customFormat="false" ht="33.75" hidden="false" customHeight="true" outlineLevel="0" collapsed="false">
      <c r="B75" s="53" t="s">
        <v>1494</v>
      </c>
      <c r="C75" s="54" t="str">
        <f aca="false">IF(ABS(C71)&lt;=C70,"WITHIN SAMPLING NOISE - no evidence the process has moved. Do not adjust the filler.","BEYOND SAMPLING NOISE - the offset is larger than sampling alone explains. Confirm with E-23.")</f>
        <v>WITHIN SAMPLING NOISE - no evidence the process has moved. Do not adjust the filler.</v>
      </c>
      <c r="D75" s="54"/>
    </row>
    <row r="77" customFormat="false" ht="16.5" hidden="false" customHeight="true" outlineLevel="0" collapsed="false">
      <c r="B77" s="11" t="s">
        <v>1495</v>
      </c>
      <c r="C77" s="11" t="s">
        <v>1496</v>
      </c>
      <c r="D77" s="11" t="s">
        <v>1497</v>
      </c>
    </row>
    <row r="78" customFormat="false" ht="16.5" hidden="false" customHeight="true" outlineLevel="0" collapsed="false">
      <c r="B78" s="12" t="s">
        <v>1594</v>
      </c>
      <c r="C78" s="12" t="s">
        <v>1595</v>
      </c>
      <c r="D78" s="12" t="s">
        <v>1596</v>
      </c>
    </row>
    <row r="79" customFormat="false" ht="16.5" hidden="false" customHeight="true" outlineLevel="0" collapsed="false">
      <c r="B79" s="12" t="s">
        <v>1597</v>
      </c>
      <c r="C79" s="12" t="s">
        <v>1598</v>
      </c>
      <c r="D79" s="12" t="s">
        <v>1599</v>
      </c>
    </row>
    <row r="80" customFormat="false" ht="30.75" hidden="false" customHeight="true" outlineLevel="0" collapsed="false">
      <c r="B80" s="12" t="s">
        <v>1597</v>
      </c>
      <c r="C80" s="12" t="s">
        <v>1600</v>
      </c>
      <c r="D80" s="12" t="s">
        <v>1601</v>
      </c>
    </row>
    <row r="81" customFormat="false" ht="30.75" hidden="false" customHeight="true" outlineLevel="0" collapsed="false">
      <c r="B81" s="12" t="s">
        <v>1602</v>
      </c>
      <c r="C81" s="12" t="s">
        <v>1603</v>
      </c>
      <c r="D81" s="12" t="s">
        <v>1604</v>
      </c>
    </row>
    <row r="83" customFormat="false" ht="15" hidden="false" customHeight="true" outlineLevel="0" collapsed="false">
      <c r="B83" s="55" t="s">
        <v>1507</v>
      </c>
    </row>
    <row r="84" customFormat="false" ht="17.25" hidden="false" customHeight="true" outlineLevel="0" collapsed="false">
      <c r="B84" s="9" t="s">
        <v>1605</v>
      </c>
      <c r="C84" s="9"/>
      <c r="D84" s="9"/>
      <c r="E84" s="9"/>
      <c r="F84" s="9"/>
    </row>
    <row r="85" customFormat="false" ht="31.5" hidden="false" customHeight="true" outlineLevel="0" collapsed="false">
      <c r="B85" s="9" t="s">
        <v>1606</v>
      </c>
      <c r="C85" s="9"/>
      <c r="D85" s="9"/>
      <c r="E85" s="9"/>
      <c r="F85" s="9"/>
    </row>
    <row r="86" customFormat="false" ht="17.25" hidden="false" customHeight="true" outlineLevel="0" collapsed="false">
      <c r="B86" s="9" t="s">
        <v>1607</v>
      </c>
      <c r="C86" s="9"/>
      <c r="D86" s="9"/>
      <c r="E86" s="9"/>
      <c r="F86" s="9"/>
    </row>
    <row r="87" customFormat="false" ht="17.25" hidden="false" customHeight="true" outlineLevel="0" collapsed="false">
      <c r="B87" s="9" t="s">
        <v>1608</v>
      </c>
      <c r="C87" s="9"/>
      <c r="D87" s="9"/>
      <c r="E87" s="9"/>
      <c r="F87" s="9"/>
    </row>
    <row r="89" customFormat="false" ht="15.75" hidden="false" customHeight="true" outlineLevel="0" collapsed="false">
      <c r="B89" s="7" t="s">
        <v>1513</v>
      </c>
      <c r="C89" s="8"/>
      <c r="D89" s="8"/>
      <c r="E89" s="8"/>
      <c r="F89" s="8"/>
      <c r="G89" s="8"/>
      <c r="H89" s="8"/>
      <c r="I89" s="8"/>
      <c r="J89" s="8"/>
      <c r="K89" s="8"/>
    </row>
    <row r="90" customFormat="false" ht="17.25" hidden="false" customHeight="true" outlineLevel="0" collapsed="false">
      <c r="B90" s="9" t="s">
        <v>1514</v>
      </c>
      <c r="C90" s="9"/>
      <c r="D90" s="9"/>
      <c r="E90" s="9"/>
      <c r="F90" s="9"/>
      <c r="N90" s="56" t="s">
        <v>1515</v>
      </c>
    </row>
    <row r="91" customFormat="false" ht="17.25" hidden="false" customHeight="true" outlineLevel="0" collapsed="false">
      <c r="B91" s="9" t="s">
        <v>1609</v>
      </c>
      <c r="C91" s="9"/>
      <c r="D91" s="9"/>
      <c r="E91" s="9"/>
      <c r="F91" s="9"/>
      <c r="N91" s="57" t="s">
        <v>1610</v>
      </c>
    </row>
    <row r="92" customFormat="false" ht="31.5" hidden="false" customHeight="true" outlineLevel="0" collapsed="false">
      <c r="B92" s="9" t="s">
        <v>1611</v>
      </c>
      <c r="C92" s="9"/>
      <c r="D92" s="9"/>
      <c r="E92" s="9"/>
      <c r="F92" s="9"/>
      <c r="N92" s="57" t="s">
        <v>1612</v>
      </c>
    </row>
    <row r="93" customFormat="false" ht="17.25" hidden="false" customHeight="true" outlineLevel="0" collapsed="false">
      <c r="B93" s="9" t="s">
        <v>1613</v>
      </c>
      <c r="C93" s="9"/>
      <c r="D93" s="9"/>
      <c r="E93" s="9"/>
      <c r="F93" s="9"/>
      <c r="N93" s="57" t="s">
        <v>1614</v>
      </c>
    </row>
    <row r="95" customFormat="false" ht="15.75" hidden="false" customHeight="true" outlineLevel="0" collapsed="false">
      <c r="B95" s="7" t="s">
        <v>1522</v>
      </c>
      <c r="C95" s="8"/>
      <c r="D95" s="8"/>
      <c r="E95" s="8"/>
      <c r="F95" s="8"/>
      <c r="G95" s="8"/>
      <c r="H95" s="8"/>
      <c r="I95" s="8"/>
      <c r="J95" s="8"/>
      <c r="K95" s="8"/>
    </row>
    <row r="96" customFormat="false" ht="16.5" hidden="false" customHeight="true" outlineLevel="0" collapsed="false">
      <c r="B96" s="11" t="s">
        <v>1523</v>
      </c>
      <c r="C96" s="11" t="s">
        <v>1524</v>
      </c>
      <c r="D96" s="11" t="s">
        <v>1615</v>
      </c>
    </row>
    <row r="97" customFormat="false" ht="30.75" hidden="false" customHeight="true" outlineLevel="0" collapsed="false">
      <c r="B97" s="58" t="s">
        <v>1202</v>
      </c>
      <c r="C97" s="58" t="s">
        <v>1029</v>
      </c>
      <c r="D97" s="58" t="s">
        <v>1616</v>
      </c>
    </row>
  </sheetData>
  <mergeCells count="33">
    <mergeCell ref="B2:J2"/>
    <mergeCell ref="D3:E3"/>
    <mergeCell ref="C6:D6"/>
    <mergeCell ref="C7:D7"/>
    <mergeCell ref="C8:D8"/>
    <mergeCell ref="B11:F11"/>
    <mergeCell ref="B12:F13"/>
    <mergeCell ref="B14:F15"/>
    <mergeCell ref="B16:F18"/>
    <mergeCell ref="B21:D21"/>
    <mergeCell ref="E21:F21"/>
    <mergeCell ref="B22:D22"/>
    <mergeCell ref="E22:F22"/>
    <mergeCell ref="B23:D23"/>
    <mergeCell ref="E23:F23"/>
    <mergeCell ref="B24:D24"/>
    <mergeCell ref="E24:F24"/>
    <mergeCell ref="B32:F32"/>
    <mergeCell ref="B34:F34"/>
    <mergeCell ref="B36:F36"/>
    <mergeCell ref="B38:F38"/>
    <mergeCell ref="B40:F40"/>
    <mergeCell ref="B50:F50"/>
    <mergeCell ref="B53:F54"/>
    <mergeCell ref="C75:D75"/>
    <mergeCell ref="B84:F84"/>
    <mergeCell ref="B85:F85"/>
    <mergeCell ref="B86:F86"/>
    <mergeCell ref="B87:F87"/>
    <mergeCell ref="B90:F90"/>
    <mergeCell ref="B91:F91"/>
    <mergeCell ref="B92:F92"/>
    <mergeCell ref="B93:F93"/>
  </mergeCells>
  <hyperlinks>
    <hyperlink ref="B3" location="'N-03 Index DMAIC'!A1" display="← Back to Index"/>
    <hyperlink ref="E27" location="'E-05 Sampling Subgroups'!A1" display="E-05  Sampling Strategies and Rational Subgrouping"/>
    <hyperlink ref="E28" location="'E-05 Sampling Subgroups'!A1" display="E-05  Sampling Strategies and Rational Subgrouping"/>
    <hyperlink ref="E29" location="'E-49 I-MR Chart'!A1" display="E-49  Individuals and Moving Range Chart"/>
    <hyperlink ref="B97" location="'E-01 Data Types'!A1" display="E-01  Data Types and Measurement Scales"/>
    <hyperlink ref="C97" location="'E-03 Descriptive Stats'!A1" display="E-03  Descriptive Statistics: Centre and Spread"/>
    <hyperlink ref="D97" location="'E-14 Standard Error'!A1" display="E-14  Standard Error vs Standard Devi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1617</v>
      </c>
      <c r="C2" s="3"/>
      <c r="D2" s="3"/>
      <c r="E2" s="3"/>
      <c r="F2" s="3"/>
      <c r="G2" s="3"/>
      <c r="H2" s="3"/>
      <c r="I2" s="3"/>
      <c r="J2" s="3"/>
      <c r="K2" s="46" t="s">
        <v>1389</v>
      </c>
    </row>
    <row r="3" customFormat="false" ht="28.5" hidden="false" customHeight="true" outlineLevel="0" collapsed="false">
      <c r="B3" s="5" t="s">
        <v>3</v>
      </c>
      <c r="D3" s="6" t="s">
        <v>1618</v>
      </c>
      <c r="E3" s="6"/>
      <c r="F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1619</v>
      </c>
      <c r="D6" s="9"/>
    </row>
    <row r="7" customFormat="false" ht="31.5" hidden="false" customHeight="true" outlineLevel="0" collapsed="false">
      <c r="B7" s="47" t="s">
        <v>1394</v>
      </c>
      <c r="C7" s="9" t="s">
        <v>1620</v>
      </c>
      <c r="D7" s="9"/>
    </row>
    <row r="8" customFormat="false" ht="31.5" hidden="false" customHeight="true" outlineLevel="0" collapsed="false">
      <c r="B8" s="47" t="s">
        <v>1396</v>
      </c>
      <c r="C8" s="9" t="s">
        <v>1621</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1622</v>
      </c>
      <c r="C11" s="9"/>
      <c r="D11" s="9"/>
      <c r="E11" s="9"/>
      <c r="F11" s="9"/>
    </row>
    <row r="12" customFormat="false" ht="17.25" hidden="false" customHeight="true" outlineLevel="0" collapsed="false">
      <c r="B12" s="9" t="s">
        <v>1623</v>
      </c>
      <c r="C12" s="9"/>
      <c r="D12" s="9"/>
      <c r="E12" s="9"/>
      <c r="F12" s="9"/>
    </row>
    <row r="13" customFormat="false" ht="17.25" hidden="false" customHeight="true" outlineLevel="0" collapsed="false">
      <c r="B13" s="9" t="s">
        <v>1624</v>
      </c>
      <c r="C13" s="9"/>
      <c r="D13" s="9"/>
      <c r="E13" s="9"/>
      <c r="F13" s="9"/>
    </row>
    <row r="14" customFormat="false" ht="17.25" hidden="false" customHeight="true" outlineLevel="0" collapsed="false">
      <c r="B14" s="9" t="s">
        <v>1625</v>
      </c>
      <c r="C14" s="9"/>
      <c r="D14" s="9"/>
      <c r="E14" s="9"/>
      <c r="F14" s="9"/>
    </row>
    <row r="15" customFormat="false" ht="17.25" hidden="false" customHeight="true" outlineLevel="0" collapsed="false">
      <c r="B15" s="9" t="s">
        <v>1626</v>
      </c>
      <c r="C15" s="9"/>
      <c r="D15" s="9"/>
      <c r="E15" s="9"/>
      <c r="F15" s="9"/>
    </row>
    <row r="16" customFormat="false" ht="15.75" hidden="false" customHeight="true" outlineLevel="0" collapsed="false">
      <c r="B16" s="9" t="s">
        <v>1627</v>
      </c>
      <c r="C16" s="9"/>
      <c r="D16" s="9"/>
      <c r="E16" s="9"/>
      <c r="F16" s="9"/>
    </row>
    <row r="17" customFormat="false" ht="15.75" hidden="false" customHeight="true" outlineLevel="0" collapsed="false">
      <c r="B17" s="9"/>
      <c r="C17" s="9"/>
      <c r="D17" s="9"/>
      <c r="E17" s="9"/>
      <c r="F17" s="9"/>
    </row>
    <row r="18" customFormat="false" ht="15.75" hidden="false" customHeight="true" outlineLevel="0" collapsed="false">
      <c r="B18" s="9" t="s">
        <v>1628</v>
      </c>
      <c r="C18" s="9"/>
      <c r="D18" s="9"/>
      <c r="E18" s="9"/>
      <c r="F18" s="9"/>
    </row>
    <row r="19" customFormat="false" ht="15.75" hidden="false" customHeight="true" outlineLevel="0" collapsed="false">
      <c r="B19" s="9"/>
      <c r="C19" s="9"/>
      <c r="D19" s="9"/>
      <c r="E19" s="9"/>
      <c r="F19" s="9"/>
    </row>
    <row r="21" customFormat="false" ht="15.75" hidden="false" customHeight="true" outlineLevel="0" collapsed="false">
      <c r="B21" s="7" t="s">
        <v>1406</v>
      </c>
      <c r="C21" s="8"/>
      <c r="D21" s="8"/>
      <c r="E21" s="8"/>
      <c r="F21" s="8"/>
      <c r="G21" s="8"/>
      <c r="H21" s="8"/>
      <c r="I21" s="8"/>
      <c r="J21" s="8"/>
      <c r="K21" s="8"/>
    </row>
    <row r="22" customFormat="false" ht="17.25" hidden="false" customHeight="true" outlineLevel="0" collapsed="false">
      <c r="B22" s="48" t="s">
        <v>1407</v>
      </c>
      <c r="C22" s="48"/>
      <c r="D22" s="48"/>
      <c r="E22" s="49" t="s">
        <v>1408</v>
      </c>
      <c r="F22" s="49"/>
    </row>
    <row r="23" customFormat="false" ht="45.75" hidden="false" customHeight="true" outlineLevel="0" collapsed="false">
      <c r="B23" s="23" t="s">
        <v>1629</v>
      </c>
      <c r="C23" s="23"/>
      <c r="D23" s="23"/>
      <c r="E23" s="23" t="s">
        <v>1630</v>
      </c>
      <c r="F23" s="23"/>
    </row>
    <row r="24" customFormat="false" ht="45.75" hidden="false" customHeight="true" outlineLevel="0" collapsed="false">
      <c r="B24" s="23" t="s">
        <v>1631</v>
      </c>
      <c r="C24" s="23"/>
      <c r="D24" s="23"/>
      <c r="E24" s="23" t="s">
        <v>1632</v>
      </c>
      <c r="F24" s="23"/>
    </row>
    <row r="25" customFormat="false" ht="31.5" hidden="false" customHeight="true" outlineLevel="0" collapsed="false">
      <c r="B25" s="23" t="s">
        <v>1633</v>
      </c>
      <c r="C25" s="23"/>
      <c r="D25" s="23"/>
      <c r="E25" s="23" t="s">
        <v>1634</v>
      </c>
      <c r="F25" s="23"/>
    </row>
    <row r="26" customFormat="false" ht="17.25" hidden="false" customHeight="true" outlineLevel="0" collapsed="false">
      <c r="B26" s="23" t="s">
        <v>1635</v>
      </c>
      <c r="C26" s="23"/>
      <c r="D26" s="23"/>
      <c r="E26" s="23"/>
      <c r="F26" s="23"/>
    </row>
    <row r="28" customFormat="false" ht="16.5" hidden="false" customHeight="true" outlineLevel="0" collapsed="false">
      <c r="B28" s="11" t="s">
        <v>1416</v>
      </c>
      <c r="C28" s="11" t="s">
        <v>1417</v>
      </c>
      <c r="D28" s="11" t="s">
        <v>1418</v>
      </c>
      <c r="E28" s="11" t="s">
        <v>1419</v>
      </c>
    </row>
    <row r="29" customFormat="false" ht="44.25" hidden="false" customHeight="true" outlineLevel="0" collapsed="false">
      <c r="B29" s="12" t="s">
        <v>1636</v>
      </c>
      <c r="C29" s="12" t="s">
        <v>1637</v>
      </c>
      <c r="D29" s="12" t="s">
        <v>1638</v>
      </c>
      <c r="E29" s="50" t="s">
        <v>1070</v>
      </c>
    </row>
    <row r="30" customFormat="false" ht="30.75" hidden="false" customHeight="true" outlineLevel="0" collapsed="false">
      <c r="B30" s="12" t="s">
        <v>1639</v>
      </c>
      <c r="C30" s="12" t="s">
        <v>1640</v>
      </c>
      <c r="D30" s="12" t="s">
        <v>1641</v>
      </c>
      <c r="E30" s="50" t="s">
        <v>1027</v>
      </c>
    </row>
    <row r="31" customFormat="false" ht="44.25" hidden="false" customHeight="true" outlineLevel="0" collapsed="false">
      <c r="B31" s="12" t="s">
        <v>1642</v>
      </c>
      <c r="C31" s="12" t="s">
        <v>1643</v>
      </c>
      <c r="D31" s="12" t="s">
        <v>1644</v>
      </c>
      <c r="E31" s="50" t="s">
        <v>1645</v>
      </c>
    </row>
    <row r="33" customFormat="false" ht="15.75" hidden="false" customHeight="true" outlineLevel="0" collapsed="false">
      <c r="B33" s="7" t="s">
        <v>1429</v>
      </c>
      <c r="C33" s="8"/>
      <c r="D33" s="8"/>
      <c r="E33" s="8"/>
      <c r="F33" s="8"/>
      <c r="G33" s="8"/>
      <c r="H33" s="8"/>
      <c r="I33" s="8"/>
      <c r="J33" s="8"/>
      <c r="K33" s="8"/>
    </row>
    <row r="34" customFormat="false" ht="15" hidden="false" customHeight="true" outlineLevel="0" collapsed="false">
      <c r="B34" s="47" t="s">
        <v>1458</v>
      </c>
    </row>
    <row r="35" customFormat="false" ht="15" hidden="false" customHeight="true" outlineLevel="0" collapsed="false">
      <c r="B35" s="59" t="s">
        <v>1646</v>
      </c>
    </row>
    <row r="36" customFormat="false" ht="17.25" hidden="false" customHeight="true" outlineLevel="0" collapsed="false">
      <c r="B36" s="52" t="s">
        <v>1647</v>
      </c>
      <c r="C36" s="52"/>
      <c r="D36" s="52"/>
      <c r="E36" s="52"/>
      <c r="F36" s="52"/>
    </row>
    <row r="37" customFormat="false" ht="15" hidden="false" customHeight="true" outlineLevel="0" collapsed="false">
      <c r="B37" s="47" t="s">
        <v>1459</v>
      </c>
    </row>
    <row r="38" customFormat="false" ht="17.25" hidden="false" customHeight="true" outlineLevel="0" collapsed="false">
      <c r="B38" s="52" t="s">
        <v>1648</v>
      </c>
      <c r="C38" s="52"/>
      <c r="D38" s="52"/>
      <c r="E38" s="52"/>
      <c r="F38" s="52"/>
    </row>
    <row r="39" customFormat="false" ht="15" hidden="false" customHeight="true" outlineLevel="0" collapsed="false">
      <c r="B39" s="59" t="s">
        <v>1649</v>
      </c>
    </row>
    <row r="40" customFormat="false" ht="15" hidden="false" customHeight="true" outlineLevel="0" collapsed="false">
      <c r="B40" s="59" t="s">
        <v>1650</v>
      </c>
    </row>
    <row r="41" customFormat="false" ht="15" hidden="false" customHeight="true" outlineLevel="0" collapsed="false">
      <c r="B41" s="59" t="s">
        <v>1651</v>
      </c>
    </row>
    <row r="42" customFormat="false" ht="17.25" hidden="false" customHeight="true" outlineLevel="0" collapsed="false">
      <c r="B42" s="52" t="s">
        <v>1652</v>
      </c>
      <c r="C42" s="52"/>
      <c r="D42" s="52"/>
      <c r="E42" s="52"/>
      <c r="F42" s="52"/>
    </row>
    <row r="43" customFormat="false" ht="15" hidden="false" customHeight="true" outlineLevel="0" collapsed="false">
      <c r="B43" s="47" t="s">
        <v>1653</v>
      </c>
    </row>
    <row r="44" customFormat="false" ht="15.75" hidden="false" customHeight="true" outlineLevel="0" collapsed="false">
      <c r="B44" s="52" t="s">
        <v>1654</v>
      </c>
      <c r="C44" s="52"/>
      <c r="D44" s="52"/>
      <c r="E44" s="52"/>
      <c r="F44" s="52"/>
    </row>
    <row r="45" customFormat="false" ht="15.75" hidden="false" customHeight="true" outlineLevel="0" collapsed="false">
      <c r="B45" s="52"/>
      <c r="C45" s="52"/>
      <c r="D45" s="52"/>
      <c r="E45" s="52"/>
      <c r="F45" s="52"/>
    </row>
    <row r="47" customFormat="false" ht="15.75" hidden="false" customHeight="true" outlineLevel="0" collapsed="false">
      <c r="B47" s="7" t="s">
        <v>1437</v>
      </c>
      <c r="C47" s="8"/>
      <c r="D47" s="8"/>
      <c r="E47" s="8"/>
      <c r="F47" s="8"/>
      <c r="G47" s="8"/>
      <c r="H47" s="8"/>
      <c r="I47" s="8"/>
      <c r="J47" s="8"/>
      <c r="K47" s="8"/>
    </row>
    <row r="48" customFormat="false" ht="16.5" hidden="false" customHeight="true" outlineLevel="0" collapsed="false">
      <c r="B48" s="11" t="s">
        <v>1438</v>
      </c>
      <c r="C48" s="11" t="s">
        <v>1439</v>
      </c>
      <c r="D48" s="11" t="s">
        <v>1440</v>
      </c>
    </row>
    <row r="49" customFormat="false" ht="16.5" hidden="false" customHeight="true" outlineLevel="0" collapsed="false">
      <c r="B49" s="12" t="s">
        <v>1655</v>
      </c>
      <c r="C49" s="12" t="s">
        <v>1563</v>
      </c>
      <c r="D49" s="12" t="s">
        <v>1656</v>
      </c>
    </row>
    <row r="50" customFormat="false" ht="30.75" hidden="false" customHeight="true" outlineLevel="0" collapsed="false">
      <c r="B50" s="12" t="s">
        <v>1657</v>
      </c>
      <c r="C50" s="12" t="s">
        <v>1566</v>
      </c>
      <c r="D50" s="12" t="s">
        <v>1658</v>
      </c>
    </row>
    <row r="51" customFormat="false" ht="30.75" hidden="false" customHeight="true" outlineLevel="0" collapsed="false">
      <c r="B51" s="12" t="s">
        <v>1659</v>
      </c>
      <c r="C51" s="12" t="s">
        <v>1660</v>
      </c>
      <c r="D51" s="12" t="s">
        <v>1661</v>
      </c>
    </row>
    <row r="52" customFormat="false" ht="30.75" hidden="false" customHeight="true" outlineLevel="0" collapsed="false">
      <c r="B52" s="12" t="s">
        <v>1662</v>
      </c>
      <c r="C52" s="12" t="s">
        <v>1663</v>
      </c>
      <c r="D52" s="12" t="s">
        <v>1664</v>
      </c>
    </row>
    <row r="53" customFormat="false" ht="30.75" hidden="false" customHeight="true" outlineLevel="0" collapsed="false">
      <c r="B53" s="12" t="s">
        <v>1665</v>
      </c>
      <c r="C53" s="12" t="s">
        <v>1666</v>
      </c>
      <c r="D53" s="12" t="s">
        <v>1667</v>
      </c>
    </row>
    <row r="54" customFormat="false" ht="30.75" hidden="false" customHeight="true" outlineLevel="0" collapsed="false">
      <c r="B54" s="12" t="s">
        <v>1668</v>
      </c>
      <c r="C54" s="12" t="s">
        <v>1669</v>
      </c>
      <c r="D54" s="12" t="s">
        <v>1670</v>
      </c>
    </row>
    <row r="55" customFormat="false" ht="30.75" hidden="false" customHeight="true" outlineLevel="0" collapsed="false">
      <c r="B55" s="12" t="s">
        <v>1671</v>
      </c>
      <c r="C55" s="12" t="s">
        <v>1672</v>
      </c>
      <c r="D55" s="12" t="s">
        <v>1673</v>
      </c>
    </row>
    <row r="56" customFormat="false" ht="28.5" hidden="false" customHeight="true" outlineLevel="0" collapsed="false">
      <c r="B56" s="16" t="s">
        <v>1453</v>
      </c>
      <c r="C56" s="16"/>
      <c r="D56" s="16"/>
      <c r="E56" s="16"/>
      <c r="F56" s="16"/>
    </row>
    <row r="58" customFormat="false" ht="15.75" hidden="false" customHeight="true" outlineLevel="0" collapsed="false">
      <c r="B58" s="7" t="s">
        <v>1454</v>
      </c>
      <c r="C58" s="8"/>
      <c r="D58" s="8"/>
      <c r="E58" s="8"/>
      <c r="F58" s="8"/>
      <c r="G58" s="8"/>
      <c r="H58" s="8"/>
      <c r="I58" s="8"/>
      <c r="J58" s="8"/>
      <c r="K58" s="8"/>
    </row>
    <row r="59" customFormat="false" ht="17.25" hidden="false" customHeight="true" outlineLevel="0" collapsed="false">
      <c r="B59" s="9" t="s">
        <v>1674</v>
      </c>
      <c r="C59" s="9"/>
      <c r="D59" s="9"/>
      <c r="E59" s="9"/>
      <c r="F59" s="9"/>
    </row>
    <row r="60" customFormat="false" ht="17.25" hidden="false" customHeight="true" outlineLevel="0" collapsed="false">
      <c r="B60" s="9" t="s">
        <v>1675</v>
      </c>
      <c r="C60" s="9"/>
      <c r="D60" s="9"/>
      <c r="E60" s="9"/>
      <c r="F60" s="9"/>
    </row>
    <row r="61" customFormat="false" ht="15" hidden="false" customHeight="true" outlineLevel="0" collapsed="false">
      <c r="B61" s="19" t="s">
        <v>85</v>
      </c>
      <c r="C61" s="41" t="s">
        <v>86</v>
      </c>
    </row>
    <row r="63" customFormat="false" ht="15" hidden="false" customHeight="true" outlineLevel="0" collapsed="false">
      <c r="B63" s="10" t="s">
        <v>1676</v>
      </c>
      <c r="C63" s="60" t="n">
        <v>500.4</v>
      </c>
      <c r="D63" s="60" t="n">
        <v>499.1</v>
      </c>
      <c r="E63" s="60" t="n">
        <v>501.2</v>
      </c>
      <c r="F63" s="60" t="n">
        <v>500.8</v>
      </c>
      <c r="G63" s="60" t="n">
        <v>498.7</v>
      </c>
      <c r="H63" s="60" t="n">
        <v>500.1</v>
      </c>
    </row>
    <row r="64" customFormat="false" ht="15" hidden="false" customHeight="true" outlineLevel="0" collapsed="false">
      <c r="C64" s="60" t="n">
        <v>502.3</v>
      </c>
      <c r="D64" s="60" t="n">
        <v>499.6</v>
      </c>
      <c r="E64" s="60" t="n">
        <v>500.9</v>
      </c>
      <c r="F64" s="60" t="n">
        <v>501.5</v>
      </c>
      <c r="G64" s="60" t="n">
        <v>498.9</v>
      </c>
      <c r="H64" s="60" t="n">
        <v>500.2</v>
      </c>
    </row>
    <row r="65" customFormat="false" ht="15" hidden="false" customHeight="true" outlineLevel="0" collapsed="false">
      <c r="C65" s="60" t="n">
        <v>499.4</v>
      </c>
      <c r="D65" s="60" t="n">
        <v>501.8</v>
      </c>
      <c r="E65" s="60" t="n">
        <v>500.6</v>
      </c>
      <c r="F65" s="60" t="n">
        <v>499.9</v>
      </c>
      <c r="G65" s="60" t="n">
        <v>500.3</v>
      </c>
      <c r="H65" s="60" t="n">
        <v>502.1</v>
      </c>
    </row>
    <row r="66" customFormat="false" ht="15" hidden="false" customHeight="true" outlineLevel="0" collapsed="false">
      <c r="C66" s="60" t="n">
        <v>498.5</v>
      </c>
      <c r="D66" s="60" t="n">
        <v>500.7</v>
      </c>
      <c r="E66" s="60" t="n">
        <v>501.1</v>
      </c>
      <c r="F66" s="60" t="n">
        <v>499.2</v>
      </c>
      <c r="G66" s="60" t="n">
        <v>500.5</v>
      </c>
      <c r="H66" s="60" t="n">
        <v>500</v>
      </c>
    </row>
    <row r="67" customFormat="false" ht="15" hidden="false" customHeight="true" outlineLevel="0" collapsed="false">
      <c r="C67" s="60" t="n">
        <v>501.6</v>
      </c>
      <c r="D67" s="60" t="n">
        <v>499.7</v>
      </c>
      <c r="E67" s="60" t="n">
        <v>500.8</v>
      </c>
      <c r="F67" s="60" t="n">
        <v>498.8</v>
      </c>
      <c r="G67" s="60" t="n">
        <v>501.3</v>
      </c>
      <c r="H67" s="60" t="n">
        <v>500.1</v>
      </c>
    </row>
    <row r="69" customFormat="false" ht="15" hidden="false" customHeight="true" outlineLevel="0" collapsed="false">
      <c r="B69" s="10" t="s">
        <v>1677</v>
      </c>
      <c r="C69" s="60" t="n">
        <v>504</v>
      </c>
    </row>
    <row r="70" customFormat="false" ht="15" hidden="false" customHeight="true" outlineLevel="0" collapsed="false">
      <c r="B70" s="10" t="s">
        <v>1678</v>
      </c>
      <c r="C70" s="60" t="n">
        <v>496</v>
      </c>
    </row>
    <row r="71" customFormat="false" ht="15" hidden="false" customHeight="true" outlineLevel="0" collapsed="false">
      <c r="B71" s="10" t="s">
        <v>1679</v>
      </c>
      <c r="C71" s="65" t="n">
        <v>8</v>
      </c>
    </row>
    <row r="73" customFormat="false" ht="15.75" hidden="false" customHeight="true" outlineLevel="0" collapsed="false">
      <c r="B73" s="7" t="s">
        <v>1680</v>
      </c>
      <c r="C73" s="8"/>
      <c r="D73" s="8"/>
      <c r="E73" s="8"/>
      <c r="F73" s="8"/>
      <c r="G73" s="8"/>
      <c r="H73" s="8"/>
      <c r="I73" s="8"/>
      <c r="J73" s="8"/>
      <c r="K73" s="8"/>
    </row>
    <row r="74" customFormat="false" ht="15" hidden="false" customHeight="true" outlineLevel="0" collapsed="false">
      <c r="B74" s="10" t="s">
        <v>1681</v>
      </c>
      <c r="C74" s="44" t="n">
        <f aca="false">COUNT($C$63:$H$67)</f>
        <v>30</v>
      </c>
    </row>
    <row r="75" customFormat="false" ht="15" hidden="false" customHeight="true" outlineLevel="0" collapsed="false">
      <c r="B75" s="10" t="s">
        <v>1682</v>
      </c>
      <c r="C75" s="63" t="n">
        <f aca="false">AVERAGE($C$63:$H$67)</f>
        <v>500.336666666667</v>
      </c>
    </row>
    <row r="76" customFormat="false" ht="15" hidden="false" customHeight="true" outlineLevel="0" collapsed="false">
      <c r="B76" s="10" t="s">
        <v>1683</v>
      </c>
      <c r="C76" s="63" t="n">
        <f aca="false">MEDIAN($C$63:$H$67)</f>
        <v>500.35</v>
      </c>
    </row>
    <row r="77" customFormat="false" ht="15" hidden="false" customHeight="true" outlineLevel="0" collapsed="false">
      <c r="B77" s="10" t="s">
        <v>1684</v>
      </c>
      <c r="C77" s="41" t="n">
        <f aca="false">IFERROR(MODE($C$63:$H$67),"no repeated value")</f>
        <v>500.1</v>
      </c>
    </row>
    <row r="78" customFormat="false" ht="15" hidden="false" customHeight="true" outlineLevel="0" collapsed="false">
      <c r="B78" s="10" t="s">
        <v>1685</v>
      </c>
      <c r="C78" s="63" t="n">
        <f aca="false">STDEV($C$63:$H$67)</f>
        <v>1.03139789082362</v>
      </c>
    </row>
    <row r="79" customFormat="false" ht="15" hidden="false" customHeight="true" outlineLevel="0" collapsed="false">
      <c r="B79" s="10" t="s">
        <v>1686</v>
      </c>
      <c r="C79" s="66" t="n">
        <f aca="false">VAR($C$63:$H$67)</f>
        <v>1.06378160919541</v>
      </c>
    </row>
    <row r="80" customFormat="false" ht="15" hidden="false" customHeight="true" outlineLevel="0" collapsed="false">
      <c r="B80" s="10" t="s">
        <v>1687</v>
      </c>
      <c r="C80" s="67" t="n">
        <f aca="false">MIN($C$63:$H$67)</f>
        <v>498.5</v>
      </c>
    </row>
    <row r="81" customFormat="false" ht="15" hidden="false" customHeight="true" outlineLevel="0" collapsed="false">
      <c r="B81" s="10" t="s">
        <v>1688</v>
      </c>
      <c r="C81" s="67" t="n">
        <f aca="false">MAX($C$63:$H$67)</f>
        <v>502.3</v>
      </c>
    </row>
    <row r="82" customFormat="false" ht="15" hidden="false" customHeight="true" outlineLevel="0" collapsed="false">
      <c r="B82" s="10" t="s">
        <v>1689</v>
      </c>
      <c r="C82" s="63" t="n">
        <f aca="false">C81-C80</f>
        <v>3.80000000000001</v>
      </c>
    </row>
    <row r="83" customFormat="false" ht="15" hidden="false" customHeight="true" outlineLevel="0" collapsed="false">
      <c r="B83" s="10" t="s">
        <v>1690</v>
      </c>
      <c r="C83" s="63" t="n">
        <f aca="false">QUARTILE($C$63:$H$67,1)</f>
        <v>499.625</v>
      </c>
    </row>
    <row r="84" customFormat="false" ht="15" hidden="false" customHeight="true" outlineLevel="0" collapsed="false">
      <c r="B84" s="10" t="s">
        <v>1691</v>
      </c>
      <c r="C84" s="63" t="n">
        <f aca="false">QUARTILE($C$63:$H$67,3)</f>
        <v>501.05</v>
      </c>
    </row>
    <row r="85" customFormat="false" ht="15" hidden="false" customHeight="true" outlineLevel="0" collapsed="false">
      <c r="B85" s="10" t="s">
        <v>1692</v>
      </c>
      <c r="C85" s="63" t="n">
        <f aca="false">C84-C83</f>
        <v>1.42500000000001</v>
      </c>
    </row>
    <row r="86" customFormat="false" ht="15" hidden="false" customHeight="true" outlineLevel="0" collapsed="false">
      <c r="B86" s="10" t="s">
        <v>1693</v>
      </c>
      <c r="C86" s="68" t="n">
        <f aca="false">IFERROR(C78/C75,0)</f>
        <v>0.00206140776708407</v>
      </c>
    </row>
    <row r="87" customFormat="false" ht="15" hidden="false" customHeight="true" outlineLevel="0" collapsed="false">
      <c r="B87" s="10" t="s">
        <v>1694</v>
      </c>
      <c r="C87" s="63" t="n">
        <f aca="false">C75-C76</f>
        <v>-0.0133333333333212</v>
      </c>
    </row>
    <row r="88" customFormat="false" ht="15" hidden="false" customHeight="true" outlineLevel="0" collapsed="false">
      <c r="B88" s="10" t="s">
        <v>1695</v>
      </c>
      <c r="C88" s="44" t="n">
        <f aca="false">COUNTIF($C$63:$H$67,"&gt;"&amp;C69)+COUNTIF($C$63:$H$67,"&lt;"&amp;C70)</f>
        <v>0</v>
      </c>
    </row>
    <row r="90" customFormat="false" ht="18" hidden="false" customHeight="true" outlineLevel="0" collapsed="false">
      <c r="B90" s="7" t="s">
        <v>1696</v>
      </c>
      <c r="C90" s="8"/>
      <c r="D90" s="8"/>
      <c r="E90" s="8"/>
      <c r="F90" s="8"/>
      <c r="G90" s="8"/>
      <c r="H90" s="8"/>
      <c r="I90" s="8"/>
      <c r="J90" s="8"/>
      <c r="K90" s="8"/>
    </row>
    <row r="91" customFormat="false" ht="27.75" hidden="false" customHeight="true" outlineLevel="0" collapsed="false">
      <c r="B91" s="11" t="s">
        <v>1697</v>
      </c>
      <c r="C91" s="11" t="s">
        <v>1698</v>
      </c>
      <c r="D91" s="11" t="s">
        <v>1699</v>
      </c>
      <c r="E91" s="11" t="s">
        <v>1700</v>
      </c>
    </row>
    <row r="92" customFormat="false" ht="15" hidden="false" customHeight="true" outlineLevel="0" collapsed="false">
      <c r="B92" s="41" t="str">
        <f aca="false">TEXT(C92,"0.0")&amp;" - "&amp;TEXT(D92,"0.0")</f>
        <v>498.5 - 499.0</v>
      </c>
      <c r="C92" s="64" t="n">
        <f aca="false">C80+(0)*(C81-C80)/C71</f>
        <v>498.5</v>
      </c>
      <c r="D92" s="64" t="n">
        <f aca="false">C80+(1)*(C81-C80)/C71</f>
        <v>498.975</v>
      </c>
      <c r="E92" s="44" t="n">
        <f aca="false">COUNTIFS($C$63:$H$67,"&gt;="&amp;C92,$C$63:$H$67,"&lt;"&amp;D92)</f>
        <v>4</v>
      </c>
    </row>
    <row r="93" customFormat="false" ht="15" hidden="false" customHeight="true" outlineLevel="0" collapsed="false">
      <c r="B93" s="41" t="str">
        <f aca="false">TEXT(C93,"0.0")&amp;" - "&amp;TEXT(D93,"0.0")</f>
        <v>499.0 - 499.5</v>
      </c>
      <c r="C93" s="64" t="n">
        <f aca="false">C80+(1)*(C81-C80)/C71</f>
        <v>498.975</v>
      </c>
      <c r="D93" s="64" t="n">
        <f aca="false">C80+(2)*(C81-C80)/C71</f>
        <v>499.45</v>
      </c>
      <c r="E93" s="44" t="n">
        <f aca="false">COUNTIFS($C$63:$H$67,"&gt;="&amp;C93,$C$63:$H$67,"&lt;"&amp;D93)</f>
        <v>3</v>
      </c>
    </row>
    <row r="94" customFormat="false" ht="15" hidden="false" customHeight="true" outlineLevel="0" collapsed="false">
      <c r="B94" s="41" t="str">
        <f aca="false">TEXT(C94,"0.0")&amp;" - "&amp;TEXT(D94,"0.0")</f>
        <v>499.5 - 499.9</v>
      </c>
      <c r="C94" s="64" t="n">
        <f aca="false">C80+(2)*(C81-C80)/C71</f>
        <v>499.45</v>
      </c>
      <c r="D94" s="64" t="n">
        <f aca="false">C80+(3)*(C81-C80)/C71</f>
        <v>499.925</v>
      </c>
      <c r="E94" s="44" t="n">
        <f aca="false">COUNTIFS($C$63:$H$67,"&gt;="&amp;C94,$C$63:$H$67,"&lt;"&amp;D94)</f>
        <v>3</v>
      </c>
    </row>
    <row r="95" customFormat="false" ht="15" hidden="false" customHeight="true" outlineLevel="0" collapsed="false">
      <c r="B95" s="41" t="str">
        <f aca="false">TEXT(C95,"0.0")&amp;" - "&amp;TEXT(D95,"0.0")</f>
        <v>499.9 - 500.4</v>
      </c>
      <c r="C95" s="64" t="n">
        <f aca="false">C80+(3)*(C81-C80)/C71</f>
        <v>499.925</v>
      </c>
      <c r="D95" s="64" t="n">
        <f aca="false">C80+(4)*(C81-C80)/C71</f>
        <v>500.4</v>
      </c>
      <c r="E95" s="44" t="n">
        <f aca="false">COUNTIFS($C$63:$H$67,"&gt;="&amp;C95,$C$63:$H$67,"&lt;"&amp;D95)</f>
        <v>5</v>
      </c>
    </row>
    <row r="96" customFormat="false" ht="15" hidden="false" customHeight="true" outlineLevel="0" collapsed="false">
      <c r="B96" s="41" t="str">
        <f aca="false">TEXT(C96,"0.0")&amp;" - "&amp;TEXT(D96,"0.0")</f>
        <v>500.4 - 500.9</v>
      </c>
      <c r="C96" s="64" t="n">
        <f aca="false">C80+(4)*(C81-C80)/C71</f>
        <v>500.4</v>
      </c>
      <c r="D96" s="64" t="n">
        <f aca="false">C80+(5)*(C81-C80)/C71</f>
        <v>500.875</v>
      </c>
      <c r="E96" s="44" t="n">
        <f aca="false">COUNTIFS($C$63:$H$67,"&gt;="&amp;C96,$C$63:$H$67,"&lt;"&amp;D96)</f>
        <v>6</v>
      </c>
    </row>
    <row r="97" customFormat="false" ht="15" hidden="false" customHeight="true" outlineLevel="0" collapsed="false">
      <c r="B97" s="41" t="str">
        <f aca="false">TEXT(C97,"0.0")&amp;" - "&amp;TEXT(D97,"0.0")</f>
        <v>500.9 - 501.4</v>
      </c>
      <c r="C97" s="64" t="n">
        <f aca="false">C80+(5)*(C81-C80)/C71</f>
        <v>500.875</v>
      </c>
      <c r="D97" s="64" t="n">
        <f aca="false">C80+(6)*(C81-C80)/C71</f>
        <v>501.35</v>
      </c>
      <c r="E97" s="44" t="n">
        <f aca="false">COUNTIFS($C$63:$H$67,"&gt;="&amp;C97,$C$63:$H$67,"&lt;"&amp;D97)</f>
        <v>4</v>
      </c>
    </row>
    <row r="98" customFormat="false" ht="15" hidden="false" customHeight="true" outlineLevel="0" collapsed="false">
      <c r="B98" s="41" t="str">
        <f aca="false">TEXT(C98,"0.0")&amp;" - "&amp;TEXT(D98,"0.0")</f>
        <v>501.4 - 501.8</v>
      </c>
      <c r="C98" s="64" t="n">
        <f aca="false">C80+(6)*(C81-C80)/C71</f>
        <v>501.35</v>
      </c>
      <c r="D98" s="64" t="n">
        <f aca="false">C80+(7)*(C81-C80)/C71</f>
        <v>501.825</v>
      </c>
      <c r="E98" s="44" t="n">
        <f aca="false">COUNTIFS($C$63:$H$67,"&gt;="&amp;C98,$C$63:$H$67,"&lt;"&amp;D98)</f>
        <v>3</v>
      </c>
    </row>
    <row r="99" customFormat="false" ht="15" hidden="false" customHeight="true" outlineLevel="0" collapsed="false">
      <c r="B99" s="41" t="str">
        <f aca="false">TEXT(C99,"0.0")&amp;" - "&amp;TEXT(D99,"0.0")</f>
        <v>501.8 - 502.3</v>
      </c>
      <c r="C99" s="64" t="n">
        <f aca="false">C80+(7)*(C81-C80)/C71</f>
        <v>501.825</v>
      </c>
      <c r="D99" s="64" t="n">
        <f aca="false">C80+(8)*(C81-C80)/C71</f>
        <v>502.3</v>
      </c>
      <c r="E99" s="44" t="n">
        <f aca="false">COUNTIFS($C$63:$H$67,"&gt;="&amp;C99,$C$63:$H$67,"&lt;="&amp;D99)</f>
        <v>2</v>
      </c>
    </row>
    <row r="101" customFormat="false" ht="18" hidden="false" customHeight="true" outlineLevel="0" collapsed="false">
      <c r="B101" s="7" t="s">
        <v>1493</v>
      </c>
      <c r="C101" s="8"/>
      <c r="D101" s="8"/>
      <c r="E101" s="8"/>
      <c r="F101" s="8"/>
      <c r="G101" s="8"/>
      <c r="H101" s="8"/>
      <c r="I101" s="8"/>
      <c r="J101" s="8"/>
      <c r="K101" s="8"/>
    </row>
    <row r="102" customFormat="false" ht="33.75" hidden="false" customHeight="true" outlineLevel="0" collapsed="false">
      <c r="B102" s="53" t="s">
        <v>1494</v>
      </c>
      <c r="C102" s="54" t="str">
        <f aca="false">IF(ABS(C87)&gt;0.5*C78,"SKEWED OR OUTLIER PRESENT - report the median, and investigate the extreme values before using the mean",IF(C88&gt;0,"OUT-OF-SPECIFICATION UNITS IN THE SAMPLE - contain first, then continue the study","SYMMETRIC AND IN SPECIFICATION - the mean and standard deviation describe this data fairly"))</f>
        <v>SYMMETRIC AND IN SPECIFICATION - the mean and standard deviation describe this data fairly</v>
      </c>
      <c r="D102" s="54"/>
    </row>
    <row r="104" customFormat="false" ht="27.75" hidden="false" customHeight="true" outlineLevel="0" collapsed="false">
      <c r="B104" s="11" t="s">
        <v>1495</v>
      </c>
      <c r="C104" s="11" t="s">
        <v>1496</v>
      </c>
      <c r="D104" s="11" t="s">
        <v>1497</v>
      </c>
    </row>
    <row r="105" customFormat="false" ht="30.75" hidden="false" customHeight="true" outlineLevel="0" collapsed="false">
      <c r="B105" s="12" t="s">
        <v>1701</v>
      </c>
      <c r="C105" s="12" t="s">
        <v>1702</v>
      </c>
      <c r="D105" s="12" t="s">
        <v>1703</v>
      </c>
    </row>
    <row r="106" customFormat="false" ht="30.75" hidden="false" customHeight="true" outlineLevel="0" collapsed="false">
      <c r="B106" s="12" t="s">
        <v>1693</v>
      </c>
      <c r="C106" s="12" t="s">
        <v>1704</v>
      </c>
      <c r="D106" s="12" t="s">
        <v>1705</v>
      </c>
    </row>
    <row r="107" customFormat="false" ht="30.75" hidden="false" customHeight="true" outlineLevel="0" collapsed="false">
      <c r="B107" s="12" t="s">
        <v>1706</v>
      </c>
      <c r="C107" s="12" t="s">
        <v>1707</v>
      </c>
      <c r="D107" s="12" t="s">
        <v>1708</v>
      </c>
    </row>
    <row r="108" customFormat="false" ht="30.75" hidden="false" customHeight="true" outlineLevel="0" collapsed="false">
      <c r="B108" s="12" t="s">
        <v>1709</v>
      </c>
      <c r="C108" s="12" t="s">
        <v>722</v>
      </c>
      <c r="D108" s="12" t="s">
        <v>1710</v>
      </c>
    </row>
    <row r="110" customFormat="false" ht="15" hidden="false" customHeight="true" outlineLevel="0" collapsed="false">
      <c r="B110" s="55" t="s">
        <v>1507</v>
      </c>
    </row>
    <row r="111" customFormat="false" ht="17.25" hidden="false" customHeight="true" outlineLevel="0" collapsed="false">
      <c r="B111" s="9" t="s">
        <v>1711</v>
      </c>
      <c r="C111" s="9"/>
      <c r="D111" s="9"/>
      <c r="E111" s="9"/>
      <c r="F111" s="9"/>
    </row>
    <row r="112" customFormat="false" ht="17.25" hidden="false" customHeight="true" outlineLevel="0" collapsed="false">
      <c r="B112" s="9" t="s">
        <v>1712</v>
      </c>
      <c r="C112" s="9"/>
      <c r="D112" s="9"/>
      <c r="E112" s="9"/>
      <c r="F112" s="9"/>
    </row>
    <row r="113" customFormat="false" ht="17.25" hidden="false" customHeight="true" outlineLevel="0" collapsed="false">
      <c r="B113" s="9" t="s">
        <v>1713</v>
      </c>
      <c r="C113" s="9"/>
      <c r="D113" s="9"/>
      <c r="E113" s="9"/>
      <c r="F113" s="9"/>
    </row>
    <row r="114" customFormat="false" ht="17.25" hidden="false" customHeight="true" outlineLevel="0" collapsed="false">
      <c r="B114" s="9" t="s">
        <v>1714</v>
      </c>
      <c r="C114" s="9"/>
      <c r="D114" s="9"/>
      <c r="E114" s="9"/>
      <c r="F114" s="9"/>
    </row>
    <row r="115" customFormat="false" ht="17.25" hidden="false" customHeight="true" outlineLevel="0" collapsed="false">
      <c r="B115" s="9" t="s">
        <v>1715</v>
      </c>
      <c r="C115" s="9"/>
      <c r="D115" s="9"/>
      <c r="E115" s="9"/>
      <c r="F115" s="9"/>
    </row>
    <row r="117" customFormat="false" ht="15.75" hidden="false" customHeight="true" outlineLevel="0" collapsed="false">
      <c r="B117" s="7" t="s">
        <v>1513</v>
      </c>
      <c r="C117" s="8"/>
      <c r="D117" s="8"/>
      <c r="E117" s="8"/>
      <c r="F117" s="8"/>
      <c r="G117" s="8"/>
      <c r="H117" s="8"/>
      <c r="I117" s="8"/>
      <c r="J117" s="8"/>
      <c r="K117" s="8"/>
    </row>
    <row r="118" customFormat="false" ht="17.25" hidden="false" customHeight="true" outlineLevel="0" collapsed="false">
      <c r="B118" s="9" t="s">
        <v>1514</v>
      </c>
      <c r="C118" s="9"/>
      <c r="D118" s="9"/>
      <c r="E118" s="9"/>
      <c r="N118" s="56" t="s">
        <v>1515</v>
      </c>
    </row>
    <row r="119" customFormat="false" ht="17.25" hidden="false" customHeight="true" outlineLevel="0" collapsed="false">
      <c r="B119" s="9" t="s">
        <v>1716</v>
      </c>
      <c r="C119" s="9"/>
      <c r="D119" s="9"/>
      <c r="E119" s="9"/>
      <c r="N119" s="57" t="s">
        <v>1717</v>
      </c>
    </row>
    <row r="120" customFormat="false" ht="17.25" hidden="false" customHeight="true" outlineLevel="0" collapsed="false">
      <c r="B120" s="9" t="s">
        <v>1718</v>
      </c>
      <c r="C120" s="9"/>
      <c r="D120" s="9"/>
      <c r="E120" s="9"/>
      <c r="N120" s="57" t="s">
        <v>1719</v>
      </c>
    </row>
    <row r="121" customFormat="false" ht="17.25" hidden="false" customHeight="true" outlineLevel="0" collapsed="false">
      <c r="B121" s="9" t="s">
        <v>1720</v>
      </c>
      <c r="C121" s="9"/>
      <c r="D121" s="9"/>
      <c r="E121" s="9"/>
      <c r="N121" s="57" t="s">
        <v>1721</v>
      </c>
    </row>
    <row r="123" customFormat="false" ht="15.75" hidden="false" customHeight="true" outlineLevel="0" collapsed="false">
      <c r="B123" s="7" t="s">
        <v>1522</v>
      </c>
      <c r="C123" s="8"/>
      <c r="D123" s="8"/>
      <c r="E123" s="8"/>
      <c r="F123" s="8"/>
      <c r="G123" s="8"/>
      <c r="H123" s="8"/>
      <c r="I123" s="8"/>
      <c r="J123" s="8"/>
      <c r="K123" s="8"/>
    </row>
    <row r="124" customFormat="false" ht="16.5" hidden="false" customHeight="true" outlineLevel="0" collapsed="false">
      <c r="B124" s="11" t="s">
        <v>1523</v>
      </c>
      <c r="C124" s="11" t="s">
        <v>1524</v>
      </c>
      <c r="D124" s="11" t="s">
        <v>1722</v>
      </c>
    </row>
    <row r="125" customFormat="false" ht="30.75" hidden="false" customHeight="true" outlineLevel="0" collapsed="false">
      <c r="B125" s="58" t="s">
        <v>1527</v>
      </c>
      <c r="C125" s="58" t="s">
        <v>1723</v>
      </c>
      <c r="D125" s="58" t="s">
        <v>1724</v>
      </c>
    </row>
  </sheetData>
  <mergeCells count="38">
    <mergeCell ref="B2:J2"/>
    <mergeCell ref="D3:F3"/>
    <mergeCell ref="C6:D6"/>
    <mergeCell ref="C7:D7"/>
    <mergeCell ref="C8:D8"/>
    <mergeCell ref="B11:F11"/>
    <mergeCell ref="B12:F12"/>
    <mergeCell ref="B13:F13"/>
    <mergeCell ref="B14:F14"/>
    <mergeCell ref="B15:F15"/>
    <mergeCell ref="B16:F17"/>
    <mergeCell ref="B18:F19"/>
    <mergeCell ref="B22:D22"/>
    <mergeCell ref="E22:F22"/>
    <mergeCell ref="B23:D23"/>
    <mergeCell ref="E23:F23"/>
    <mergeCell ref="B24:D24"/>
    <mergeCell ref="E24:F24"/>
    <mergeCell ref="B25:D25"/>
    <mergeCell ref="E25:F25"/>
    <mergeCell ref="B26:F26"/>
    <mergeCell ref="B36:F36"/>
    <mergeCell ref="B38:F38"/>
    <mergeCell ref="B42:F42"/>
    <mergeCell ref="B44:F45"/>
    <mergeCell ref="B56:F56"/>
    <mergeCell ref="B59:F59"/>
    <mergeCell ref="B60:F60"/>
    <mergeCell ref="C102:D102"/>
    <mergeCell ref="B111:F111"/>
    <mergeCell ref="B112:F112"/>
    <mergeCell ref="B113:F113"/>
    <mergeCell ref="B114:F114"/>
    <mergeCell ref="B115:F115"/>
    <mergeCell ref="B118:E118"/>
    <mergeCell ref="B119:E119"/>
    <mergeCell ref="B120:E120"/>
    <mergeCell ref="B121:E121"/>
  </mergeCells>
  <hyperlinks>
    <hyperlink ref="B3" location="'N-03 Index DMAIC'!A1" display="← Back to Index"/>
    <hyperlink ref="E29" location="'H-09 Stratification'!A1" display="H-09  Stratification"/>
    <hyperlink ref="E30" location="'E-59 Gage R and R'!A1" display="E-59  Gage R&amp;R: ANOVA and Range Methods"/>
    <hyperlink ref="E31" location="'E-47 Common vs Special Cause'!A1" display="E-47  Common Cause vs Special Cause Variation"/>
    <hyperlink ref="B125" location="'E-02 Population vs Sample'!A1" display="E-02  Population, Sample and Sampling Error"/>
    <hyperlink ref="C125" location="'E-04 Skewness Kurtosis'!A1" display="E-04  Distribution Shape: Skewness and Kurtosis"/>
    <hyperlink ref="D125" location="'E-13 Distribution ID'!A1" display="E-13  Identifying the Distribution of Your Dat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1725</v>
      </c>
      <c r="C2" s="3"/>
      <c r="D2" s="3"/>
      <c r="E2" s="3"/>
      <c r="F2" s="3"/>
      <c r="G2" s="3"/>
      <c r="H2" s="3"/>
      <c r="I2" s="3"/>
      <c r="J2" s="3"/>
      <c r="K2" s="46" t="s">
        <v>1389</v>
      </c>
    </row>
    <row r="3" customFormat="false" ht="28.5" hidden="false" customHeight="true" outlineLevel="0" collapsed="false">
      <c r="B3" s="5" t="s">
        <v>3</v>
      </c>
      <c r="D3" s="6" t="s">
        <v>1726</v>
      </c>
      <c r="E3" s="6"/>
      <c r="F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1727</v>
      </c>
      <c r="D6" s="9"/>
    </row>
    <row r="7" customFormat="false" ht="31.5" hidden="false" customHeight="true" outlineLevel="0" collapsed="false">
      <c r="B7" s="47" t="s">
        <v>1394</v>
      </c>
      <c r="C7" s="9" t="s">
        <v>1728</v>
      </c>
      <c r="D7" s="9"/>
    </row>
    <row r="8" customFormat="false" ht="31.5" hidden="false" customHeight="true" outlineLevel="0" collapsed="false">
      <c r="B8" s="47" t="s">
        <v>1396</v>
      </c>
      <c r="C8" s="9" t="s">
        <v>1729</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1730</v>
      </c>
      <c r="C11" s="9"/>
      <c r="D11" s="9"/>
      <c r="E11" s="9"/>
      <c r="F11" s="9"/>
    </row>
    <row r="12" customFormat="false" ht="15.75" hidden="false" customHeight="true" outlineLevel="0" collapsed="false">
      <c r="B12" s="9" t="s">
        <v>1731</v>
      </c>
      <c r="C12" s="9"/>
      <c r="D12" s="9"/>
      <c r="E12" s="9"/>
      <c r="F12" s="9"/>
    </row>
    <row r="13" customFormat="false" ht="15.75" hidden="false" customHeight="true" outlineLevel="0" collapsed="false">
      <c r="B13" s="9"/>
      <c r="C13" s="9"/>
      <c r="D13" s="9"/>
      <c r="E13" s="9"/>
      <c r="F13" s="9"/>
    </row>
    <row r="14" customFormat="false" ht="15.75" hidden="false" customHeight="true" outlineLevel="0" collapsed="false">
      <c r="B14" s="9" t="s">
        <v>1732</v>
      </c>
      <c r="C14" s="9"/>
      <c r="D14" s="9"/>
      <c r="E14" s="9"/>
      <c r="F14" s="9"/>
    </row>
    <row r="15" customFormat="false" ht="15.75" hidden="false" customHeight="true" outlineLevel="0" collapsed="false">
      <c r="B15" s="9"/>
      <c r="C15" s="9"/>
      <c r="D15" s="9"/>
      <c r="E15" s="9"/>
      <c r="F15" s="9"/>
    </row>
    <row r="16" customFormat="false" ht="15.75" hidden="false" customHeight="true" outlineLevel="0" collapsed="false">
      <c r="B16" s="9" t="s">
        <v>1733</v>
      </c>
      <c r="C16" s="9"/>
      <c r="D16" s="9"/>
      <c r="E16" s="9"/>
      <c r="F16" s="9"/>
    </row>
    <row r="17" customFormat="false" ht="15.75" hidden="false" customHeight="true" outlineLevel="0" collapsed="false">
      <c r="B17" s="9"/>
      <c r="C17" s="9"/>
      <c r="D17" s="9"/>
      <c r="E17" s="9"/>
      <c r="F17" s="9"/>
    </row>
    <row r="18" customFormat="false" ht="17.25" hidden="false" customHeight="true" outlineLevel="0" collapsed="false">
      <c r="B18" s="9" t="s">
        <v>1734</v>
      </c>
      <c r="C18" s="9"/>
      <c r="D18" s="9"/>
      <c r="E18" s="9"/>
      <c r="F18" s="9"/>
    </row>
    <row r="20" customFormat="false" ht="15.75" hidden="false" customHeight="true" outlineLevel="0" collapsed="false">
      <c r="B20" s="7" t="s">
        <v>1406</v>
      </c>
      <c r="C20" s="8"/>
      <c r="D20" s="8"/>
      <c r="E20" s="8"/>
      <c r="F20" s="8"/>
      <c r="G20" s="8"/>
      <c r="H20" s="8"/>
      <c r="I20" s="8"/>
      <c r="J20" s="8"/>
      <c r="K20" s="8"/>
    </row>
    <row r="21" customFormat="false" ht="17.25" hidden="false" customHeight="true" outlineLevel="0" collapsed="false">
      <c r="B21" s="48" t="s">
        <v>1407</v>
      </c>
      <c r="C21" s="48"/>
      <c r="D21" s="48"/>
      <c r="E21" s="49" t="s">
        <v>1408</v>
      </c>
      <c r="F21" s="49"/>
    </row>
    <row r="22" customFormat="false" ht="31.5" hidden="false" customHeight="true" outlineLevel="0" collapsed="false">
      <c r="B22" s="23" t="s">
        <v>1735</v>
      </c>
      <c r="C22" s="23"/>
      <c r="D22" s="23"/>
      <c r="E22" s="23" t="s">
        <v>1736</v>
      </c>
      <c r="F22" s="23"/>
    </row>
    <row r="23" customFormat="false" ht="31.5" hidden="false" customHeight="true" outlineLevel="0" collapsed="false">
      <c r="B23" s="23" t="s">
        <v>1737</v>
      </c>
      <c r="C23" s="23"/>
      <c r="D23" s="23"/>
      <c r="E23" s="23" t="s">
        <v>1738</v>
      </c>
      <c r="F23" s="23"/>
    </row>
    <row r="24" customFormat="false" ht="31.5" hidden="false" customHeight="true" outlineLevel="0" collapsed="false">
      <c r="B24" s="23" t="s">
        <v>1739</v>
      </c>
      <c r="C24" s="23"/>
      <c r="D24" s="23"/>
      <c r="E24" s="23" t="s">
        <v>1740</v>
      </c>
      <c r="F24" s="23"/>
    </row>
    <row r="26" customFormat="false" ht="16.5" hidden="false" customHeight="true" outlineLevel="0" collapsed="false">
      <c r="B26" s="11" t="s">
        <v>1416</v>
      </c>
      <c r="C26" s="11" t="s">
        <v>1417</v>
      </c>
      <c r="D26" s="11" t="s">
        <v>1418</v>
      </c>
      <c r="E26" s="11" t="s">
        <v>1419</v>
      </c>
    </row>
    <row r="27" customFormat="false" ht="30.75" hidden="false" customHeight="true" outlineLevel="0" collapsed="false">
      <c r="B27" s="12" t="s">
        <v>1741</v>
      </c>
      <c r="C27" s="12" t="s">
        <v>1742</v>
      </c>
      <c r="D27" s="12" t="s">
        <v>1743</v>
      </c>
      <c r="E27" s="50" t="s">
        <v>973</v>
      </c>
    </row>
    <row r="28" customFormat="false" ht="44.25" hidden="false" customHeight="true" outlineLevel="0" collapsed="false">
      <c r="B28" s="12" t="s">
        <v>1744</v>
      </c>
      <c r="C28" s="12" t="s">
        <v>1745</v>
      </c>
      <c r="D28" s="12" t="s">
        <v>1746</v>
      </c>
      <c r="E28" s="50" t="s">
        <v>1070</v>
      </c>
    </row>
    <row r="29" customFormat="false" ht="30.75" hidden="false" customHeight="true" outlineLevel="0" collapsed="false">
      <c r="B29" s="12" t="s">
        <v>1747</v>
      </c>
      <c r="C29" s="12" t="s">
        <v>1748</v>
      </c>
      <c r="D29" s="12" t="s">
        <v>1749</v>
      </c>
      <c r="E29" s="50" t="s">
        <v>1645</v>
      </c>
    </row>
    <row r="31" customFormat="false" ht="15.75" hidden="false" customHeight="true" outlineLevel="0" collapsed="false">
      <c r="B31" s="7" t="s">
        <v>1429</v>
      </c>
      <c r="C31" s="8"/>
      <c r="D31" s="8"/>
      <c r="E31" s="8"/>
      <c r="F31" s="8"/>
      <c r="G31" s="8"/>
      <c r="H31" s="8"/>
      <c r="I31" s="8"/>
      <c r="J31" s="8"/>
      <c r="K31" s="8"/>
    </row>
    <row r="32" customFormat="false" ht="17.25" hidden="false" customHeight="true" outlineLevel="0" collapsed="false">
      <c r="B32" s="51" t="s">
        <v>1750</v>
      </c>
      <c r="C32" s="51"/>
      <c r="D32" s="51"/>
      <c r="E32" s="51"/>
      <c r="F32" s="51"/>
    </row>
    <row r="33" customFormat="false" ht="17.25" hidden="false" customHeight="true" outlineLevel="0" collapsed="false">
      <c r="B33" s="52" t="s">
        <v>1751</v>
      </c>
      <c r="C33" s="52"/>
      <c r="D33" s="52"/>
      <c r="E33" s="52"/>
      <c r="F33" s="52"/>
    </row>
    <row r="34" customFormat="false" ht="15" hidden="false" customHeight="true" outlineLevel="0" collapsed="false">
      <c r="B34" s="47" t="s">
        <v>1752</v>
      </c>
    </row>
    <row r="35" customFormat="false" ht="17.25" hidden="false" customHeight="true" outlineLevel="0" collapsed="false">
      <c r="B35" s="52" t="s">
        <v>1753</v>
      </c>
      <c r="C35" s="52"/>
      <c r="D35" s="52"/>
      <c r="E35" s="52"/>
      <c r="F35" s="52"/>
    </row>
    <row r="36" customFormat="false" ht="15" hidden="false" customHeight="true" outlineLevel="0" collapsed="false">
      <c r="B36" s="47" t="s">
        <v>1754</v>
      </c>
    </row>
    <row r="37" customFormat="false" ht="17.25" hidden="false" customHeight="true" outlineLevel="0" collapsed="false">
      <c r="B37" s="52" t="s">
        <v>1755</v>
      </c>
      <c r="C37" s="52"/>
      <c r="D37" s="52"/>
      <c r="E37" s="52"/>
      <c r="F37" s="52"/>
    </row>
    <row r="38" customFormat="false" ht="17.25" hidden="false" customHeight="true" outlineLevel="0" collapsed="false">
      <c r="B38" s="52" t="s">
        <v>1756</v>
      </c>
      <c r="C38" s="52"/>
      <c r="D38" s="52"/>
      <c r="E38" s="52"/>
      <c r="F38" s="52"/>
    </row>
    <row r="39" customFormat="false" ht="15" hidden="false" customHeight="true" outlineLevel="0" collapsed="false">
      <c r="B39" s="47" t="s">
        <v>1757</v>
      </c>
    </row>
    <row r="40" customFormat="false" ht="17.25" hidden="false" customHeight="true" outlineLevel="0" collapsed="false">
      <c r="B40" s="52" t="s">
        <v>1758</v>
      </c>
      <c r="C40" s="52"/>
      <c r="D40" s="52"/>
      <c r="E40" s="52"/>
      <c r="F40" s="52"/>
    </row>
    <row r="42" customFormat="false" ht="15.75" hidden="false" customHeight="true" outlineLevel="0" collapsed="false">
      <c r="B42" s="7" t="s">
        <v>1437</v>
      </c>
      <c r="C42" s="8"/>
      <c r="D42" s="8"/>
      <c r="E42" s="8"/>
      <c r="F42" s="8"/>
      <c r="G42" s="8"/>
      <c r="H42" s="8"/>
      <c r="I42" s="8"/>
      <c r="J42" s="8"/>
      <c r="K42" s="8"/>
    </row>
    <row r="43" customFormat="false" ht="16.5" hidden="false" customHeight="true" outlineLevel="0" collapsed="false">
      <c r="B43" s="11" t="s">
        <v>1438</v>
      </c>
      <c r="C43" s="11" t="s">
        <v>1439</v>
      </c>
      <c r="D43" s="11" t="s">
        <v>1440</v>
      </c>
    </row>
    <row r="44" customFormat="false" ht="30.75" hidden="false" customHeight="true" outlineLevel="0" collapsed="false">
      <c r="B44" s="12" t="s">
        <v>1759</v>
      </c>
      <c r="C44" s="12" t="s">
        <v>1760</v>
      </c>
      <c r="D44" s="12" t="s">
        <v>1761</v>
      </c>
    </row>
    <row r="45" customFormat="false" ht="30.75" hidden="false" customHeight="true" outlineLevel="0" collapsed="false">
      <c r="B45" s="12" t="s">
        <v>1762</v>
      </c>
      <c r="C45" s="12" t="s">
        <v>1763</v>
      </c>
      <c r="D45" s="12" t="s">
        <v>1764</v>
      </c>
    </row>
    <row r="46" customFormat="false" ht="16.5" hidden="false" customHeight="true" outlineLevel="0" collapsed="false">
      <c r="B46" s="12" t="s">
        <v>1568</v>
      </c>
      <c r="C46" s="12" t="s">
        <v>1569</v>
      </c>
      <c r="D46" s="12" t="s">
        <v>1765</v>
      </c>
    </row>
    <row r="47" customFormat="false" ht="30.75" hidden="false" customHeight="true" outlineLevel="0" collapsed="false">
      <c r="B47" s="12" t="s">
        <v>1571</v>
      </c>
      <c r="C47" s="12" t="s">
        <v>1572</v>
      </c>
      <c r="D47" s="12" t="s">
        <v>1766</v>
      </c>
    </row>
    <row r="48" customFormat="false" ht="30.75" hidden="false" customHeight="true" outlineLevel="0" collapsed="false">
      <c r="B48" s="12" t="s">
        <v>1577</v>
      </c>
      <c r="C48" s="12" t="s">
        <v>1578</v>
      </c>
      <c r="D48" s="12" t="s">
        <v>1767</v>
      </c>
    </row>
    <row r="49" customFormat="false" ht="28.5" hidden="false" customHeight="true" outlineLevel="0" collapsed="false">
      <c r="B49" s="16" t="s">
        <v>1453</v>
      </c>
      <c r="C49" s="16"/>
      <c r="D49" s="16"/>
      <c r="E49" s="16"/>
      <c r="F49" s="16"/>
    </row>
    <row r="51" customFormat="false" ht="15.75" hidden="false" customHeight="true" outlineLevel="0" collapsed="false">
      <c r="B51" s="7" t="s">
        <v>1454</v>
      </c>
      <c r="C51" s="8"/>
      <c r="D51" s="8"/>
      <c r="E51" s="8"/>
      <c r="F51" s="8"/>
      <c r="G51" s="8"/>
      <c r="H51" s="8"/>
      <c r="I51" s="8"/>
      <c r="J51" s="8"/>
      <c r="K51" s="8"/>
    </row>
    <row r="52" customFormat="false" ht="15.75" hidden="false" customHeight="true" outlineLevel="0" collapsed="false">
      <c r="B52" s="9" t="s">
        <v>1768</v>
      </c>
      <c r="C52" s="9"/>
      <c r="D52" s="9"/>
      <c r="E52" s="9"/>
      <c r="F52" s="9"/>
    </row>
    <row r="53" customFormat="false" ht="15.75" hidden="false" customHeight="true" outlineLevel="0" collapsed="false">
      <c r="B53" s="9"/>
      <c r="C53" s="9"/>
      <c r="D53" s="9"/>
      <c r="E53" s="9"/>
      <c r="F53" s="9"/>
    </row>
    <row r="54" customFormat="false" ht="15" hidden="false" customHeight="true" outlineLevel="0" collapsed="false">
      <c r="B54" s="19" t="s">
        <v>85</v>
      </c>
      <c r="C54" s="41" t="s">
        <v>86</v>
      </c>
    </row>
    <row r="56" customFormat="false" ht="15" hidden="false" customHeight="true" outlineLevel="0" collapsed="false">
      <c r="B56" s="10" t="s">
        <v>1676</v>
      </c>
      <c r="C56" s="60" t="n">
        <v>500.4</v>
      </c>
      <c r="D56" s="60" t="n">
        <v>499.1</v>
      </c>
      <c r="E56" s="60" t="n">
        <v>501.2</v>
      </c>
      <c r="F56" s="60" t="n">
        <v>500.8</v>
      </c>
      <c r="G56" s="60" t="n">
        <v>498.7</v>
      </c>
      <c r="H56" s="60" t="n">
        <v>500.1</v>
      </c>
    </row>
    <row r="57" customFormat="false" ht="15" hidden="false" customHeight="true" outlineLevel="0" collapsed="false">
      <c r="C57" s="60" t="n">
        <v>502.3</v>
      </c>
      <c r="D57" s="60" t="n">
        <v>499.6</v>
      </c>
      <c r="E57" s="60" t="n">
        <v>500.9</v>
      </c>
      <c r="F57" s="60" t="n">
        <v>501.5</v>
      </c>
      <c r="G57" s="60" t="n">
        <v>498.9</v>
      </c>
      <c r="H57" s="60" t="n">
        <v>500.2</v>
      </c>
    </row>
    <row r="58" customFormat="false" ht="15" hidden="false" customHeight="true" outlineLevel="0" collapsed="false">
      <c r="C58" s="60" t="n">
        <v>499.4</v>
      </c>
      <c r="D58" s="60" t="n">
        <v>501.8</v>
      </c>
      <c r="E58" s="60" t="n">
        <v>500.6</v>
      </c>
      <c r="F58" s="60" t="n">
        <v>499.9</v>
      </c>
      <c r="G58" s="60" t="n">
        <v>500.3</v>
      </c>
      <c r="H58" s="60" t="n">
        <v>502.1</v>
      </c>
    </row>
    <row r="59" customFormat="false" ht="15" hidden="false" customHeight="true" outlineLevel="0" collapsed="false">
      <c r="C59" s="60" t="n">
        <v>498.5</v>
      </c>
      <c r="D59" s="60" t="n">
        <v>500.7</v>
      </c>
      <c r="E59" s="60" t="n">
        <v>501.1</v>
      </c>
      <c r="F59" s="60" t="n">
        <v>499.2</v>
      </c>
      <c r="G59" s="60" t="n">
        <v>500.5</v>
      </c>
      <c r="H59" s="60" t="n">
        <v>500</v>
      </c>
    </row>
    <row r="60" customFormat="false" ht="15" hidden="false" customHeight="true" outlineLevel="0" collapsed="false">
      <c r="C60" s="60" t="n">
        <v>501.6</v>
      </c>
      <c r="D60" s="60" t="n">
        <v>499.7</v>
      </c>
      <c r="E60" s="60" t="n">
        <v>500.8</v>
      </c>
      <c r="F60" s="60" t="n">
        <v>498.8</v>
      </c>
      <c r="G60" s="60" t="n">
        <v>501.3</v>
      </c>
      <c r="H60" s="60" t="n">
        <v>500.1</v>
      </c>
    </row>
    <row r="62" customFormat="false" ht="15" hidden="false" customHeight="true" outlineLevel="0" collapsed="false">
      <c r="B62" s="10" t="s">
        <v>1769</v>
      </c>
      <c r="C62" s="44" t="n">
        <f aca="false">COUNT($C$56:$H$60)</f>
        <v>30</v>
      </c>
    </row>
    <row r="63" customFormat="false" ht="15" hidden="false" customHeight="true" outlineLevel="0" collapsed="false">
      <c r="B63" s="10" t="s">
        <v>1770</v>
      </c>
      <c r="C63" s="63" t="n">
        <f aca="false">SKEW($C$56:$H$60)</f>
        <v>0.00141622687193875</v>
      </c>
    </row>
    <row r="64" customFormat="false" ht="15" hidden="false" customHeight="true" outlineLevel="0" collapsed="false">
      <c r="B64" s="10" t="s">
        <v>1771</v>
      </c>
      <c r="C64" s="63" t="n">
        <f aca="false">KURT($C$56:$H$60)</f>
        <v>-0.745351322879047</v>
      </c>
    </row>
    <row r="65" customFormat="false" ht="15" hidden="false" customHeight="true" outlineLevel="0" collapsed="false">
      <c r="B65" s="10" t="s">
        <v>1772</v>
      </c>
      <c r="C65" s="63" t="n">
        <f aca="false">SQRT(6*C62*(C62-1)/((C62-2)*(C62+1)*(C62+3)))</f>
        <v>0.426892395951238</v>
      </c>
    </row>
    <row r="66" customFormat="false" ht="15" hidden="false" customHeight="true" outlineLevel="0" collapsed="false">
      <c r="B66" s="10" t="s">
        <v>1773</v>
      </c>
      <c r="C66" s="63" t="n">
        <f aca="false">2*C65*SQRT((C62^2-1)/((C62-3)*(C62+5)))</f>
        <v>0.832745618357633</v>
      </c>
    </row>
    <row r="67" customFormat="false" ht="15" hidden="false" customHeight="true" outlineLevel="0" collapsed="false">
      <c r="B67" s="10" t="s">
        <v>1774</v>
      </c>
      <c r="C67" s="64" t="n">
        <f aca="false">IFERROR(C63/C65,0)</f>
        <v>0.00331752658367923</v>
      </c>
    </row>
    <row r="68" customFormat="false" ht="15" hidden="false" customHeight="true" outlineLevel="0" collapsed="false">
      <c r="B68" s="10" t="s">
        <v>1775</v>
      </c>
      <c r="C68" s="64" t="n">
        <f aca="false">IFERROR(C64/C66,0)</f>
        <v>-0.895052830597959</v>
      </c>
    </row>
    <row r="70" customFormat="false" ht="15.75" hidden="false" customHeight="true" outlineLevel="0" collapsed="false">
      <c r="B70" s="7" t="s">
        <v>1493</v>
      </c>
      <c r="C70" s="8"/>
      <c r="D70" s="8"/>
      <c r="E70" s="8"/>
      <c r="F70" s="8"/>
      <c r="G70" s="8"/>
      <c r="H70" s="8"/>
      <c r="I70" s="8"/>
      <c r="J70" s="8"/>
      <c r="K70" s="8"/>
    </row>
    <row r="71" customFormat="false" ht="33.75" hidden="false" customHeight="true" outlineLevel="0" collapsed="false">
      <c r="B71" s="53" t="s">
        <v>1494</v>
      </c>
      <c r="C71" s="54" t="str">
        <f aca="false">IF(AND(ABS(C67)&lt;2,ABS(C68)&lt;2),"SHAPE CONSISTENT WITH NORMAL - normal-theory capability and t-tests are defensible",IF(ABS(C67)&gt;=2,"SIGNIFICANT SKEW - use the median, transform on E-33, or use non-normal capability on E-58","HEAVY OR LIGHT TAILS - normal theory will misstate the tail probabilities that capability depends on"))</f>
        <v>SHAPE CONSISTENT WITH NORMAL - normal-theory capability and t-tests are defensible</v>
      </c>
      <c r="D71" s="54"/>
    </row>
    <row r="73" customFormat="false" ht="16.5" hidden="false" customHeight="true" outlineLevel="0" collapsed="false">
      <c r="B73" s="11" t="s">
        <v>1495</v>
      </c>
      <c r="C73" s="11" t="s">
        <v>1496</v>
      </c>
      <c r="D73" s="11" t="s">
        <v>1497</v>
      </c>
    </row>
    <row r="74" customFormat="false" ht="30.75" hidden="false" customHeight="true" outlineLevel="0" collapsed="false">
      <c r="B74" s="12" t="s">
        <v>1776</v>
      </c>
      <c r="C74" s="12" t="s">
        <v>1777</v>
      </c>
      <c r="D74" s="12" t="s">
        <v>1778</v>
      </c>
    </row>
    <row r="75" customFormat="false" ht="30.75" hidden="false" customHeight="true" outlineLevel="0" collapsed="false">
      <c r="B75" s="12" t="s">
        <v>1779</v>
      </c>
      <c r="C75" s="12" t="s">
        <v>1598</v>
      </c>
      <c r="D75" s="12" t="s">
        <v>1780</v>
      </c>
    </row>
    <row r="76" customFormat="false" ht="16.5" hidden="false" customHeight="true" outlineLevel="0" collapsed="false">
      <c r="B76" s="12" t="s">
        <v>1781</v>
      </c>
      <c r="C76" s="12" t="s">
        <v>1782</v>
      </c>
      <c r="D76" s="12" t="s">
        <v>1783</v>
      </c>
    </row>
    <row r="77" customFormat="false" ht="30.75" hidden="false" customHeight="true" outlineLevel="0" collapsed="false">
      <c r="B77" s="12" t="s">
        <v>1784</v>
      </c>
      <c r="C77" s="12" t="s">
        <v>1785</v>
      </c>
      <c r="D77" s="12" t="s">
        <v>1786</v>
      </c>
    </row>
    <row r="79" customFormat="false" ht="15" hidden="false" customHeight="true" outlineLevel="0" collapsed="false">
      <c r="B79" s="55" t="s">
        <v>1507</v>
      </c>
    </row>
    <row r="80" customFormat="false" ht="17.25" hidden="false" customHeight="true" outlineLevel="0" collapsed="false">
      <c r="B80" s="9" t="s">
        <v>1787</v>
      </c>
      <c r="C80" s="9"/>
      <c r="D80" s="9"/>
      <c r="E80" s="9"/>
      <c r="F80" s="9"/>
    </row>
    <row r="81" customFormat="false" ht="17.25" hidden="false" customHeight="true" outlineLevel="0" collapsed="false">
      <c r="B81" s="9" t="s">
        <v>1788</v>
      </c>
      <c r="C81" s="9"/>
      <c r="D81" s="9"/>
      <c r="E81" s="9"/>
      <c r="F81" s="9"/>
    </row>
    <row r="82" customFormat="false" ht="17.25" hidden="false" customHeight="true" outlineLevel="0" collapsed="false">
      <c r="B82" s="9" t="s">
        <v>1789</v>
      </c>
      <c r="C82" s="9"/>
      <c r="D82" s="9"/>
      <c r="E82" s="9"/>
      <c r="F82" s="9"/>
    </row>
    <row r="83" customFormat="false" ht="17.25" hidden="false" customHeight="true" outlineLevel="0" collapsed="false">
      <c r="B83" s="9" t="s">
        <v>1790</v>
      </c>
      <c r="C83" s="9"/>
      <c r="D83" s="9"/>
      <c r="E83" s="9"/>
      <c r="F83" s="9"/>
    </row>
    <row r="84" customFormat="false" ht="17.25" hidden="false" customHeight="true" outlineLevel="0" collapsed="false">
      <c r="B84" s="9" t="s">
        <v>1791</v>
      </c>
      <c r="C84" s="9"/>
      <c r="D84" s="9"/>
      <c r="E84" s="9"/>
      <c r="F84" s="9"/>
    </row>
    <row r="86" customFormat="false" ht="15.75" hidden="false" customHeight="true" outlineLevel="0" collapsed="false">
      <c r="B86" s="7" t="s">
        <v>1513</v>
      </c>
      <c r="C86" s="8"/>
      <c r="D86" s="8"/>
      <c r="E86" s="8"/>
      <c r="F86" s="8"/>
      <c r="G86" s="8"/>
      <c r="H86" s="8"/>
      <c r="I86" s="8"/>
      <c r="J86" s="8"/>
      <c r="K86" s="8"/>
    </row>
    <row r="87" customFormat="false" ht="17.25" hidden="false" customHeight="true" outlineLevel="0" collapsed="false">
      <c r="B87" s="9" t="s">
        <v>1514</v>
      </c>
      <c r="C87" s="9"/>
      <c r="D87" s="9"/>
      <c r="E87" s="9"/>
      <c r="N87" s="56" t="s">
        <v>1515</v>
      </c>
    </row>
    <row r="88" customFormat="false" ht="17.25" hidden="false" customHeight="true" outlineLevel="0" collapsed="false">
      <c r="B88" s="9" t="s">
        <v>1792</v>
      </c>
      <c r="C88" s="9"/>
      <c r="D88" s="9"/>
      <c r="E88" s="9"/>
      <c r="N88" s="57" t="s">
        <v>1793</v>
      </c>
    </row>
    <row r="89" customFormat="false" ht="17.25" hidden="false" customHeight="true" outlineLevel="0" collapsed="false">
      <c r="B89" s="9" t="s">
        <v>1794</v>
      </c>
      <c r="C89" s="9"/>
      <c r="D89" s="9"/>
      <c r="E89" s="9"/>
      <c r="N89" s="57" t="s">
        <v>1795</v>
      </c>
    </row>
    <row r="90" customFormat="false" ht="17.25" hidden="false" customHeight="true" outlineLevel="0" collapsed="false">
      <c r="B90" s="9" t="s">
        <v>1796</v>
      </c>
      <c r="C90" s="9"/>
      <c r="D90" s="9"/>
      <c r="E90" s="9"/>
      <c r="N90" s="57" t="s">
        <v>1797</v>
      </c>
    </row>
    <row r="92" customFormat="false" ht="15.75" hidden="false" customHeight="true" outlineLevel="0" collapsed="false">
      <c r="B92" s="7" t="s">
        <v>1522</v>
      </c>
      <c r="C92" s="8"/>
      <c r="D92" s="8"/>
      <c r="E92" s="8"/>
      <c r="F92" s="8"/>
      <c r="G92" s="8"/>
      <c r="H92" s="8"/>
      <c r="I92" s="8"/>
      <c r="J92" s="8"/>
      <c r="K92" s="8"/>
    </row>
    <row r="93" customFormat="false" ht="16.5" hidden="false" customHeight="true" outlineLevel="0" collapsed="false">
      <c r="B93" s="11" t="s">
        <v>1523</v>
      </c>
      <c r="C93" s="11" t="s">
        <v>1524</v>
      </c>
      <c r="D93" s="11" t="s">
        <v>1615</v>
      </c>
    </row>
    <row r="94" customFormat="false" ht="30.75" hidden="false" customHeight="true" outlineLevel="0" collapsed="false">
      <c r="B94" s="58" t="s">
        <v>1029</v>
      </c>
      <c r="C94" s="58" t="s">
        <v>1546</v>
      </c>
      <c r="D94" s="58" t="s">
        <v>964</v>
      </c>
    </row>
  </sheetData>
  <mergeCells count="36">
    <mergeCell ref="B2:J2"/>
    <mergeCell ref="D3:F3"/>
    <mergeCell ref="C6:D6"/>
    <mergeCell ref="C7:D7"/>
    <mergeCell ref="C8:D8"/>
    <mergeCell ref="B11:F11"/>
    <mergeCell ref="B12:F13"/>
    <mergeCell ref="B14:F15"/>
    <mergeCell ref="B16:F17"/>
    <mergeCell ref="B18:F18"/>
    <mergeCell ref="B21:D21"/>
    <mergeCell ref="E21:F21"/>
    <mergeCell ref="B22:D22"/>
    <mergeCell ref="E22:F22"/>
    <mergeCell ref="B23:D23"/>
    <mergeCell ref="E23:F23"/>
    <mergeCell ref="B24:D24"/>
    <mergeCell ref="E24:F24"/>
    <mergeCell ref="B32:F32"/>
    <mergeCell ref="B33:F33"/>
    <mergeCell ref="B35:F35"/>
    <mergeCell ref="B37:F37"/>
    <mergeCell ref="B38:F38"/>
    <mergeCell ref="B40:F40"/>
    <mergeCell ref="B49:F49"/>
    <mergeCell ref="B52:F53"/>
    <mergeCell ref="C71:D71"/>
    <mergeCell ref="B80:F80"/>
    <mergeCell ref="B81:F81"/>
    <mergeCell ref="B82:F82"/>
    <mergeCell ref="B83:F83"/>
    <mergeCell ref="B84:F84"/>
    <mergeCell ref="B87:E87"/>
    <mergeCell ref="B88:E88"/>
    <mergeCell ref="B89:E89"/>
    <mergeCell ref="B90:E90"/>
  </mergeCells>
  <hyperlinks>
    <hyperlink ref="B3" location="'N-03 Index DMAIC'!A1" display="← Back to Index"/>
    <hyperlink ref="E27" location="'E-20 Sample Size'!A1" display="E-20  Sample Size Determination"/>
    <hyperlink ref="E28" location="'H-09 Stratification'!A1" display="H-09  Stratification"/>
    <hyperlink ref="E29" location="'E-47 Common vs Special Cause'!A1" display="E-47  Common Cause vs Special Cause Variation"/>
    <hyperlink ref="B94" location="'E-03 Descriptive Stats'!A1" display="E-03  Descriptive Statistics: Centre and Spread"/>
    <hyperlink ref="C94" location="'E-05 Sampling Subgroups'!A1" display="E-05  Sampling Strategies and Rational Subgrouping"/>
    <hyperlink ref="D94" location="'E-32 Normality Testing'!A1" display="E-32  Normality Testing and Probability Plo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1798</v>
      </c>
      <c r="C2" s="3"/>
      <c r="D2" s="3"/>
      <c r="E2" s="3"/>
      <c r="F2" s="3"/>
      <c r="G2" s="3"/>
      <c r="H2" s="3"/>
      <c r="I2" s="3"/>
      <c r="J2" s="3"/>
      <c r="K2" s="46" t="s">
        <v>1389</v>
      </c>
    </row>
    <row r="3" customFormat="false" ht="28.5" hidden="false" customHeight="true" outlineLevel="0" collapsed="false">
      <c r="B3" s="5" t="s">
        <v>3</v>
      </c>
      <c r="D3" s="6" t="s">
        <v>1799</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1800</v>
      </c>
      <c r="D6" s="9"/>
    </row>
    <row r="7" customFormat="false" ht="31.5" hidden="false" customHeight="true" outlineLevel="0" collapsed="false">
      <c r="B7" s="47" t="s">
        <v>1394</v>
      </c>
      <c r="C7" s="9" t="s">
        <v>1801</v>
      </c>
      <c r="D7" s="9"/>
    </row>
    <row r="8" customFormat="false" ht="31.5" hidden="false" customHeight="true" outlineLevel="0" collapsed="false">
      <c r="B8" s="47" t="s">
        <v>1396</v>
      </c>
      <c r="C8" s="9" t="s">
        <v>1802</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1803</v>
      </c>
      <c r="C11" s="9"/>
      <c r="D11" s="9"/>
      <c r="E11" s="9"/>
      <c r="F11" s="9"/>
    </row>
    <row r="12" customFormat="false" ht="11.25" hidden="false" customHeight="true" outlineLevel="0" collapsed="false">
      <c r="B12" s="9" t="s">
        <v>1804</v>
      </c>
      <c r="C12" s="9"/>
      <c r="D12" s="9"/>
      <c r="E12" s="9"/>
      <c r="F12" s="9"/>
    </row>
    <row r="13" customFormat="false" ht="11.25" hidden="false" customHeight="true" outlineLevel="0" collapsed="false">
      <c r="B13" s="9"/>
      <c r="C13" s="9"/>
      <c r="D13" s="9"/>
      <c r="E13" s="9"/>
      <c r="F13" s="9"/>
    </row>
    <row r="14" customFormat="false" ht="11.25" hidden="false" customHeight="true" outlineLevel="0" collapsed="false">
      <c r="B14" s="9"/>
      <c r="C14" s="9"/>
      <c r="D14" s="9"/>
      <c r="E14" s="9"/>
      <c r="F14" s="9"/>
    </row>
    <row r="15" customFormat="false" ht="11.25" hidden="false" customHeight="true" outlineLevel="0" collapsed="false">
      <c r="B15" s="9"/>
      <c r="C15" s="9"/>
      <c r="D15" s="9"/>
      <c r="E15" s="9"/>
      <c r="F15" s="9"/>
    </row>
    <row r="16" customFormat="false" ht="15.75" hidden="false" customHeight="true" outlineLevel="0" collapsed="false">
      <c r="B16" s="9" t="s">
        <v>1805</v>
      </c>
      <c r="C16" s="9"/>
      <c r="D16" s="9"/>
      <c r="E16" s="9"/>
      <c r="F16" s="9"/>
    </row>
    <row r="17" customFormat="false" ht="15.75" hidden="false" customHeight="true" outlineLevel="0" collapsed="false">
      <c r="B17" s="9"/>
      <c r="C17" s="9"/>
      <c r="D17" s="9"/>
      <c r="E17" s="9"/>
      <c r="F17" s="9"/>
    </row>
    <row r="18" customFormat="false" ht="15.75" hidden="false" customHeight="true" outlineLevel="0" collapsed="false">
      <c r="B18" s="9" t="s">
        <v>1806</v>
      </c>
      <c r="C18" s="9"/>
      <c r="D18" s="9"/>
      <c r="E18" s="9"/>
      <c r="F18" s="9"/>
    </row>
    <row r="19" customFormat="false" ht="15.75" hidden="false" customHeight="true" outlineLevel="0" collapsed="false">
      <c r="B19" s="9"/>
      <c r="C19" s="9"/>
      <c r="D19" s="9"/>
      <c r="E19" s="9"/>
      <c r="F19" s="9"/>
    </row>
    <row r="20" customFormat="false" ht="15.75" hidden="false" customHeight="true" outlineLevel="0" collapsed="false">
      <c r="B20" s="9" t="s">
        <v>1807</v>
      </c>
      <c r="C20" s="9"/>
      <c r="D20" s="9"/>
      <c r="E20" s="9"/>
      <c r="F20" s="9"/>
    </row>
    <row r="21" customFormat="false" ht="15.75" hidden="false" customHeight="true" outlineLevel="0" collapsed="false">
      <c r="B21" s="9"/>
      <c r="C21" s="9"/>
      <c r="D21" s="9"/>
      <c r="E21" s="9"/>
      <c r="F21" s="9"/>
    </row>
    <row r="23" customFormat="false" ht="15.75" hidden="false" customHeight="true" outlineLevel="0" collapsed="false">
      <c r="B23" s="7" t="s">
        <v>1406</v>
      </c>
      <c r="C23" s="8"/>
      <c r="D23" s="8"/>
      <c r="E23" s="8"/>
      <c r="F23" s="8"/>
      <c r="G23" s="8"/>
      <c r="H23" s="8"/>
      <c r="I23" s="8"/>
      <c r="J23" s="8"/>
      <c r="K23" s="8"/>
    </row>
    <row r="24" customFormat="false" ht="17.25" hidden="false" customHeight="true" outlineLevel="0" collapsed="false">
      <c r="B24" s="48" t="s">
        <v>1407</v>
      </c>
      <c r="C24" s="48"/>
      <c r="E24" s="49" t="s">
        <v>1408</v>
      </c>
      <c r="F24" s="49"/>
    </row>
    <row r="25" customFormat="false" ht="31.5" hidden="false" customHeight="true" outlineLevel="0" collapsed="false">
      <c r="B25" s="23" t="s">
        <v>1808</v>
      </c>
      <c r="C25" s="23"/>
      <c r="E25" s="23" t="s">
        <v>1809</v>
      </c>
      <c r="F25" s="23"/>
    </row>
    <row r="26" customFormat="false" ht="45.75" hidden="false" customHeight="true" outlineLevel="0" collapsed="false">
      <c r="B26" s="23" t="s">
        <v>1810</v>
      </c>
      <c r="C26" s="23"/>
      <c r="E26" s="23" t="s">
        <v>1811</v>
      </c>
      <c r="F26" s="23"/>
    </row>
    <row r="27" customFormat="false" ht="31.5" hidden="false" customHeight="true" outlineLevel="0" collapsed="false">
      <c r="B27" s="23" t="s">
        <v>1812</v>
      </c>
      <c r="C27" s="23"/>
      <c r="E27" s="23" t="s">
        <v>1813</v>
      </c>
      <c r="F27" s="23"/>
    </row>
    <row r="28" customFormat="false" ht="17.25" hidden="false" customHeight="true" outlineLevel="0" collapsed="false">
      <c r="B28" s="23" t="s">
        <v>1814</v>
      </c>
      <c r="C28" s="23"/>
      <c r="D28" s="23"/>
      <c r="E28" s="23"/>
      <c r="F28" s="23"/>
    </row>
    <row r="30" customFormat="false" ht="16.5" hidden="false" customHeight="true" outlineLevel="0" collapsed="false">
      <c r="B30" s="11" t="s">
        <v>1416</v>
      </c>
      <c r="C30" s="11" t="s">
        <v>1417</v>
      </c>
      <c r="D30" s="11" t="s">
        <v>1418</v>
      </c>
      <c r="E30" s="11" t="s">
        <v>1419</v>
      </c>
    </row>
    <row r="31" customFormat="false" ht="44.25" hidden="false" customHeight="true" outlineLevel="0" collapsed="false">
      <c r="B31" s="12" t="s">
        <v>1815</v>
      </c>
      <c r="C31" s="12" t="s">
        <v>1816</v>
      </c>
      <c r="D31" s="12" t="s">
        <v>1817</v>
      </c>
      <c r="E31" s="50" t="s">
        <v>1645</v>
      </c>
    </row>
    <row r="32" customFormat="false" ht="44.25" hidden="false" customHeight="true" outlineLevel="0" collapsed="false">
      <c r="B32" s="12" t="s">
        <v>1818</v>
      </c>
      <c r="C32" s="12" t="s">
        <v>1819</v>
      </c>
      <c r="D32" s="12" t="s">
        <v>1820</v>
      </c>
      <c r="E32" s="50" t="s">
        <v>1035</v>
      </c>
    </row>
    <row r="33" customFormat="false" ht="44.25" hidden="false" customHeight="true" outlineLevel="0" collapsed="false">
      <c r="B33" s="12" t="s">
        <v>1821</v>
      </c>
      <c r="C33" s="12" t="s">
        <v>1822</v>
      </c>
      <c r="D33" s="12" t="s">
        <v>1823</v>
      </c>
      <c r="E33" s="50" t="s">
        <v>1527</v>
      </c>
    </row>
    <row r="35" customFormat="false" ht="15.75" hidden="false" customHeight="true" outlineLevel="0" collapsed="false">
      <c r="B35" s="7" t="s">
        <v>1429</v>
      </c>
      <c r="C35" s="8"/>
      <c r="D35" s="8"/>
      <c r="E35" s="8"/>
      <c r="F35" s="8"/>
      <c r="G35" s="8"/>
      <c r="H35" s="8"/>
      <c r="I35" s="8"/>
      <c r="J35" s="8"/>
      <c r="K35" s="8"/>
    </row>
    <row r="36" customFormat="false" ht="15" hidden="false" customHeight="true" outlineLevel="0" collapsed="false">
      <c r="B36" s="47" t="s">
        <v>1824</v>
      </c>
    </row>
    <row r="37" customFormat="false" ht="17.25" hidden="false" customHeight="true" outlineLevel="0" collapsed="false">
      <c r="B37" s="52" t="s">
        <v>1825</v>
      </c>
      <c r="C37" s="52"/>
      <c r="D37" s="52"/>
      <c r="E37" s="52"/>
      <c r="F37" s="52"/>
    </row>
    <row r="38" customFormat="false" ht="17.25" hidden="false" customHeight="true" outlineLevel="0" collapsed="false">
      <c r="B38" s="51" t="s">
        <v>1826</v>
      </c>
      <c r="C38" s="51"/>
      <c r="D38" s="51"/>
      <c r="E38" s="51"/>
      <c r="F38" s="51"/>
    </row>
    <row r="39" customFormat="false" ht="17.25" hidden="false" customHeight="true" outlineLevel="0" collapsed="false">
      <c r="B39" s="52" t="s">
        <v>1827</v>
      </c>
      <c r="C39" s="52"/>
      <c r="D39" s="52"/>
      <c r="E39" s="52"/>
      <c r="F39" s="52"/>
    </row>
    <row r="40" customFormat="false" ht="17.25" hidden="false" customHeight="true" outlineLevel="0" collapsed="false">
      <c r="B40" s="51" t="s">
        <v>1828</v>
      </c>
      <c r="C40" s="51"/>
      <c r="D40" s="51"/>
      <c r="E40" s="51"/>
      <c r="F40" s="51"/>
    </row>
    <row r="41" customFormat="false" ht="17.25" hidden="false" customHeight="true" outlineLevel="0" collapsed="false">
      <c r="B41" s="52" t="s">
        <v>1829</v>
      </c>
      <c r="C41" s="52"/>
      <c r="D41" s="52"/>
      <c r="E41" s="52"/>
      <c r="F41" s="52"/>
    </row>
    <row r="42" customFormat="false" ht="17.25" hidden="false" customHeight="true" outlineLevel="0" collapsed="false">
      <c r="B42" s="51" t="s">
        <v>1830</v>
      </c>
      <c r="C42" s="51"/>
      <c r="D42" s="51"/>
      <c r="E42" s="51"/>
      <c r="F42" s="51"/>
    </row>
    <row r="43" customFormat="false" ht="15" hidden="false" customHeight="true" outlineLevel="0" collapsed="false">
      <c r="B43" s="59" t="s">
        <v>1831</v>
      </c>
    </row>
    <row r="44" customFormat="false" ht="17.25" hidden="false" customHeight="true" outlineLevel="0" collapsed="false">
      <c r="B44" s="52" t="s">
        <v>1832</v>
      </c>
      <c r="C44" s="52"/>
      <c r="D44" s="52"/>
      <c r="E44" s="52"/>
      <c r="F44" s="52"/>
    </row>
    <row r="45" customFormat="false" ht="17.25" hidden="false" customHeight="true" outlineLevel="0" collapsed="false">
      <c r="B45" s="52" t="s">
        <v>1833</v>
      </c>
      <c r="C45" s="52"/>
      <c r="D45" s="52"/>
      <c r="E45" s="52"/>
      <c r="F45" s="52"/>
    </row>
    <row r="47" customFormat="false" ht="15.75" hidden="false" customHeight="true" outlineLevel="0" collapsed="false">
      <c r="B47" s="7" t="s">
        <v>1437</v>
      </c>
      <c r="C47" s="8"/>
      <c r="D47" s="8"/>
      <c r="E47" s="8"/>
      <c r="F47" s="8"/>
      <c r="G47" s="8"/>
      <c r="H47" s="8"/>
      <c r="I47" s="8"/>
      <c r="J47" s="8"/>
      <c r="K47" s="8"/>
    </row>
    <row r="48" customFormat="false" ht="16.5" hidden="false" customHeight="true" outlineLevel="0" collapsed="false">
      <c r="B48" s="11" t="s">
        <v>1438</v>
      </c>
      <c r="C48" s="11" t="s">
        <v>1439</v>
      </c>
      <c r="D48" s="11" t="s">
        <v>1440</v>
      </c>
    </row>
    <row r="49" customFormat="false" ht="30.75" hidden="false" customHeight="true" outlineLevel="0" collapsed="false">
      <c r="B49" s="12" t="s">
        <v>1834</v>
      </c>
      <c r="C49" s="12" t="s">
        <v>1835</v>
      </c>
      <c r="D49" s="12" t="s">
        <v>1836</v>
      </c>
    </row>
    <row r="50" customFormat="false" ht="30.75" hidden="false" customHeight="true" outlineLevel="0" collapsed="false">
      <c r="B50" s="12" t="s">
        <v>1571</v>
      </c>
      <c r="C50" s="12" t="s">
        <v>1837</v>
      </c>
      <c r="D50" s="12" t="s">
        <v>1838</v>
      </c>
    </row>
    <row r="51" customFormat="false" ht="30.75" hidden="false" customHeight="true" outlineLevel="0" collapsed="false">
      <c r="B51" s="12" t="s">
        <v>1839</v>
      </c>
      <c r="C51" s="12" t="s">
        <v>1840</v>
      </c>
      <c r="D51" s="12" t="s">
        <v>1841</v>
      </c>
    </row>
    <row r="52" customFormat="false" ht="30.75" hidden="false" customHeight="true" outlineLevel="0" collapsed="false">
      <c r="B52" s="12" t="s">
        <v>1842</v>
      </c>
      <c r="C52" s="12" t="s">
        <v>1843</v>
      </c>
      <c r="D52" s="12" t="s">
        <v>1844</v>
      </c>
    </row>
    <row r="53" customFormat="false" ht="28.5" hidden="false" customHeight="true" outlineLevel="0" collapsed="false">
      <c r="B53" s="16" t="s">
        <v>1453</v>
      </c>
      <c r="C53" s="16"/>
      <c r="D53" s="16"/>
      <c r="E53" s="16"/>
      <c r="F53" s="16"/>
    </row>
    <row r="55" customFormat="false" ht="15.75" hidden="false" customHeight="true" outlineLevel="0" collapsed="false">
      <c r="B55" s="7" t="s">
        <v>1454</v>
      </c>
      <c r="C55" s="8"/>
      <c r="D55" s="8"/>
      <c r="E55" s="8"/>
      <c r="F55" s="8"/>
      <c r="G55" s="8"/>
      <c r="H55" s="8"/>
      <c r="I55" s="8"/>
      <c r="J55" s="8"/>
      <c r="K55" s="8"/>
    </row>
    <row r="56" customFormat="false" ht="15.75" hidden="false" customHeight="true" outlineLevel="0" collapsed="false">
      <c r="B56" s="9" t="s">
        <v>1845</v>
      </c>
      <c r="C56" s="9"/>
      <c r="D56" s="9"/>
      <c r="E56" s="9"/>
      <c r="F56" s="9"/>
    </row>
    <row r="57" customFormat="false" ht="15.75" hidden="false" customHeight="true" outlineLevel="0" collapsed="false">
      <c r="B57" s="9"/>
      <c r="C57" s="9"/>
      <c r="D57" s="9"/>
      <c r="E57" s="9"/>
      <c r="F57" s="9"/>
    </row>
    <row r="58" customFormat="false" ht="15" hidden="false" customHeight="true" outlineLevel="0" collapsed="false">
      <c r="B58" s="19" t="s">
        <v>85</v>
      </c>
      <c r="C58" s="41" t="s">
        <v>86</v>
      </c>
    </row>
    <row r="60" customFormat="false" ht="15" hidden="false" customHeight="true" outlineLevel="0" collapsed="false">
      <c r="B60" s="10" t="s">
        <v>1846</v>
      </c>
      <c r="C60" s="69" t="n">
        <v>18000</v>
      </c>
    </row>
    <row r="61" customFormat="false" ht="15" hidden="false" customHeight="true" outlineLevel="0" collapsed="false">
      <c r="B61" s="10" t="s">
        <v>1847</v>
      </c>
      <c r="C61" s="60" t="n">
        <v>8</v>
      </c>
    </row>
    <row r="62" customFormat="false" ht="15" hidden="false" customHeight="true" outlineLevel="0" collapsed="false">
      <c r="B62" s="10" t="s">
        <v>1848</v>
      </c>
      <c r="C62" s="65" t="n">
        <v>5</v>
      </c>
    </row>
    <row r="63" customFormat="false" ht="15" hidden="false" customHeight="true" outlineLevel="0" collapsed="false">
      <c r="B63" s="10" t="s">
        <v>1849</v>
      </c>
      <c r="C63" s="65" t="n">
        <v>30</v>
      </c>
    </row>
    <row r="64" customFormat="false" ht="15" hidden="false" customHeight="true" outlineLevel="0" collapsed="false">
      <c r="B64" s="10" t="s">
        <v>1850</v>
      </c>
      <c r="C64" s="60" t="n">
        <v>3</v>
      </c>
    </row>
    <row r="65" customFormat="false" ht="15" hidden="false" customHeight="true" outlineLevel="0" collapsed="false">
      <c r="B65" s="10" t="s">
        <v>1851</v>
      </c>
      <c r="C65" s="60" t="n">
        <v>1.5</v>
      </c>
    </row>
    <row r="67" customFormat="false" ht="15" hidden="false" customHeight="true" outlineLevel="0" collapsed="false">
      <c r="B67" s="10" t="s">
        <v>1852</v>
      </c>
      <c r="C67" s="67" t="n">
        <f aca="false">C61*60/C63</f>
        <v>16</v>
      </c>
    </row>
    <row r="68" customFormat="false" ht="15" hidden="false" customHeight="true" outlineLevel="0" collapsed="false">
      <c r="B68" s="10" t="s">
        <v>1853</v>
      </c>
      <c r="C68" s="44" t="n">
        <f aca="false">C67*C62</f>
        <v>80</v>
      </c>
    </row>
    <row r="69" customFormat="false" ht="15" hidden="false" customHeight="true" outlineLevel="0" collapsed="false">
      <c r="B69" s="10" t="s">
        <v>1854</v>
      </c>
      <c r="C69" s="70" t="n">
        <f aca="false">C60*C61</f>
        <v>144000</v>
      </c>
    </row>
    <row r="70" customFormat="false" ht="15" hidden="false" customHeight="true" outlineLevel="0" collapsed="false">
      <c r="B70" s="10" t="s">
        <v>1855</v>
      </c>
      <c r="C70" s="71" t="n">
        <f aca="false">IFERROR(C68/C69,0)</f>
        <v>0.000555555555555556</v>
      </c>
    </row>
    <row r="71" customFormat="false" ht="15" hidden="false" customHeight="true" outlineLevel="0" collapsed="false">
      <c r="B71" s="10" t="s">
        <v>1856</v>
      </c>
      <c r="C71" s="63" t="n">
        <f aca="false">1-NORMSDIST(C64-C65*SQRT(C62))+NORMSDIST(-C64-C65*SQRT(C62))</f>
        <v>0.638368765813419</v>
      </c>
    </row>
    <row r="72" customFormat="false" ht="15" hidden="false" customHeight="true" outlineLevel="0" collapsed="false">
      <c r="B72" s="10" t="s">
        <v>1857</v>
      </c>
      <c r="C72" s="67" t="n">
        <f aca="false">IFERROR(1/C71,9999)</f>
        <v>1.5664926818996</v>
      </c>
    </row>
    <row r="73" customFormat="false" ht="15" hidden="false" customHeight="true" outlineLevel="0" collapsed="false">
      <c r="B73" s="10" t="s">
        <v>1858</v>
      </c>
      <c r="C73" s="67" t="n">
        <f aca="false">C72*C63</f>
        <v>46.994780456988</v>
      </c>
    </row>
    <row r="74" customFormat="false" ht="15" hidden="false" customHeight="true" outlineLevel="0" collapsed="false">
      <c r="B74" s="10" t="s">
        <v>1859</v>
      </c>
      <c r="C74" s="70" t="n">
        <f aca="false">C73/60*C60</f>
        <v>14098.4341370964</v>
      </c>
    </row>
    <row r="75" customFormat="false" ht="15" hidden="false" customHeight="true" outlineLevel="0" collapsed="false">
      <c r="B75" s="10" t="s">
        <v>1860</v>
      </c>
      <c r="C75" s="70" t="n">
        <f aca="false">IFERROR(1/(2*(1-NORMSDIST(C64))),9999)</f>
        <v>370.398347344956</v>
      </c>
    </row>
    <row r="77" customFormat="false" ht="15.75" hidden="false" customHeight="true" outlineLevel="0" collapsed="false">
      <c r="B77" s="7" t="s">
        <v>1493</v>
      </c>
      <c r="C77" s="8"/>
      <c r="D77" s="8"/>
      <c r="E77" s="8"/>
      <c r="F77" s="8"/>
      <c r="G77" s="8"/>
      <c r="H77" s="8"/>
      <c r="I77" s="8"/>
      <c r="J77" s="8"/>
      <c r="K77" s="8"/>
    </row>
    <row r="78" customFormat="false" ht="18.75" hidden="false" customHeight="true" outlineLevel="0" collapsed="false">
      <c r="B78" s="53" t="s">
        <v>1494</v>
      </c>
      <c r="C78" s="54" t="str">
        <f aca="false">IF(C74&lt;=5000,"SAMPLING PLAN ADEQUATE - a sustained shift is caught before a pallet of product is at risk",IF(C74&lt;=20000,"MARGINAL - consider a shorter interval or a larger subgroup","INADEQUATE - too much product is produced before the chart reacts. Shorten the interval or increase n."))</f>
        <v>MARGINAL - consider a shorter interval or a larger subgroup</v>
      </c>
      <c r="D78" s="54"/>
    </row>
    <row r="80" customFormat="false" ht="16.5" hidden="false" customHeight="true" outlineLevel="0" collapsed="false">
      <c r="B80" s="11" t="s">
        <v>1495</v>
      </c>
      <c r="C80" s="11" t="s">
        <v>1496</v>
      </c>
      <c r="D80" s="11" t="s">
        <v>1497</v>
      </c>
    </row>
    <row r="81" customFormat="false" ht="30.75" hidden="false" customHeight="true" outlineLevel="0" collapsed="false">
      <c r="B81" s="12" t="s">
        <v>1861</v>
      </c>
      <c r="C81" s="12" t="s">
        <v>1862</v>
      </c>
      <c r="D81" s="12" t="s">
        <v>1863</v>
      </c>
    </row>
    <row r="82" customFormat="false" ht="30.75" hidden="false" customHeight="true" outlineLevel="0" collapsed="false">
      <c r="B82" s="12" t="s">
        <v>1864</v>
      </c>
      <c r="C82" s="12" t="s">
        <v>1865</v>
      </c>
      <c r="D82" s="12" t="s">
        <v>1866</v>
      </c>
    </row>
    <row r="83" customFormat="false" ht="30.75" hidden="false" customHeight="true" outlineLevel="0" collapsed="false">
      <c r="B83" s="12" t="s">
        <v>1867</v>
      </c>
      <c r="C83" s="12" t="s">
        <v>1868</v>
      </c>
      <c r="D83" s="12" t="s">
        <v>1869</v>
      </c>
    </row>
    <row r="84" customFormat="false" ht="30.75" hidden="false" customHeight="true" outlineLevel="0" collapsed="false">
      <c r="B84" s="12" t="s">
        <v>1870</v>
      </c>
      <c r="C84" s="12" t="s">
        <v>1871</v>
      </c>
      <c r="D84" s="12" t="s">
        <v>1872</v>
      </c>
    </row>
    <row r="86" customFormat="false" ht="15" hidden="false" customHeight="true" outlineLevel="0" collapsed="false">
      <c r="B86" s="55" t="s">
        <v>1507</v>
      </c>
    </row>
    <row r="87" customFormat="false" ht="17.25" hidden="false" customHeight="true" outlineLevel="0" collapsed="false">
      <c r="B87" s="9" t="s">
        <v>1873</v>
      </c>
      <c r="C87" s="9"/>
      <c r="D87" s="9"/>
      <c r="E87" s="9"/>
      <c r="F87" s="9"/>
    </row>
    <row r="88" customFormat="false" ht="17.25" hidden="false" customHeight="true" outlineLevel="0" collapsed="false">
      <c r="B88" s="9" t="s">
        <v>1874</v>
      </c>
      <c r="C88" s="9"/>
      <c r="D88" s="9"/>
      <c r="E88" s="9"/>
      <c r="F88" s="9"/>
    </row>
    <row r="89" customFormat="false" ht="17.25" hidden="false" customHeight="true" outlineLevel="0" collapsed="false">
      <c r="B89" s="9" t="s">
        <v>1875</v>
      </c>
      <c r="C89" s="9"/>
      <c r="D89" s="9"/>
      <c r="E89" s="9"/>
      <c r="F89" s="9"/>
    </row>
    <row r="90" customFormat="false" ht="17.25" hidden="false" customHeight="true" outlineLevel="0" collapsed="false">
      <c r="B90" s="9" t="s">
        <v>1876</v>
      </c>
      <c r="C90" s="9"/>
      <c r="D90" s="9"/>
      <c r="E90" s="9"/>
      <c r="F90" s="9"/>
    </row>
    <row r="91" customFormat="false" ht="17.25" hidden="false" customHeight="true" outlineLevel="0" collapsed="false">
      <c r="B91" s="9" t="s">
        <v>1877</v>
      </c>
      <c r="C91" s="9"/>
      <c r="D91" s="9"/>
      <c r="E91" s="9"/>
      <c r="F91" s="9"/>
    </row>
    <row r="93" customFormat="false" ht="15.75" hidden="false" customHeight="true" outlineLevel="0" collapsed="false">
      <c r="B93" s="7" t="s">
        <v>1513</v>
      </c>
      <c r="C93" s="8"/>
      <c r="D93" s="8"/>
      <c r="E93" s="8"/>
      <c r="F93" s="8"/>
      <c r="G93" s="8"/>
      <c r="H93" s="8"/>
      <c r="I93" s="8"/>
      <c r="J93" s="8"/>
      <c r="K93" s="8"/>
    </row>
    <row r="94" customFormat="false" ht="17.25" hidden="false" customHeight="true" outlineLevel="0" collapsed="false">
      <c r="B94" s="9" t="s">
        <v>1514</v>
      </c>
      <c r="C94" s="9"/>
      <c r="D94" s="9"/>
      <c r="E94" s="9"/>
      <c r="N94" s="56" t="s">
        <v>1515</v>
      </c>
    </row>
    <row r="95" customFormat="false" ht="17.25" hidden="false" customHeight="true" outlineLevel="0" collapsed="false">
      <c r="B95" s="9" t="s">
        <v>1878</v>
      </c>
      <c r="C95" s="9"/>
      <c r="D95" s="9"/>
      <c r="E95" s="9"/>
      <c r="N95" s="57" t="s">
        <v>1879</v>
      </c>
    </row>
    <row r="96" customFormat="false" ht="17.25" hidden="false" customHeight="true" outlineLevel="0" collapsed="false">
      <c r="B96" s="9" t="s">
        <v>1880</v>
      </c>
      <c r="C96" s="9"/>
      <c r="D96" s="9"/>
      <c r="E96" s="9"/>
      <c r="N96" s="57" t="s">
        <v>1881</v>
      </c>
    </row>
    <row r="97" customFormat="false" ht="17.25" hidden="false" customHeight="true" outlineLevel="0" collapsed="false">
      <c r="B97" s="9" t="s">
        <v>1882</v>
      </c>
      <c r="C97" s="9"/>
      <c r="D97" s="9"/>
      <c r="E97" s="9"/>
      <c r="N97" s="57" t="s">
        <v>1883</v>
      </c>
    </row>
    <row r="99" customFormat="false" ht="15.75" hidden="false" customHeight="true" outlineLevel="0" collapsed="false">
      <c r="B99" s="7" t="s">
        <v>1522</v>
      </c>
      <c r="C99" s="8"/>
      <c r="D99" s="8"/>
      <c r="E99" s="8"/>
      <c r="F99" s="8"/>
      <c r="G99" s="8"/>
      <c r="H99" s="8"/>
      <c r="I99" s="8"/>
      <c r="J99" s="8"/>
      <c r="K99" s="8"/>
    </row>
    <row r="100" customFormat="false" ht="16.5" hidden="false" customHeight="true" outlineLevel="0" collapsed="false">
      <c r="B100" s="11" t="s">
        <v>1523</v>
      </c>
      <c r="C100" s="11" t="s">
        <v>1524</v>
      </c>
      <c r="D100" s="11" t="s">
        <v>1615</v>
      </c>
    </row>
    <row r="101" customFormat="false" ht="30.75" hidden="false" customHeight="true" outlineLevel="0" collapsed="false">
      <c r="B101" s="58" t="s">
        <v>1723</v>
      </c>
      <c r="C101" s="58" t="s">
        <v>1025</v>
      </c>
      <c r="D101" s="58" t="s">
        <v>1060</v>
      </c>
    </row>
  </sheetData>
  <mergeCells count="39">
    <mergeCell ref="B2:J2"/>
    <mergeCell ref="D3:F3"/>
    <mergeCell ref="C6:D6"/>
    <mergeCell ref="C7:D7"/>
    <mergeCell ref="C8:D8"/>
    <mergeCell ref="B11:F11"/>
    <mergeCell ref="B12:F15"/>
    <mergeCell ref="B16:F17"/>
    <mergeCell ref="B18:F19"/>
    <mergeCell ref="B20:F21"/>
    <mergeCell ref="B24:C24"/>
    <mergeCell ref="E24:F24"/>
    <mergeCell ref="B25:C25"/>
    <mergeCell ref="E25:F25"/>
    <mergeCell ref="B26:C26"/>
    <mergeCell ref="E26:F26"/>
    <mergeCell ref="B27:C27"/>
    <mergeCell ref="E27:F27"/>
    <mergeCell ref="B28:F28"/>
    <mergeCell ref="B37:F37"/>
    <mergeCell ref="B38:F38"/>
    <mergeCell ref="B39:F39"/>
    <mergeCell ref="B40:F40"/>
    <mergeCell ref="B41:F41"/>
    <mergeCell ref="B42:F42"/>
    <mergeCell ref="B44:F44"/>
    <mergeCell ref="B45:F45"/>
    <mergeCell ref="B53:F53"/>
    <mergeCell ref="B56:F57"/>
    <mergeCell ref="C78:D78"/>
    <mergeCell ref="B87:F87"/>
    <mergeCell ref="B88:F88"/>
    <mergeCell ref="B89:F89"/>
    <mergeCell ref="B90:F90"/>
    <mergeCell ref="B91:F91"/>
    <mergeCell ref="B94:E94"/>
    <mergeCell ref="B95:E95"/>
    <mergeCell ref="B96:E96"/>
    <mergeCell ref="B97:E97"/>
  </mergeCells>
  <hyperlinks>
    <hyperlink ref="B3" location="'N-03 Index DMAIC'!A1" display="← Back to Index"/>
    <hyperlink ref="E31" location="'E-47 Common vs Special Cause'!A1" display="E-47  Common Cause vs Special Cause Variation"/>
    <hyperlink ref="E32" location="'E-40 Multi-Vari Analysis'!A1" display="E-40  Multi-Vari Analysis"/>
    <hyperlink ref="E33" location="'E-02 Population vs Sample'!A1" display="E-02  Population, Sample and Sampling Error"/>
    <hyperlink ref="B101" location="'E-04 Skewness Kurtosis'!A1" display="E-04  Distribution Shape: Skewness and Kurtosis"/>
    <hyperlink ref="C101" location="'E-06 Data Collection Plan'!A1" display="E-06  Operational Definitions and Data Collection Plan"/>
    <hyperlink ref="D101" location="'E-49 I-MR Chart'!A1" display="E-49  Individuals and Moving Range Char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1884</v>
      </c>
      <c r="C2" s="3"/>
      <c r="D2" s="3"/>
      <c r="E2" s="3"/>
      <c r="F2" s="3"/>
      <c r="G2" s="3"/>
      <c r="H2" s="3"/>
      <c r="I2" s="3"/>
      <c r="J2" s="3"/>
      <c r="K2" s="46" t="s">
        <v>1389</v>
      </c>
    </row>
    <row r="3" customFormat="false" ht="28.5" hidden="false" customHeight="true" outlineLevel="0" collapsed="false">
      <c r="B3" s="5" t="s">
        <v>3</v>
      </c>
      <c r="D3" s="6" t="s">
        <v>1885</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1886</v>
      </c>
      <c r="D6" s="9"/>
    </row>
    <row r="7" customFormat="false" ht="31.5" hidden="false" customHeight="true" outlineLevel="0" collapsed="false">
      <c r="B7" s="47" t="s">
        <v>1394</v>
      </c>
      <c r="C7" s="9" t="s">
        <v>1887</v>
      </c>
      <c r="D7" s="9"/>
    </row>
    <row r="8" customFormat="false" ht="31.5" hidden="false" customHeight="true" outlineLevel="0" collapsed="false">
      <c r="B8" s="47" t="s">
        <v>1396</v>
      </c>
      <c r="C8" s="9" t="s">
        <v>1888</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0.5" hidden="false" customHeight="true" outlineLevel="0" collapsed="false">
      <c r="B11" s="9" t="s">
        <v>1889</v>
      </c>
      <c r="C11" s="9"/>
      <c r="D11" s="9"/>
      <c r="E11" s="9"/>
      <c r="F11" s="9"/>
    </row>
    <row r="12" customFormat="false" ht="10.5" hidden="false" customHeight="true" outlineLevel="0" collapsed="false">
      <c r="B12" s="9"/>
      <c r="C12" s="9"/>
      <c r="D12" s="9"/>
      <c r="E12" s="9"/>
      <c r="F12" s="9"/>
    </row>
    <row r="13" customFormat="false" ht="10.5" hidden="false" customHeight="true" outlineLevel="0" collapsed="false">
      <c r="B13" s="9"/>
      <c r="C13" s="9"/>
      <c r="D13" s="9"/>
      <c r="E13" s="9"/>
      <c r="F13" s="9"/>
    </row>
    <row r="14" customFormat="false" ht="15.75" hidden="false" customHeight="true" outlineLevel="0" collapsed="false">
      <c r="B14" s="9" t="s">
        <v>1890</v>
      </c>
      <c r="C14" s="9"/>
      <c r="D14" s="9"/>
      <c r="E14" s="9"/>
      <c r="F14" s="9"/>
    </row>
    <row r="15" customFormat="false" ht="15.75" hidden="false" customHeight="true" outlineLevel="0" collapsed="false">
      <c r="B15" s="9"/>
      <c r="C15" s="9"/>
      <c r="D15" s="9"/>
      <c r="E15" s="9"/>
      <c r="F15" s="9"/>
    </row>
    <row r="16" customFormat="false" ht="17.25" hidden="false" customHeight="true" outlineLevel="0" collapsed="false">
      <c r="B16" s="9" t="s">
        <v>1891</v>
      </c>
      <c r="C16" s="9"/>
      <c r="D16" s="9"/>
      <c r="E16" s="9"/>
      <c r="F16" s="9"/>
    </row>
    <row r="17" customFormat="false" ht="17.25" hidden="false" customHeight="true" outlineLevel="0" collapsed="false">
      <c r="B17" s="9" t="s">
        <v>1892</v>
      </c>
      <c r="C17" s="9"/>
      <c r="D17" s="9"/>
      <c r="E17" s="9"/>
      <c r="F17" s="9"/>
    </row>
    <row r="18" customFormat="false" ht="15.75" hidden="false" customHeight="true" outlineLevel="0" collapsed="false">
      <c r="B18" s="9" t="s">
        <v>1893</v>
      </c>
      <c r="C18" s="9"/>
      <c r="D18" s="9"/>
      <c r="E18" s="9"/>
      <c r="F18" s="9"/>
    </row>
    <row r="19" customFormat="false" ht="15.75" hidden="false" customHeight="true" outlineLevel="0" collapsed="false">
      <c r="B19" s="9"/>
      <c r="C19" s="9"/>
      <c r="D19" s="9"/>
      <c r="E19" s="9"/>
      <c r="F19" s="9"/>
    </row>
    <row r="20" customFormat="false" ht="17.25" hidden="false" customHeight="true" outlineLevel="0" collapsed="false">
      <c r="B20" s="9" t="s">
        <v>1894</v>
      </c>
      <c r="C20" s="9"/>
      <c r="D20" s="9"/>
      <c r="E20" s="9"/>
      <c r="F20" s="9"/>
    </row>
    <row r="22" customFormat="false" ht="15.75" hidden="false" customHeight="true" outlineLevel="0" collapsed="false">
      <c r="B22" s="7" t="s">
        <v>1406</v>
      </c>
      <c r="C22" s="8"/>
      <c r="D22" s="8"/>
      <c r="E22" s="8"/>
      <c r="F22" s="8"/>
      <c r="G22" s="8"/>
      <c r="H22" s="8"/>
      <c r="I22" s="8"/>
      <c r="J22" s="8"/>
      <c r="K22" s="8"/>
    </row>
    <row r="23" customFormat="false" ht="17.25" hidden="false" customHeight="true" outlineLevel="0" collapsed="false">
      <c r="B23" s="48" t="s">
        <v>1407</v>
      </c>
      <c r="C23" s="48"/>
      <c r="D23" s="48"/>
      <c r="E23" s="49" t="s">
        <v>1408</v>
      </c>
      <c r="F23" s="49"/>
    </row>
    <row r="24" customFormat="false" ht="31.5" hidden="false" customHeight="true" outlineLevel="0" collapsed="false">
      <c r="B24" s="23" t="s">
        <v>1895</v>
      </c>
      <c r="C24" s="23"/>
      <c r="D24" s="23"/>
      <c r="E24" s="23" t="s">
        <v>1896</v>
      </c>
      <c r="F24" s="23"/>
    </row>
    <row r="25" customFormat="false" ht="45.75" hidden="false" customHeight="true" outlineLevel="0" collapsed="false">
      <c r="B25" s="23" t="s">
        <v>1897</v>
      </c>
      <c r="C25" s="23"/>
      <c r="D25" s="23"/>
      <c r="E25" s="23" t="s">
        <v>1898</v>
      </c>
      <c r="F25" s="23"/>
    </row>
    <row r="26" customFormat="false" ht="31.5" hidden="false" customHeight="true" outlineLevel="0" collapsed="false">
      <c r="B26" s="23" t="s">
        <v>1899</v>
      </c>
      <c r="C26" s="23"/>
      <c r="D26" s="23"/>
      <c r="E26" s="23" t="s">
        <v>1900</v>
      </c>
      <c r="F26" s="23"/>
    </row>
    <row r="27" customFormat="false" ht="17.25" hidden="false" customHeight="true" outlineLevel="0" collapsed="false">
      <c r="B27" s="23" t="s">
        <v>1901</v>
      </c>
      <c r="C27" s="23"/>
      <c r="D27" s="23"/>
      <c r="E27" s="23"/>
      <c r="F27" s="23"/>
    </row>
    <row r="29" customFormat="false" ht="16.5" hidden="false" customHeight="true" outlineLevel="0" collapsed="false">
      <c r="B29" s="11" t="s">
        <v>1416</v>
      </c>
      <c r="C29" s="11" t="s">
        <v>1417</v>
      </c>
      <c r="D29" s="11" t="s">
        <v>1418</v>
      </c>
      <c r="E29" s="11" t="s">
        <v>1419</v>
      </c>
    </row>
    <row r="30" customFormat="false" ht="44.25" hidden="false" customHeight="true" outlineLevel="0" collapsed="false">
      <c r="B30" s="12" t="s">
        <v>1902</v>
      </c>
      <c r="C30" s="12" t="s">
        <v>1903</v>
      </c>
      <c r="D30" s="12" t="s">
        <v>1904</v>
      </c>
      <c r="E30" s="50" t="s">
        <v>1206</v>
      </c>
    </row>
    <row r="31" customFormat="false" ht="44.25" hidden="false" customHeight="true" outlineLevel="0" collapsed="false">
      <c r="B31" s="12" t="s">
        <v>1905</v>
      </c>
      <c r="C31" s="12" t="s">
        <v>1906</v>
      </c>
      <c r="D31" s="12" t="s">
        <v>1907</v>
      </c>
      <c r="E31" s="50" t="s">
        <v>1070</v>
      </c>
    </row>
    <row r="32" customFormat="false" ht="44.25" hidden="false" customHeight="true" outlineLevel="0" collapsed="false">
      <c r="B32" s="12" t="s">
        <v>1908</v>
      </c>
      <c r="C32" s="12" t="s">
        <v>1909</v>
      </c>
      <c r="D32" s="12" t="s">
        <v>1910</v>
      </c>
      <c r="E32" s="50" t="s">
        <v>973</v>
      </c>
    </row>
    <row r="34" customFormat="false" ht="15.75" hidden="false" customHeight="true" outlineLevel="0" collapsed="false">
      <c r="B34" s="7" t="s">
        <v>1429</v>
      </c>
      <c r="C34" s="8"/>
      <c r="D34" s="8"/>
      <c r="E34" s="8"/>
      <c r="F34" s="8"/>
      <c r="G34" s="8"/>
      <c r="H34" s="8"/>
      <c r="I34" s="8"/>
      <c r="J34" s="8"/>
      <c r="K34" s="8"/>
    </row>
    <row r="35" customFormat="false" ht="17.25" hidden="false" customHeight="true" outlineLevel="0" collapsed="false">
      <c r="B35" s="51" t="s">
        <v>1911</v>
      </c>
      <c r="C35" s="51"/>
      <c r="D35" s="51"/>
      <c r="E35" s="51"/>
      <c r="F35" s="51"/>
    </row>
    <row r="36" customFormat="false" ht="8.25" hidden="false" customHeight="true" outlineLevel="0" collapsed="false">
      <c r="B36" s="52" t="s">
        <v>1912</v>
      </c>
      <c r="C36" s="52"/>
      <c r="D36" s="52"/>
      <c r="E36" s="52"/>
      <c r="F36" s="52"/>
    </row>
    <row r="37" customFormat="false" ht="8.25" hidden="false" customHeight="true" outlineLevel="0" collapsed="false">
      <c r="B37" s="52"/>
      <c r="C37" s="52"/>
      <c r="D37" s="52"/>
      <c r="E37" s="52"/>
      <c r="F37" s="52"/>
    </row>
    <row r="38" customFormat="false" ht="17.25" hidden="false" customHeight="true" outlineLevel="0" collapsed="false">
      <c r="B38" s="51" t="s">
        <v>1913</v>
      </c>
      <c r="C38" s="51"/>
      <c r="D38" s="51"/>
      <c r="E38" s="51"/>
      <c r="F38" s="51"/>
    </row>
    <row r="39" customFormat="false" ht="17.25" hidden="false" customHeight="true" outlineLevel="0" collapsed="false">
      <c r="B39" s="52" t="s">
        <v>1914</v>
      </c>
      <c r="C39" s="52"/>
      <c r="D39" s="52"/>
      <c r="E39" s="52"/>
      <c r="F39" s="52"/>
    </row>
    <row r="40" customFormat="false" ht="17.25" hidden="false" customHeight="true" outlineLevel="0" collapsed="false">
      <c r="B40" s="52" t="s">
        <v>1915</v>
      </c>
      <c r="C40" s="52"/>
      <c r="D40" s="52"/>
      <c r="E40" s="52"/>
      <c r="F40" s="52"/>
    </row>
    <row r="41" customFormat="false" ht="17.25" hidden="false" customHeight="true" outlineLevel="0" collapsed="false">
      <c r="B41" s="52" t="s">
        <v>1916</v>
      </c>
      <c r="C41" s="52"/>
      <c r="D41" s="52"/>
      <c r="E41" s="52"/>
      <c r="F41" s="52"/>
    </row>
    <row r="42" customFormat="false" ht="17.25" hidden="false" customHeight="true" outlineLevel="0" collapsed="false">
      <c r="B42" s="52" t="s">
        <v>1917</v>
      </c>
      <c r="C42" s="52"/>
      <c r="D42" s="52"/>
      <c r="E42" s="52"/>
      <c r="F42" s="52"/>
    </row>
    <row r="43" customFormat="false" ht="17.25" hidden="false" customHeight="true" outlineLevel="0" collapsed="false">
      <c r="B43" s="52" t="s">
        <v>1918</v>
      </c>
      <c r="C43" s="52"/>
      <c r="D43" s="52"/>
      <c r="E43" s="52"/>
      <c r="F43" s="52"/>
    </row>
    <row r="45" customFormat="false" ht="15.75" hidden="false" customHeight="true" outlineLevel="0" collapsed="false">
      <c r="B45" s="7" t="s">
        <v>1437</v>
      </c>
      <c r="C45" s="8"/>
      <c r="D45" s="8"/>
      <c r="E45" s="8"/>
      <c r="F45" s="8"/>
      <c r="G45" s="8"/>
      <c r="H45" s="8"/>
      <c r="I45" s="8"/>
      <c r="J45" s="8"/>
      <c r="K45" s="8"/>
    </row>
    <row r="46" customFormat="false" ht="16.5" hidden="false" customHeight="true" outlineLevel="0" collapsed="false">
      <c r="B46" s="11" t="s">
        <v>1438</v>
      </c>
      <c r="C46" s="11" t="s">
        <v>1439</v>
      </c>
      <c r="D46" s="11" t="s">
        <v>1440</v>
      </c>
    </row>
    <row r="47" customFormat="false" ht="30.75" hidden="false" customHeight="true" outlineLevel="0" collapsed="false">
      <c r="B47" s="12" t="s">
        <v>1450</v>
      </c>
      <c r="C47" s="12" t="s">
        <v>1451</v>
      </c>
      <c r="D47" s="12" t="s">
        <v>1919</v>
      </c>
    </row>
    <row r="48" customFormat="false" ht="30.75" hidden="false" customHeight="true" outlineLevel="0" collapsed="false">
      <c r="B48" s="12" t="s">
        <v>1920</v>
      </c>
      <c r="C48" s="12" t="s">
        <v>1921</v>
      </c>
      <c r="D48" s="12" t="s">
        <v>1922</v>
      </c>
    </row>
    <row r="49" customFormat="false" ht="30.75" hidden="false" customHeight="true" outlineLevel="0" collapsed="false">
      <c r="B49" s="12" t="s">
        <v>1839</v>
      </c>
      <c r="C49" s="12" t="s">
        <v>1840</v>
      </c>
      <c r="D49" s="12" t="s">
        <v>1923</v>
      </c>
    </row>
    <row r="50" customFormat="false" ht="30.75" hidden="false" customHeight="true" outlineLevel="0" collapsed="false">
      <c r="B50" s="12" t="s">
        <v>1924</v>
      </c>
      <c r="C50" s="12" t="s">
        <v>1925</v>
      </c>
      <c r="D50" s="12" t="s">
        <v>1926</v>
      </c>
    </row>
    <row r="51" customFormat="false" ht="28.5" hidden="false" customHeight="true" outlineLevel="0" collapsed="false">
      <c r="B51" s="16" t="s">
        <v>1453</v>
      </c>
      <c r="C51" s="16"/>
      <c r="D51" s="16"/>
      <c r="E51" s="16"/>
      <c r="F51" s="16"/>
    </row>
    <row r="53" customFormat="false" ht="15.75" hidden="false" customHeight="true" outlineLevel="0" collapsed="false">
      <c r="B53" s="7" t="s">
        <v>1454</v>
      </c>
      <c r="C53" s="8"/>
      <c r="D53" s="8"/>
      <c r="E53" s="8"/>
      <c r="F53" s="8"/>
      <c r="G53" s="8"/>
      <c r="H53" s="8"/>
      <c r="I53" s="8"/>
      <c r="J53" s="8"/>
      <c r="K53" s="8"/>
    </row>
    <row r="54" customFormat="false" ht="17.25" hidden="false" customHeight="true" outlineLevel="0" collapsed="false">
      <c r="B54" s="9" t="s">
        <v>1927</v>
      </c>
      <c r="C54" s="9"/>
      <c r="D54" s="9"/>
      <c r="E54" s="9"/>
      <c r="F54" s="9"/>
    </row>
    <row r="55" customFormat="false" ht="17.25" hidden="false" customHeight="true" outlineLevel="0" collapsed="false">
      <c r="B55" s="9" t="s">
        <v>1928</v>
      </c>
      <c r="C55" s="9"/>
      <c r="D55" s="9"/>
      <c r="E55" s="9"/>
      <c r="F55" s="9"/>
    </row>
    <row r="56" customFormat="false" ht="15" hidden="false" customHeight="true" outlineLevel="0" collapsed="false">
      <c r="B56" s="19" t="s">
        <v>85</v>
      </c>
      <c r="C56" s="41" t="s">
        <v>86</v>
      </c>
    </row>
    <row r="58" customFormat="false" ht="30.75" hidden="false" customHeight="true" outlineLevel="0" collapsed="false">
      <c r="B58" s="11" t="s">
        <v>1929</v>
      </c>
      <c r="C58" s="11" t="s">
        <v>1930</v>
      </c>
      <c r="D58" s="11" t="s">
        <v>1931</v>
      </c>
      <c r="E58" s="11" t="s">
        <v>1932</v>
      </c>
      <c r="F58" s="11" t="s">
        <v>1784</v>
      </c>
      <c r="G58" s="11" t="s">
        <v>1933</v>
      </c>
    </row>
    <row r="59" customFormat="false" ht="44.25" hidden="false" customHeight="true" outlineLevel="0" collapsed="false">
      <c r="B59" s="12" t="s">
        <v>1487</v>
      </c>
      <c r="C59" s="12" t="s">
        <v>1934</v>
      </c>
      <c r="D59" s="12" t="s">
        <v>1935</v>
      </c>
      <c r="E59" s="12" t="s">
        <v>1936</v>
      </c>
      <c r="F59" s="12" t="s">
        <v>1937</v>
      </c>
      <c r="G59" s="12" t="s">
        <v>1938</v>
      </c>
    </row>
    <row r="60" customFormat="false" ht="44.25" hidden="false" customHeight="true" outlineLevel="0" collapsed="false">
      <c r="B60" s="12" t="s">
        <v>1939</v>
      </c>
      <c r="C60" s="12" t="s">
        <v>1940</v>
      </c>
      <c r="D60" s="12" t="s">
        <v>1935</v>
      </c>
      <c r="E60" s="12" t="s">
        <v>1941</v>
      </c>
      <c r="F60" s="12" t="s">
        <v>1942</v>
      </c>
      <c r="G60" s="12" t="s">
        <v>1943</v>
      </c>
    </row>
    <row r="61" customFormat="false" ht="44.25" hidden="false" customHeight="true" outlineLevel="0" collapsed="false">
      <c r="B61" s="12" t="s">
        <v>1944</v>
      </c>
      <c r="C61" s="12" t="s">
        <v>1945</v>
      </c>
      <c r="D61" s="12" t="s">
        <v>1935</v>
      </c>
      <c r="E61" s="12" t="s">
        <v>1946</v>
      </c>
      <c r="F61" s="12" t="s">
        <v>1947</v>
      </c>
      <c r="G61" s="12" t="s">
        <v>1948</v>
      </c>
    </row>
    <row r="62" customFormat="false" ht="30.75" hidden="false" customHeight="true" outlineLevel="0" collapsed="false">
      <c r="B62" s="12" t="s">
        <v>1949</v>
      </c>
      <c r="C62" s="12" t="s">
        <v>1950</v>
      </c>
      <c r="D62" s="12" t="s">
        <v>1700</v>
      </c>
      <c r="E62" s="12" t="s">
        <v>1951</v>
      </c>
      <c r="F62" s="12" t="s">
        <v>1952</v>
      </c>
      <c r="G62" s="12" t="s">
        <v>1953</v>
      </c>
    </row>
    <row r="63" customFormat="false" ht="44.25" hidden="false" customHeight="true" outlineLevel="0" collapsed="false">
      <c r="B63" s="12" t="s">
        <v>1954</v>
      </c>
      <c r="C63" s="12" t="s">
        <v>1955</v>
      </c>
      <c r="D63" s="12" t="s">
        <v>1956</v>
      </c>
      <c r="E63" s="12" t="s">
        <v>1957</v>
      </c>
      <c r="F63" s="12" t="s">
        <v>1958</v>
      </c>
      <c r="G63" s="12" t="s">
        <v>1959</v>
      </c>
    </row>
    <row r="65" customFormat="false" ht="15" hidden="false" customHeight="true" outlineLevel="0" collapsed="false">
      <c r="B65" s="10" t="s">
        <v>1960</v>
      </c>
      <c r="C65" s="43" t="n">
        <f aca="false">IFERROR(COUNTA($B$59:$G$63)/(ROWS($B$59:$G$63)*COLUMNS($B$59:$G$63)),0)</f>
        <v>1</v>
      </c>
    </row>
    <row r="67" customFormat="false" ht="16.5" hidden="false" customHeight="true" outlineLevel="0" collapsed="false">
      <c r="B67" s="11" t="s">
        <v>1961</v>
      </c>
      <c r="C67" s="11" t="s">
        <v>1375</v>
      </c>
    </row>
    <row r="68" customFormat="false" ht="44.25" hidden="false" customHeight="true" outlineLevel="0" collapsed="false">
      <c r="B68" s="12" t="s">
        <v>1962</v>
      </c>
      <c r="C68" s="19" t="s">
        <v>98</v>
      </c>
    </row>
    <row r="69" customFormat="false" ht="30.75" hidden="false" customHeight="true" outlineLevel="0" collapsed="false">
      <c r="B69" s="12" t="s">
        <v>1963</v>
      </c>
      <c r="C69" s="19" t="s">
        <v>98</v>
      </c>
    </row>
    <row r="70" customFormat="false" ht="44.25" hidden="false" customHeight="true" outlineLevel="0" collapsed="false">
      <c r="B70" s="12" t="s">
        <v>1964</v>
      </c>
      <c r="C70" s="19" t="s">
        <v>98</v>
      </c>
    </row>
    <row r="71" customFormat="false" ht="30.75" hidden="false" customHeight="true" outlineLevel="0" collapsed="false">
      <c r="B71" s="12" t="s">
        <v>1965</v>
      </c>
      <c r="C71" s="19" t="s">
        <v>98</v>
      </c>
    </row>
    <row r="72" customFormat="false" ht="30.75" hidden="false" customHeight="true" outlineLevel="0" collapsed="false">
      <c r="B72" s="12" t="s">
        <v>1966</v>
      </c>
      <c r="C72" s="19" t="s">
        <v>98</v>
      </c>
    </row>
    <row r="73" customFormat="false" ht="30.75" hidden="false" customHeight="true" outlineLevel="0" collapsed="false">
      <c r="B73" s="12" t="s">
        <v>1967</v>
      </c>
      <c r="C73" s="19" t="s">
        <v>98</v>
      </c>
    </row>
    <row r="75" customFormat="false" ht="15" hidden="false" customHeight="true" outlineLevel="0" collapsed="false">
      <c r="B75" s="10" t="s">
        <v>1968</v>
      </c>
      <c r="C75" s="43" t="n">
        <f aca="false">IFERROR(COUNTIF($C$68:$C$73,"Yes")/COUNTA($C$68:$C$73),0)</f>
        <v>0</v>
      </c>
    </row>
    <row r="77" customFormat="false" ht="15.75" hidden="false" customHeight="true" outlineLevel="0" collapsed="false">
      <c r="B77" s="7" t="s">
        <v>1493</v>
      </c>
      <c r="C77" s="8"/>
      <c r="D77" s="8"/>
      <c r="E77" s="8"/>
      <c r="F77" s="8"/>
      <c r="G77" s="8"/>
      <c r="H77" s="8"/>
      <c r="I77" s="8"/>
      <c r="J77" s="8"/>
      <c r="K77" s="8"/>
    </row>
    <row r="78" customFormat="false" ht="33.75" hidden="false" customHeight="true" outlineLevel="0" collapsed="false">
      <c r="B78" s="53" t="s">
        <v>1494</v>
      </c>
      <c r="C78" s="54" t="str">
        <f aca="false">IF(AND(C65=1,C75=1),"READY TO COLLECT - the plan is complete and every readiness question is answered Yes",IF(C75&gt;=0.8,"ALMOST READY - close the remaining checklist gaps before the first shift of collection","NOT READY - collecting now will produce data nobody will be able to defend"))</f>
        <v>NOT READY - collecting now will produce data nobody will be able to defend</v>
      </c>
      <c r="D78" s="54"/>
    </row>
    <row r="80" customFormat="false" ht="16.5" hidden="false" customHeight="true" outlineLevel="0" collapsed="false">
      <c r="B80" s="11" t="s">
        <v>1495</v>
      </c>
      <c r="C80" s="11" t="s">
        <v>1496</v>
      </c>
      <c r="D80" s="11" t="s">
        <v>1497</v>
      </c>
    </row>
    <row r="81" customFormat="false" ht="30.75" hidden="false" customHeight="true" outlineLevel="0" collapsed="false">
      <c r="B81" s="12" t="s">
        <v>1960</v>
      </c>
      <c r="C81" s="12" t="s">
        <v>1958</v>
      </c>
      <c r="D81" s="12" t="s">
        <v>1969</v>
      </c>
    </row>
    <row r="82" customFormat="false" ht="30.75" hidden="false" customHeight="true" outlineLevel="0" collapsed="false">
      <c r="B82" s="12" t="s">
        <v>1968</v>
      </c>
      <c r="C82" s="12" t="s">
        <v>1958</v>
      </c>
      <c r="D82" s="12" t="s">
        <v>1970</v>
      </c>
    </row>
    <row r="83" customFormat="false" ht="30.75" hidden="false" customHeight="true" outlineLevel="0" collapsed="false">
      <c r="B83" s="12" t="s">
        <v>1971</v>
      </c>
      <c r="C83" s="12" t="s">
        <v>1972</v>
      </c>
      <c r="D83" s="12" t="s">
        <v>1973</v>
      </c>
    </row>
    <row r="84" customFormat="false" ht="30.75" hidden="false" customHeight="true" outlineLevel="0" collapsed="false">
      <c r="B84" s="12" t="s">
        <v>1974</v>
      </c>
      <c r="C84" s="12" t="s">
        <v>1975</v>
      </c>
      <c r="D84" s="12" t="s">
        <v>1976</v>
      </c>
    </row>
    <row r="86" customFormat="false" ht="15" hidden="false" customHeight="true" outlineLevel="0" collapsed="false">
      <c r="B86" s="55" t="s">
        <v>1507</v>
      </c>
    </row>
    <row r="87" customFormat="false" ht="17.25" hidden="false" customHeight="true" outlineLevel="0" collapsed="false">
      <c r="B87" s="9" t="s">
        <v>1977</v>
      </c>
      <c r="C87" s="9"/>
      <c r="D87" s="9"/>
      <c r="E87" s="9"/>
      <c r="F87" s="9"/>
    </row>
    <row r="88" customFormat="false" ht="17.25" hidden="false" customHeight="true" outlineLevel="0" collapsed="false">
      <c r="B88" s="9" t="s">
        <v>1978</v>
      </c>
      <c r="C88" s="9"/>
      <c r="D88" s="9"/>
      <c r="E88" s="9"/>
      <c r="F88" s="9"/>
    </row>
    <row r="89" customFormat="false" ht="17.25" hidden="false" customHeight="true" outlineLevel="0" collapsed="false">
      <c r="B89" s="9" t="s">
        <v>1979</v>
      </c>
      <c r="C89" s="9"/>
      <c r="D89" s="9"/>
      <c r="E89" s="9"/>
      <c r="F89" s="9"/>
    </row>
    <row r="90" customFormat="false" ht="17.25" hidden="false" customHeight="true" outlineLevel="0" collapsed="false">
      <c r="B90" s="9" t="s">
        <v>1980</v>
      </c>
      <c r="C90" s="9"/>
      <c r="D90" s="9"/>
      <c r="E90" s="9"/>
      <c r="F90" s="9"/>
    </row>
    <row r="91" customFormat="false" ht="17.25" hidden="false" customHeight="true" outlineLevel="0" collapsed="false">
      <c r="B91" s="9" t="s">
        <v>1981</v>
      </c>
      <c r="C91" s="9"/>
      <c r="D91" s="9"/>
      <c r="E91" s="9"/>
      <c r="F91" s="9"/>
    </row>
    <row r="93" customFormat="false" ht="15.75" hidden="false" customHeight="true" outlineLevel="0" collapsed="false">
      <c r="B93" s="7" t="s">
        <v>1513</v>
      </c>
      <c r="C93" s="8"/>
      <c r="D93" s="8"/>
      <c r="E93" s="8"/>
      <c r="F93" s="8"/>
      <c r="G93" s="8"/>
      <c r="H93" s="8"/>
      <c r="I93" s="8"/>
      <c r="J93" s="8"/>
      <c r="K93" s="8"/>
    </row>
    <row r="94" customFormat="false" ht="17.25" hidden="false" customHeight="true" outlineLevel="0" collapsed="false">
      <c r="B94" s="9" t="s">
        <v>1514</v>
      </c>
      <c r="C94" s="9"/>
      <c r="D94" s="9"/>
      <c r="E94" s="9"/>
      <c r="N94" s="56" t="s">
        <v>1515</v>
      </c>
    </row>
    <row r="95" customFormat="false" ht="17.25" hidden="false" customHeight="true" outlineLevel="0" collapsed="false">
      <c r="B95" s="9" t="s">
        <v>1982</v>
      </c>
      <c r="C95" s="9"/>
      <c r="D95" s="9"/>
      <c r="E95" s="9"/>
      <c r="N95" s="57" t="s">
        <v>1983</v>
      </c>
    </row>
    <row r="96" customFormat="false" ht="17.25" hidden="false" customHeight="true" outlineLevel="0" collapsed="false">
      <c r="B96" s="9" t="s">
        <v>1984</v>
      </c>
      <c r="C96" s="9"/>
      <c r="D96" s="9"/>
      <c r="E96" s="9"/>
      <c r="N96" s="57" t="s">
        <v>1985</v>
      </c>
    </row>
    <row r="97" customFormat="false" ht="17.25" hidden="false" customHeight="true" outlineLevel="0" collapsed="false">
      <c r="B97" s="9" t="s">
        <v>1986</v>
      </c>
      <c r="C97" s="9"/>
      <c r="D97" s="9"/>
      <c r="E97" s="9"/>
      <c r="N97" s="57" t="s">
        <v>1987</v>
      </c>
    </row>
    <row r="99" customFormat="false" ht="15.75" hidden="false" customHeight="true" outlineLevel="0" collapsed="false">
      <c r="B99" s="7" t="s">
        <v>1522</v>
      </c>
      <c r="C99" s="8"/>
      <c r="D99" s="8"/>
      <c r="E99" s="8"/>
      <c r="F99" s="8"/>
      <c r="G99" s="8"/>
      <c r="H99" s="8"/>
      <c r="I99" s="8"/>
      <c r="J99" s="8"/>
      <c r="K99" s="8"/>
    </row>
    <row r="100" customFormat="false" ht="16.5" hidden="false" customHeight="true" outlineLevel="0" collapsed="false">
      <c r="B100" s="11" t="s">
        <v>1523</v>
      </c>
      <c r="C100" s="11" t="s">
        <v>1524</v>
      </c>
      <c r="D100" s="11" t="s">
        <v>1615</v>
      </c>
    </row>
    <row r="101" customFormat="false" ht="30.75" hidden="false" customHeight="true" outlineLevel="0" collapsed="false">
      <c r="B101" s="58" t="s">
        <v>1546</v>
      </c>
      <c r="C101" s="58" t="s">
        <v>1988</v>
      </c>
      <c r="D101" s="58" t="s">
        <v>1027</v>
      </c>
    </row>
  </sheetData>
  <mergeCells count="41">
    <mergeCell ref="B2:J2"/>
    <mergeCell ref="D3:F3"/>
    <mergeCell ref="C6:D6"/>
    <mergeCell ref="C7:D7"/>
    <mergeCell ref="C8:D8"/>
    <mergeCell ref="B11:F13"/>
    <mergeCell ref="B14:F15"/>
    <mergeCell ref="B16:F16"/>
    <mergeCell ref="B17:F17"/>
    <mergeCell ref="B18:F19"/>
    <mergeCell ref="B20:F20"/>
    <mergeCell ref="B23:D23"/>
    <mergeCell ref="E23:F23"/>
    <mergeCell ref="B24:D24"/>
    <mergeCell ref="E24:F24"/>
    <mergeCell ref="B25:D25"/>
    <mergeCell ref="E25:F25"/>
    <mergeCell ref="B26:D26"/>
    <mergeCell ref="E26:F26"/>
    <mergeCell ref="B27:F27"/>
    <mergeCell ref="B35:F35"/>
    <mergeCell ref="B36:F37"/>
    <mergeCell ref="B38:F38"/>
    <mergeCell ref="B39:F39"/>
    <mergeCell ref="B40:F40"/>
    <mergeCell ref="B41:F41"/>
    <mergeCell ref="B42:F42"/>
    <mergeCell ref="B43:F43"/>
    <mergeCell ref="B51:F51"/>
    <mergeCell ref="B54:F54"/>
    <mergeCell ref="B55:F55"/>
    <mergeCell ref="C78:D78"/>
    <mergeCell ref="B87:F87"/>
    <mergeCell ref="B88:F88"/>
    <mergeCell ref="B89:F89"/>
    <mergeCell ref="B90:F90"/>
    <mergeCell ref="B91:F91"/>
    <mergeCell ref="B94:E94"/>
    <mergeCell ref="B95:E95"/>
    <mergeCell ref="B96:E96"/>
    <mergeCell ref="B97:E97"/>
  </mergeCells>
  <dataValidations count="1">
    <dataValidation allowBlank="false" errorStyle="stop" operator="between" showDropDown="false" showErrorMessage="false" showInputMessage="false" sqref="C68:C73" type="list">
      <formula1>"Yes,No"</formula1>
      <formula2>0</formula2>
    </dataValidation>
  </dataValidations>
  <hyperlinks>
    <hyperlink ref="B3" location="'N-03 Index DMAIC'!A1" display="← Back to Index"/>
    <hyperlink ref="E30" location="'E-60 MSA Bias Linearity'!A1" display="E-60  MSA: Bias, Linearity, Stability, Attribute Agreement"/>
    <hyperlink ref="E31" location="'H-09 Stratification'!A1" display="H-09  Stratification"/>
    <hyperlink ref="E32" location="'E-20 Sample Size'!A1" display="E-20  Sample Size Determination"/>
    <hyperlink ref="B101" location="'E-05 Sampling Subgroups'!A1" display="E-05  Sampling Strategies and Rational Subgrouping"/>
    <hyperlink ref="C101" location="'E-07 Normal Distribution'!A1" display="E-07  The Normal Distribution and Z Scores"/>
    <hyperlink ref="D101" location="'E-59 Gage R and R'!A1" display="E-59  Gage R&amp;R: ANOVA and Range Method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1989</v>
      </c>
      <c r="C2" s="3"/>
      <c r="D2" s="3"/>
      <c r="E2" s="3"/>
      <c r="F2" s="3"/>
      <c r="G2" s="3"/>
      <c r="H2" s="3"/>
      <c r="I2" s="3"/>
      <c r="J2" s="3"/>
      <c r="K2" s="46" t="s">
        <v>1389</v>
      </c>
    </row>
    <row r="3" customFormat="false" ht="28.5" hidden="false" customHeight="true" outlineLevel="0" collapsed="false">
      <c r="B3" s="5" t="s">
        <v>3</v>
      </c>
      <c r="D3" s="6" t="s">
        <v>1990</v>
      </c>
      <c r="E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1991</v>
      </c>
      <c r="D6" s="9"/>
    </row>
    <row r="7" customFormat="false" ht="31.5" hidden="false" customHeight="true" outlineLevel="0" collapsed="false">
      <c r="B7" s="47" t="s">
        <v>1394</v>
      </c>
      <c r="C7" s="9" t="s">
        <v>1992</v>
      </c>
      <c r="D7" s="9"/>
    </row>
    <row r="8" customFormat="false" ht="31.5" hidden="false" customHeight="true" outlineLevel="0" collapsed="false">
      <c r="B8" s="47" t="s">
        <v>1396</v>
      </c>
      <c r="C8" s="9" t="s">
        <v>1993</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5.75" hidden="false" customHeight="true" outlineLevel="0" collapsed="false">
      <c r="B11" s="9" t="s">
        <v>1994</v>
      </c>
      <c r="C11" s="9"/>
      <c r="D11" s="9"/>
      <c r="E11" s="9"/>
      <c r="F11" s="9"/>
    </row>
    <row r="12" customFormat="false" ht="15.75" hidden="false" customHeight="true" outlineLevel="0" collapsed="false">
      <c r="B12" s="9"/>
      <c r="C12" s="9"/>
      <c r="D12" s="9"/>
      <c r="E12" s="9"/>
      <c r="F12" s="9"/>
    </row>
    <row r="13" customFormat="false" ht="15.75" hidden="false" customHeight="true" outlineLevel="0" collapsed="false">
      <c r="B13" s="9" t="s">
        <v>1995</v>
      </c>
      <c r="C13" s="9"/>
      <c r="D13" s="9"/>
      <c r="E13" s="9"/>
      <c r="F13" s="9"/>
    </row>
    <row r="14" customFormat="false" ht="15.75" hidden="false" customHeight="true" outlineLevel="0" collapsed="false">
      <c r="B14" s="9"/>
      <c r="C14" s="9"/>
      <c r="D14" s="9"/>
      <c r="E14" s="9"/>
      <c r="F14" s="9"/>
    </row>
    <row r="15" customFormat="false" ht="15.75" hidden="false" customHeight="true" outlineLevel="0" collapsed="false">
      <c r="B15" s="9" t="s">
        <v>1996</v>
      </c>
      <c r="C15" s="9"/>
      <c r="D15" s="9"/>
      <c r="E15" s="9"/>
      <c r="F15" s="9"/>
    </row>
    <row r="16" customFormat="false" ht="15.75" hidden="false" customHeight="true" outlineLevel="0" collapsed="false">
      <c r="B16" s="9"/>
      <c r="C16" s="9"/>
      <c r="D16" s="9"/>
      <c r="E16" s="9"/>
      <c r="F16" s="9"/>
    </row>
    <row r="17" customFormat="false" ht="15.75" hidden="false" customHeight="true" outlineLevel="0" collapsed="false">
      <c r="B17" s="9" t="s">
        <v>1997</v>
      </c>
      <c r="C17" s="9"/>
      <c r="D17" s="9"/>
      <c r="E17" s="9"/>
      <c r="F17" s="9"/>
    </row>
    <row r="18" customFormat="false" ht="15.75" hidden="false" customHeight="true" outlineLevel="0" collapsed="false">
      <c r="B18" s="9"/>
      <c r="C18" s="9"/>
      <c r="D18" s="9"/>
      <c r="E18" s="9"/>
      <c r="F18" s="9"/>
    </row>
    <row r="19" customFormat="false" ht="15.75" hidden="false" customHeight="true" outlineLevel="0" collapsed="false">
      <c r="B19" s="9" t="s">
        <v>1998</v>
      </c>
      <c r="C19" s="9"/>
      <c r="D19" s="9"/>
      <c r="E19" s="9"/>
      <c r="F19" s="9"/>
    </row>
    <row r="20" customFormat="false" ht="15.75" hidden="false" customHeight="true" outlineLevel="0" collapsed="false">
      <c r="B20" s="9"/>
      <c r="C20" s="9"/>
      <c r="D20" s="9"/>
      <c r="E20" s="9"/>
      <c r="F20" s="9"/>
    </row>
    <row r="22" customFormat="false" ht="15.75" hidden="false" customHeight="true" outlineLevel="0" collapsed="false">
      <c r="B22" s="7" t="s">
        <v>1406</v>
      </c>
      <c r="C22" s="8"/>
      <c r="D22" s="8"/>
      <c r="E22" s="8"/>
      <c r="F22" s="8"/>
      <c r="G22" s="8"/>
      <c r="H22" s="8"/>
      <c r="I22" s="8"/>
      <c r="J22" s="8"/>
      <c r="K22" s="8"/>
    </row>
    <row r="23" customFormat="false" ht="17.25" hidden="false" customHeight="true" outlineLevel="0" collapsed="false">
      <c r="B23" s="48" t="s">
        <v>1407</v>
      </c>
      <c r="C23" s="48"/>
      <c r="D23" s="48"/>
      <c r="E23" s="49" t="s">
        <v>1408</v>
      </c>
      <c r="F23" s="49"/>
    </row>
    <row r="24" customFormat="false" ht="31.5" hidden="false" customHeight="true" outlineLevel="0" collapsed="false">
      <c r="B24" s="23" t="s">
        <v>1999</v>
      </c>
      <c r="C24" s="23"/>
      <c r="D24" s="23"/>
      <c r="E24" s="23" t="s">
        <v>2000</v>
      </c>
      <c r="F24" s="23"/>
    </row>
    <row r="25" customFormat="false" ht="45.75" hidden="false" customHeight="true" outlineLevel="0" collapsed="false">
      <c r="B25" s="23" t="s">
        <v>2001</v>
      </c>
      <c r="C25" s="23"/>
      <c r="D25" s="23"/>
      <c r="E25" s="23" t="s">
        <v>2002</v>
      </c>
      <c r="F25" s="23"/>
    </row>
    <row r="26" customFormat="false" ht="31.5" hidden="false" customHeight="true" outlineLevel="0" collapsed="false">
      <c r="B26" s="23" t="s">
        <v>2003</v>
      </c>
      <c r="C26" s="23"/>
      <c r="D26" s="23"/>
      <c r="E26" s="23" t="s">
        <v>2004</v>
      </c>
      <c r="F26" s="23"/>
    </row>
    <row r="27" customFormat="false" ht="17.25" hidden="false" customHeight="true" outlineLevel="0" collapsed="false">
      <c r="B27" s="23" t="s">
        <v>2005</v>
      </c>
      <c r="C27" s="23"/>
      <c r="D27" s="23"/>
      <c r="E27" s="23"/>
      <c r="F27" s="23"/>
    </row>
    <row r="29" customFormat="false" ht="16.5" hidden="false" customHeight="true" outlineLevel="0" collapsed="false">
      <c r="B29" s="11" t="s">
        <v>1416</v>
      </c>
      <c r="C29" s="11" t="s">
        <v>1417</v>
      </c>
      <c r="D29" s="11" t="s">
        <v>1418</v>
      </c>
      <c r="E29" s="11" t="s">
        <v>1419</v>
      </c>
    </row>
    <row r="30" customFormat="false" ht="30.75" hidden="false" customHeight="true" outlineLevel="0" collapsed="false">
      <c r="B30" s="12" t="s">
        <v>2006</v>
      </c>
      <c r="C30" s="12" t="s">
        <v>2007</v>
      </c>
      <c r="D30" s="12" t="s">
        <v>2008</v>
      </c>
      <c r="E30" s="50" t="s">
        <v>964</v>
      </c>
    </row>
    <row r="31" customFormat="false" ht="30.75" hidden="false" customHeight="true" outlineLevel="0" collapsed="false">
      <c r="B31" s="12" t="s">
        <v>2009</v>
      </c>
      <c r="C31" s="12" t="s">
        <v>2010</v>
      </c>
      <c r="D31" s="12" t="s">
        <v>2011</v>
      </c>
      <c r="E31" s="50" t="s">
        <v>1060</v>
      </c>
    </row>
    <row r="32" customFormat="false" ht="30.75" hidden="false" customHeight="true" outlineLevel="0" collapsed="false">
      <c r="B32" s="12" t="s">
        <v>2012</v>
      </c>
      <c r="C32" s="12" t="s">
        <v>2013</v>
      </c>
      <c r="D32" s="12" t="s">
        <v>2014</v>
      </c>
      <c r="E32" s="50" t="s">
        <v>2015</v>
      </c>
    </row>
    <row r="34" customFormat="false" ht="15.75" hidden="false" customHeight="true" outlineLevel="0" collapsed="false">
      <c r="B34" s="7" t="s">
        <v>1429</v>
      </c>
      <c r="C34" s="8"/>
      <c r="D34" s="8"/>
      <c r="E34" s="8"/>
      <c r="F34" s="8"/>
      <c r="G34" s="8"/>
      <c r="H34" s="8"/>
      <c r="I34" s="8"/>
      <c r="J34" s="8"/>
      <c r="K34" s="8"/>
    </row>
    <row r="35" customFormat="false" ht="15" hidden="false" customHeight="true" outlineLevel="0" collapsed="false">
      <c r="B35" s="47" t="s">
        <v>2016</v>
      </c>
    </row>
    <row r="36" customFormat="false" ht="15" hidden="false" customHeight="true" outlineLevel="0" collapsed="false">
      <c r="B36" s="59" t="s">
        <v>2017</v>
      </c>
    </row>
    <row r="37" customFormat="false" ht="15" hidden="false" customHeight="true" outlineLevel="0" collapsed="false">
      <c r="B37" s="47" t="s">
        <v>2018</v>
      </c>
    </row>
    <row r="38" customFormat="false" ht="15" hidden="false" customHeight="true" outlineLevel="0" collapsed="false">
      <c r="B38" s="59" t="s">
        <v>2019</v>
      </c>
    </row>
    <row r="39" customFormat="false" ht="17.25" hidden="false" customHeight="true" outlineLevel="0" collapsed="false">
      <c r="B39" s="51" t="s">
        <v>2020</v>
      </c>
      <c r="C39" s="51"/>
      <c r="D39" s="51"/>
      <c r="E39" s="51"/>
      <c r="F39" s="51"/>
    </row>
    <row r="40" customFormat="false" ht="17.25" hidden="false" customHeight="true" outlineLevel="0" collapsed="false">
      <c r="B40" s="52" t="s">
        <v>2021</v>
      </c>
      <c r="C40" s="52"/>
      <c r="D40" s="52"/>
      <c r="E40" s="52"/>
      <c r="F40" s="52"/>
    </row>
    <row r="41" customFormat="false" ht="15" hidden="false" customHeight="true" outlineLevel="0" collapsed="false">
      <c r="B41" s="47" t="s">
        <v>2022</v>
      </c>
    </row>
    <row r="42" customFormat="false" ht="15" hidden="false" customHeight="true" outlineLevel="0" collapsed="false">
      <c r="B42" s="59" t="s">
        <v>2023</v>
      </c>
    </row>
    <row r="43" customFormat="false" ht="15" hidden="false" customHeight="true" outlineLevel="0" collapsed="false">
      <c r="B43" s="47" t="s">
        <v>2024</v>
      </c>
    </row>
    <row r="44" customFormat="false" ht="17.25" hidden="false" customHeight="true" outlineLevel="0" collapsed="false">
      <c r="B44" s="52" t="s">
        <v>2025</v>
      </c>
      <c r="C44" s="52"/>
      <c r="D44" s="52"/>
      <c r="E44" s="52"/>
      <c r="F44" s="52"/>
    </row>
    <row r="46" customFormat="false" ht="15.75" hidden="false" customHeight="true" outlineLevel="0" collapsed="false">
      <c r="B46" s="7" t="s">
        <v>1437</v>
      </c>
      <c r="C46" s="8"/>
      <c r="D46" s="8"/>
      <c r="E46" s="8"/>
      <c r="F46" s="8"/>
      <c r="G46" s="8"/>
      <c r="H46" s="8"/>
      <c r="I46" s="8"/>
      <c r="J46" s="8"/>
      <c r="K46" s="8"/>
    </row>
    <row r="47" customFormat="false" ht="16.5" hidden="false" customHeight="true" outlineLevel="0" collapsed="false">
      <c r="B47" s="11" t="s">
        <v>1438</v>
      </c>
      <c r="C47" s="11" t="s">
        <v>1439</v>
      </c>
      <c r="D47" s="11" t="s">
        <v>1440</v>
      </c>
    </row>
    <row r="48" customFormat="false" ht="30.75" hidden="false" customHeight="true" outlineLevel="0" collapsed="false">
      <c r="B48" s="12" t="s">
        <v>1834</v>
      </c>
      <c r="C48" s="12" t="s">
        <v>1835</v>
      </c>
      <c r="D48" s="12" t="s">
        <v>2026</v>
      </c>
    </row>
    <row r="49" customFormat="false" ht="30.75" hidden="false" customHeight="true" outlineLevel="0" collapsed="false">
      <c r="B49" s="12" t="s">
        <v>1574</v>
      </c>
      <c r="C49" s="12" t="s">
        <v>2027</v>
      </c>
      <c r="D49" s="12" t="s">
        <v>2028</v>
      </c>
    </row>
    <row r="50" customFormat="false" ht="30.75" hidden="false" customHeight="true" outlineLevel="0" collapsed="false">
      <c r="B50" s="12" t="s">
        <v>2029</v>
      </c>
      <c r="C50" s="12" t="s">
        <v>2030</v>
      </c>
      <c r="D50" s="12" t="s">
        <v>2031</v>
      </c>
    </row>
    <row r="51" customFormat="false" ht="30.75" hidden="false" customHeight="true" outlineLevel="0" collapsed="false">
      <c r="B51" s="12" t="s">
        <v>2032</v>
      </c>
      <c r="C51" s="12" t="s">
        <v>2033</v>
      </c>
      <c r="D51" s="12" t="s">
        <v>2034</v>
      </c>
    </row>
    <row r="52" customFormat="false" ht="30.75" hidden="false" customHeight="true" outlineLevel="0" collapsed="false">
      <c r="B52" s="12" t="s">
        <v>1577</v>
      </c>
      <c r="C52" s="12" t="s">
        <v>1578</v>
      </c>
      <c r="D52" s="12" t="s">
        <v>2035</v>
      </c>
    </row>
    <row r="53" customFormat="false" ht="28.5" hidden="false" customHeight="true" outlineLevel="0" collapsed="false">
      <c r="B53" s="16" t="s">
        <v>1453</v>
      </c>
      <c r="C53" s="16"/>
      <c r="D53" s="16"/>
      <c r="E53" s="16"/>
      <c r="F53" s="16"/>
    </row>
    <row r="55" customFormat="false" ht="15.75" hidden="false" customHeight="true" outlineLevel="0" collapsed="false">
      <c r="B55" s="7" t="s">
        <v>1454</v>
      </c>
      <c r="C55" s="8"/>
      <c r="D55" s="8"/>
      <c r="E55" s="8"/>
      <c r="F55" s="8"/>
      <c r="G55" s="8"/>
      <c r="H55" s="8"/>
      <c r="I55" s="8"/>
      <c r="J55" s="8"/>
      <c r="K55" s="8"/>
    </row>
    <row r="56" customFormat="false" ht="15.75" hidden="false" customHeight="true" outlineLevel="0" collapsed="false">
      <c r="B56" s="9" t="s">
        <v>2036</v>
      </c>
      <c r="C56" s="9"/>
      <c r="D56" s="9"/>
      <c r="E56" s="9"/>
      <c r="F56" s="9"/>
    </row>
    <row r="57" customFormat="false" ht="15.75" hidden="false" customHeight="true" outlineLevel="0" collapsed="false">
      <c r="B57" s="9"/>
      <c r="C57" s="9"/>
      <c r="D57" s="9"/>
      <c r="E57" s="9"/>
      <c r="F57" s="9"/>
    </row>
    <row r="58" customFormat="false" ht="15" hidden="false" customHeight="true" outlineLevel="0" collapsed="false">
      <c r="B58" s="19" t="s">
        <v>85</v>
      </c>
      <c r="C58" s="41" t="s">
        <v>86</v>
      </c>
    </row>
    <row r="60" customFormat="false" ht="15" hidden="false" customHeight="true" outlineLevel="0" collapsed="false">
      <c r="B60" s="10" t="s">
        <v>2037</v>
      </c>
      <c r="C60" s="61" t="n">
        <v>500.5</v>
      </c>
    </row>
    <row r="61" customFormat="false" ht="15" hidden="false" customHeight="true" outlineLevel="0" collapsed="false">
      <c r="B61" s="10" t="s">
        <v>2038</v>
      </c>
      <c r="C61" s="61" t="n">
        <v>1.1</v>
      </c>
    </row>
    <row r="62" customFormat="false" ht="15" hidden="false" customHeight="true" outlineLevel="0" collapsed="false">
      <c r="B62" s="10" t="s">
        <v>1678</v>
      </c>
      <c r="C62" s="60" t="n">
        <v>496</v>
      </c>
    </row>
    <row r="63" customFormat="false" ht="15" hidden="false" customHeight="true" outlineLevel="0" collapsed="false">
      <c r="B63" s="10" t="s">
        <v>1677</v>
      </c>
      <c r="C63" s="60" t="n">
        <v>504</v>
      </c>
    </row>
    <row r="64" customFormat="false" ht="15" hidden="false" customHeight="true" outlineLevel="0" collapsed="false">
      <c r="B64" s="10" t="s">
        <v>2039</v>
      </c>
      <c r="C64" s="60" t="n">
        <v>503</v>
      </c>
    </row>
    <row r="66" customFormat="false" ht="15" hidden="false" customHeight="true" outlineLevel="0" collapsed="false">
      <c r="B66" s="10" t="s">
        <v>2040</v>
      </c>
      <c r="C66" s="63" t="n">
        <f aca="false">(C62-C60)/C61</f>
        <v>-4.09090909090909</v>
      </c>
    </row>
    <row r="67" customFormat="false" ht="15" hidden="false" customHeight="true" outlineLevel="0" collapsed="false">
      <c r="B67" s="10" t="s">
        <v>2041</v>
      </c>
      <c r="C67" s="63" t="n">
        <f aca="false">(C63-C60)/C61</f>
        <v>3.18181818181818</v>
      </c>
    </row>
    <row r="68" customFormat="false" ht="15" hidden="false" customHeight="true" outlineLevel="0" collapsed="false">
      <c r="B68" s="10" t="s">
        <v>2042</v>
      </c>
      <c r="C68" s="72" t="n">
        <f aca="false">NORMSDIST(C66)</f>
        <v>2.14842775254951E-005</v>
      </c>
    </row>
    <row r="69" customFormat="false" ht="15" hidden="false" customHeight="true" outlineLevel="0" collapsed="false">
      <c r="B69" s="10" t="s">
        <v>2043</v>
      </c>
      <c r="C69" s="72" t="n">
        <f aca="false">1-NORMSDIST(C67)</f>
        <v>0.000731768322392634</v>
      </c>
    </row>
    <row r="70" customFormat="false" ht="15" hidden="false" customHeight="true" outlineLevel="0" collapsed="false">
      <c r="B70" s="10" t="s">
        <v>2044</v>
      </c>
      <c r="C70" s="72" t="n">
        <f aca="false">C68+C69</f>
        <v>0.000753252599918129</v>
      </c>
    </row>
    <row r="71" customFormat="false" ht="15" hidden="false" customHeight="true" outlineLevel="0" collapsed="false">
      <c r="B71" s="10" t="s">
        <v>2045</v>
      </c>
      <c r="C71" s="70" t="n">
        <f aca="false">C70*1000000</f>
        <v>753.252599918129</v>
      </c>
    </row>
    <row r="72" customFormat="false" ht="15" hidden="false" customHeight="true" outlineLevel="0" collapsed="false">
      <c r="B72" s="10" t="s">
        <v>2046</v>
      </c>
      <c r="C72" s="64" t="n">
        <f aca="false">IFERROR(NORMSINV(1-C70),6)</f>
        <v>3.17342750302825</v>
      </c>
    </row>
    <row r="73" customFormat="false" ht="15" hidden="false" customHeight="true" outlineLevel="0" collapsed="false">
      <c r="B73" s="10" t="s">
        <v>2047</v>
      </c>
      <c r="C73" s="63" t="n">
        <f aca="false">(C64-C60)/C61</f>
        <v>2.27272727272727</v>
      </c>
    </row>
    <row r="74" customFormat="false" ht="15" hidden="false" customHeight="true" outlineLevel="0" collapsed="false">
      <c r="B74" s="10" t="s">
        <v>2048</v>
      </c>
      <c r="C74" s="66" t="n">
        <f aca="false">NORMSDIST(C73)</f>
        <v>0.988478689956119</v>
      </c>
    </row>
    <row r="75" customFormat="false" ht="15" hidden="false" customHeight="true" outlineLevel="0" collapsed="false">
      <c r="B75" s="10" t="s">
        <v>2049</v>
      </c>
      <c r="C75" s="66" t="n">
        <f aca="false">1-C74</f>
        <v>0.0115213100438809</v>
      </c>
    </row>
    <row r="76" customFormat="false" ht="15" hidden="false" customHeight="true" outlineLevel="0" collapsed="false">
      <c r="B76" s="10" t="s">
        <v>2050</v>
      </c>
      <c r="C76" s="63" t="n">
        <f aca="false">C60-500</f>
        <v>0.5</v>
      </c>
    </row>
    <row r="78" customFormat="false" ht="18" hidden="false" customHeight="true" outlineLevel="0" collapsed="false">
      <c r="B78" s="7" t="s">
        <v>2051</v>
      </c>
      <c r="C78" s="8"/>
      <c r="D78" s="8"/>
      <c r="E78" s="8"/>
      <c r="F78" s="8"/>
      <c r="G78" s="8"/>
      <c r="H78" s="8"/>
      <c r="I78" s="8"/>
      <c r="J78" s="8"/>
      <c r="K78" s="8"/>
    </row>
    <row r="79" customFormat="false" ht="27.75" hidden="false" customHeight="true" outlineLevel="0" collapsed="false">
      <c r="B79" s="11" t="s">
        <v>2052</v>
      </c>
      <c r="C79" s="11" t="s">
        <v>2053</v>
      </c>
    </row>
    <row r="80" customFormat="false" ht="15" hidden="false" customHeight="true" outlineLevel="0" collapsed="false">
      <c r="B80" s="64" t="n">
        <f aca="false">C60+(-20)*C61/5</f>
        <v>496.1</v>
      </c>
      <c r="C80" s="66" t="n">
        <f aca="false">NORMDIST(B80,C60,C61,FALSE())</f>
        <v>0.000121663841604451</v>
      </c>
    </row>
    <row r="81" customFormat="false" ht="15" hidden="false" customHeight="true" outlineLevel="0" collapsed="false">
      <c r="B81" s="64" t="n">
        <f aca="false">C60+(-19)*C61/5</f>
        <v>496.32</v>
      </c>
      <c r="C81" s="66" t="n">
        <f aca="false">NORMDIST(B81,C60,C61,FALSE())</f>
        <v>0.000265406296174049</v>
      </c>
    </row>
    <row r="82" customFormat="false" ht="15" hidden="false" customHeight="true" outlineLevel="0" collapsed="false">
      <c r="B82" s="64" t="n">
        <f aca="false">C60+(-18)*C61/5</f>
        <v>496.54</v>
      </c>
      <c r="C82" s="66" t="n">
        <f aca="false">NORMDIST(B82,C60,C61,FALSE())</f>
        <v>0.000556274481921649</v>
      </c>
    </row>
    <row r="83" customFormat="false" ht="15" hidden="false" customHeight="true" outlineLevel="0" collapsed="false">
      <c r="B83" s="64" t="n">
        <f aca="false">C60+(-17)*C61/5</f>
        <v>496.76</v>
      </c>
      <c r="C83" s="66" t="n">
        <f aca="false">NORMDIST(B83,C60,C61,FALSE())</f>
        <v>0.00112019924406635</v>
      </c>
    </row>
    <row r="84" customFormat="false" ht="15" hidden="false" customHeight="true" outlineLevel="0" collapsed="false">
      <c r="B84" s="64" t="n">
        <f aca="false">C60+(-16)*C61/5</f>
        <v>496.98</v>
      </c>
      <c r="C84" s="66" t="n">
        <f aca="false">NORMDIST(B84,C60,C61,FALSE())</f>
        <v>0.0021673529104227</v>
      </c>
    </row>
    <row r="85" customFormat="false" ht="15" hidden="false" customHeight="true" outlineLevel="0" collapsed="false">
      <c r="B85" s="64" t="n">
        <f aca="false">C60+(-15)*C61/5</f>
        <v>497.2</v>
      </c>
      <c r="C85" s="66" t="n">
        <f aca="false">NORMDIST(B85,C60,C61,FALSE())</f>
        <v>0.0040289531017617</v>
      </c>
    </row>
    <row r="86" customFormat="false" ht="15" hidden="false" customHeight="true" outlineLevel="0" collapsed="false">
      <c r="B86" s="64" t="n">
        <f aca="false">C60+(-14)*C61/5</f>
        <v>497.42</v>
      </c>
      <c r="C86" s="66" t="n">
        <f aca="false">NORMDIST(B86,C60,C61,FALSE())</f>
        <v>0.00719586507543663</v>
      </c>
    </row>
    <row r="87" customFormat="false" ht="15" hidden="false" customHeight="true" outlineLevel="0" collapsed="false">
      <c r="B87" s="64" t="n">
        <f aca="false">C60+(-13)*C61/5</f>
        <v>497.64</v>
      </c>
      <c r="C87" s="66" t="n">
        <f aca="false">NORMDIST(B87,C60,C61,FALSE())</f>
        <v>0.0123481538488047</v>
      </c>
    </row>
    <row r="88" customFormat="false" ht="15" hidden="false" customHeight="true" outlineLevel="0" collapsed="false">
      <c r="B88" s="64" t="n">
        <f aca="false">C60+(-12)*C61/5</f>
        <v>497.86</v>
      </c>
      <c r="C88" s="66" t="n">
        <f aca="false">NORMDIST(B88,C60,C61,FALSE())</f>
        <v>0.0203586639044032</v>
      </c>
    </row>
    <row r="89" customFormat="false" ht="15" hidden="false" customHeight="true" outlineLevel="0" collapsed="false">
      <c r="B89" s="64" t="n">
        <f aca="false">C60+(-11)*C61/5</f>
        <v>498.08</v>
      </c>
      <c r="C89" s="66" t="n">
        <f aca="false">NORMDIST(B89,C60,C61,FALSE())</f>
        <v>0.0322496298602094</v>
      </c>
    </row>
    <row r="90" customFormat="false" ht="15" hidden="false" customHeight="true" outlineLevel="0" collapsed="false">
      <c r="B90" s="64" t="n">
        <f aca="false">C60+(-10)*C61/5</f>
        <v>498.3</v>
      </c>
      <c r="C90" s="66" t="n">
        <f aca="false">NORMDIST(B90,C60,C61,FALSE())</f>
        <v>0.049082696830172</v>
      </c>
    </row>
    <row r="91" customFormat="false" ht="15" hidden="false" customHeight="true" outlineLevel="0" collapsed="false">
      <c r="B91" s="64" t="n">
        <f aca="false">C60+(-9)*C61/5</f>
        <v>498.52</v>
      </c>
      <c r="C91" s="66" t="n">
        <f aca="false">NORMDIST(B91,C60,C61,FALSE())</f>
        <v>0.0717728711826289</v>
      </c>
    </row>
    <row r="92" customFormat="false" ht="15" hidden="false" customHeight="true" outlineLevel="0" collapsed="false">
      <c r="B92" s="64" t="n">
        <f aca="false">C60+(-8)*C61/5</f>
        <v>498.74</v>
      </c>
      <c r="C92" s="66" t="n">
        <f aca="false">NORMDIST(B92,C60,C61,FALSE())</f>
        <v>0.10083712243587</v>
      </c>
    </row>
    <row r="93" customFormat="false" ht="15" hidden="false" customHeight="true" outlineLevel="0" collapsed="false">
      <c r="B93" s="64" t="n">
        <f aca="false">C60+(-7)*C61/5</f>
        <v>498.96</v>
      </c>
      <c r="C93" s="66" t="n">
        <f aca="false">NORMDIST(B93,C60,C61,FALSE())</f>
        <v>0.136115877850674</v>
      </c>
    </row>
    <row r="94" customFormat="false" ht="15" hidden="false" customHeight="true" outlineLevel="0" collapsed="false">
      <c r="B94" s="64" t="n">
        <f aca="false">C60+(-6)*C61/5</f>
        <v>499.18</v>
      </c>
      <c r="C94" s="66" t="n">
        <f aca="false">NORMDIST(B94,C60,C61,FALSE())</f>
        <v>0.176532777257468</v>
      </c>
    </row>
    <row r="95" customFormat="false" ht="15" hidden="false" customHeight="true" outlineLevel="0" collapsed="false">
      <c r="B95" s="64" t="n">
        <f aca="false">C60+(-5)*C61/5</f>
        <v>499.4</v>
      </c>
      <c r="C95" s="66" t="n">
        <f aca="false">NORMDIST(B95,C60,C61,FALSE())</f>
        <v>0.219973385926489</v>
      </c>
    </row>
    <row r="96" customFormat="false" ht="15" hidden="false" customHeight="true" outlineLevel="0" collapsed="false">
      <c r="B96" s="64" t="n">
        <f aca="false">C60+(-4)*C61/5</f>
        <v>499.62</v>
      </c>
      <c r="C96" s="66" t="n">
        <f aca="false">NORMDIST(B96,C60,C61,FALSE())</f>
        <v>0.263355957055894</v>
      </c>
    </row>
    <row r="97" customFormat="false" ht="15" hidden="false" customHeight="true" outlineLevel="0" collapsed="false">
      <c r="B97" s="64" t="n">
        <f aca="false">C60+(-3)*C61/5</f>
        <v>499.84</v>
      </c>
      <c r="C97" s="66" t="n">
        <f aca="false">NORMDIST(B97,C60,C61,FALSE())</f>
        <v>0.302931457174359</v>
      </c>
    </row>
    <row r="98" customFormat="false" ht="15" hidden="false" customHeight="true" outlineLevel="0" collapsed="false">
      <c r="B98" s="64" t="n">
        <f aca="false">C60+(-2)*C61/5</f>
        <v>500.06</v>
      </c>
      <c r="C98" s="66" t="n">
        <f aca="false">NORMDIST(B98,C60,C61,FALSE())</f>
        <v>0.334791036639385</v>
      </c>
    </row>
    <row r="99" customFormat="false" ht="15" hidden="false" customHeight="true" outlineLevel="0" collapsed="false">
      <c r="B99" s="64" t="n">
        <f aca="false">C60+(-1)*C61/5</f>
        <v>500.28</v>
      </c>
      <c r="C99" s="66" t="n">
        <f aca="false">NORMDIST(B99,C60,C61,FALSE())</f>
        <v>0.355493358159504</v>
      </c>
    </row>
    <row r="100" customFormat="false" ht="15" hidden="false" customHeight="true" outlineLevel="0" collapsed="false">
      <c r="B100" s="64" t="n">
        <f aca="false">C60+(0)*C61/5</f>
        <v>500.5</v>
      </c>
      <c r="C100" s="66" t="n">
        <f aca="false">NORMDIST(B100,C60,C61,FALSE())</f>
        <v>0.362674800364939</v>
      </c>
    </row>
    <row r="101" customFormat="false" ht="15" hidden="false" customHeight="true" outlineLevel="0" collapsed="false">
      <c r="B101" s="64" t="n">
        <f aca="false">C60+(1)*C61/5</f>
        <v>500.72</v>
      </c>
      <c r="C101" s="66" t="n">
        <f aca="false">NORMDIST(B101,C60,C61,FALSE())</f>
        <v>0.355493358159504</v>
      </c>
    </row>
    <row r="102" customFormat="false" ht="15" hidden="false" customHeight="true" outlineLevel="0" collapsed="false">
      <c r="B102" s="64" t="n">
        <f aca="false">C60+(2)*C61/5</f>
        <v>500.94</v>
      </c>
      <c r="C102" s="66" t="n">
        <f aca="false">NORMDIST(B102,C60,C61,FALSE())</f>
        <v>0.334791036639385</v>
      </c>
    </row>
    <row r="103" customFormat="false" ht="15" hidden="false" customHeight="true" outlineLevel="0" collapsed="false">
      <c r="B103" s="64" t="n">
        <f aca="false">C60+(3)*C61/5</f>
        <v>501.16</v>
      </c>
      <c r="C103" s="66" t="n">
        <f aca="false">NORMDIST(B103,C60,C61,FALSE())</f>
        <v>0.302931457174359</v>
      </c>
    </row>
    <row r="104" customFormat="false" ht="15" hidden="false" customHeight="true" outlineLevel="0" collapsed="false">
      <c r="B104" s="64" t="n">
        <f aca="false">C60+(4)*C61/5</f>
        <v>501.38</v>
      </c>
      <c r="C104" s="66" t="n">
        <f aca="false">NORMDIST(B104,C60,C61,FALSE())</f>
        <v>0.263355957055894</v>
      </c>
    </row>
    <row r="105" customFormat="false" ht="15" hidden="false" customHeight="true" outlineLevel="0" collapsed="false">
      <c r="B105" s="64" t="n">
        <f aca="false">C60+(5)*C61/5</f>
        <v>501.6</v>
      </c>
      <c r="C105" s="66" t="n">
        <f aca="false">NORMDIST(B105,C60,C61,FALSE())</f>
        <v>0.219973385926489</v>
      </c>
    </row>
    <row r="106" customFormat="false" ht="15" hidden="false" customHeight="true" outlineLevel="0" collapsed="false">
      <c r="B106" s="64" t="n">
        <f aca="false">C60+(6)*C61/5</f>
        <v>501.82</v>
      </c>
      <c r="C106" s="66" t="n">
        <f aca="false">NORMDIST(B106,C60,C61,FALSE())</f>
        <v>0.176532777257468</v>
      </c>
    </row>
    <row r="107" customFormat="false" ht="15" hidden="false" customHeight="true" outlineLevel="0" collapsed="false">
      <c r="B107" s="64" t="n">
        <f aca="false">C60+(7)*C61/5</f>
        <v>502.04</v>
      </c>
      <c r="C107" s="66" t="n">
        <f aca="false">NORMDIST(B107,C60,C61,FALSE())</f>
        <v>0.136115877850674</v>
      </c>
    </row>
    <row r="108" customFormat="false" ht="15" hidden="false" customHeight="true" outlineLevel="0" collapsed="false">
      <c r="B108" s="64" t="n">
        <f aca="false">C60+(8)*C61/5</f>
        <v>502.26</v>
      </c>
      <c r="C108" s="66" t="n">
        <f aca="false">NORMDIST(B108,C60,C61,FALSE())</f>
        <v>0.10083712243587</v>
      </c>
    </row>
    <row r="109" customFormat="false" ht="15" hidden="false" customHeight="true" outlineLevel="0" collapsed="false">
      <c r="B109" s="64" t="n">
        <f aca="false">C60+(9)*C61/5</f>
        <v>502.48</v>
      </c>
      <c r="C109" s="66" t="n">
        <f aca="false">NORMDIST(B109,C60,C61,FALSE())</f>
        <v>0.0717728711826289</v>
      </c>
    </row>
    <row r="110" customFormat="false" ht="15" hidden="false" customHeight="true" outlineLevel="0" collapsed="false">
      <c r="B110" s="64" t="n">
        <f aca="false">C60+(10)*C61/5</f>
        <v>502.7</v>
      </c>
      <c r="C110" s="66" t="n">
        <f aca="false">NORMDIST(B110,C60,C61,FALSE())</f>
        <v>0.049082696830172</v>
      </c>
    </row>
    <row r="111" customFormat="false" ht="15" hidden="false" customHeight="true" outlineLevel="0" collapsed="false">
      <c r="B111" s="64" t="n">
        <f aca="false">C60+(11)*C61/5</f>
        <v>502.92</v>
      </c>
      <c r="C111" s="66" t="n">
        <f aca="false">NORMDIST(B111,C60,C61,FALSE())</f>
        <v>0.0322496298602094</v>
      </c>
    </row>
    <row r="112" customFormat="false" ht="15" hidden="false" customHeight="true" outlineLevel="0" collapsed="false">
      <c r="B112" s="64" t="n">
        <f aca="false">C60+(12)*C61/5</f>
        <v>503.14</v>
      </c>
      <c r="C112" s="66" t="n">
        <f aca="false">NORMDIST(B112,C60,C61,FALSE())</f>
        <v>0.0203586639044032</v>
      </c>
    </row>
    <row r="113" customFormat="false" ht="15" hidden="false" customHeight="true" outlineLevel="0" collapsed="false">
      <c r="B113" s="64" t="n">
        <f aca="false">C60+(13)*C61/5</f>
        <v>503.36</v>
      </c>
      <c r="C113" s="66" t="n">
        <f aca="false">NORMDIST(B113,C60,C61,FALSE())</f>
        <v>0.0123481538488047</v>
      </c>
    </row>
    <row r="114" customFormat="false" ht="15" hidden="false" customHeight="true" outlineLevel="0" collapsed="false">
      <c r="B114" s="64" t="n">
        <f aca="false">C60+(14)*C61/5</f>
        <v>503.58</v>
      </c>
      <c r="C114" s="66" t="n">
        <f aca="false">NORMDIST(B114,C60,C61,FALSE())</f>
        <v>0.00719586507543663</v>
      </c>
    </row>
    <row r="115" customFormat="false" ht="15" hidden="false" customHeight="true" outlineLevel="0" collapsed="false">
      <c r="B115" s="64" t="n">
        <f aca="false">C60+(15)*C61/5</f>
        <v>503.8</v>
      </c>
      <c r="C115" s="66" t="n">
        <f aca="false">NORMDIST(B115,C60,C61,FALSE())</f>
        <v>0.0040289531017617</v>
      </c>
    </row>
    <row r="116" customFormat="false" ht="15" hidden="false" customHeight="true" outlineLevel="0" collapsed="false">
      <c r="B116" s="64" t="n">
        <f aca="false">C60+(16)*C61/5</f>
        <v>504.02</v>
      </c>
      <c r="C116" s="66" t="n">
        <f aca="false">NORMDIST(B116,C60,C61,FALSE())</f>
        <v>0.0021673529104227</v>
      </c>
    </row>
    <row r="117" customFormat="false" ht="15" hidden="false" customHeight="true" outlineLevel="0" collapsed="false">
      <c r="B117" s="64" t="n">
        <f aca="false">C60+(17)*C61/5</f>
        <v>504.24</v>
      </c>
      <c r="C117" s="66" t="n">
        <f aca="false">NORMDIST(B117,C60,C61,FALSE())</f>
        <v>0.00112019924406635</v>
      </c>
    </row>
    <row r="118" customFormat="false" ht="15" hidden="false" customHeight="true" outlineLevel="0" collapsed="false">
      <c r="B118" s="64" t="n">
        <f aca="false">C60+(18)*C61/5</f>
        <v>504.46</v>
      </c>
      <c r="C118" s="66" t="n">
        <f aca="false">NORMDIST(B118,C60,C61,FALSE())</f>
        <v>0.000556274481921649</v>
      </c>
    </row>
    <row r="119" customFormat="false" ht="15" hidden="false" customHeight="true" outlineLevel="0" collapsed="false">
      <c r="B119" s="64" t="n">
        <f aca="false">C60+(19)*C61/5</f>
        <v>504.68</v>
      </c>
      <c r="C119" s="66" t="n">
        <f aca="false">NORMDIST(B119,C60,C61,FALSE())</f>
        <v>0.000265406296174049</v>
      </c>
    </row>
    <row r="120" customFormat="false" ht="15" hidden="false" customHeight="true" outlineLevel="0" collapsed="false">
      <c r="B120" s="64" t="n">
        <f aca="false">C60+(20)*C61/5</f>
        <v>504.9</v>
      </c>
      <c r="C120" s="66" t="n">
        <f aca="false">NORMDIST(B120,C60,C61,FALSE())</f>
        <v>0.000121663841604451</v>
      </c>
    </row>
    <row r="122" customFormat="false" ht="15.75" hidden="false" customHeight="true" outlineLevel="0" collapsed="false">
      <c r="B122" s="7" t="s">
        <v>1493</v>
      </c>
      <c r="C122" s="8"/>
      <c r="D122" s="8"/>
      <c r="E122" s="8"/>
      <c r="F122" s="8"/>
      <c r="G122" s="8"/>
      <c r="H122" s="8"/>
      <c r="I122" s="8"/>
      <c r="J122" s="8"/>
      <c r="K122" s="8"/>
    </row>
    <row r="123" customFormat="false" ht="33.75" hidden="false" customHeight="true" outlineLevel="0" collapsed="false">
      <c r="B123" s="53" t="s">
        <v>1494</v>
      </c>
      <c r="C123" s="54" t="str">
        <f aca="false">IF(C71&lt;=3.4,"SIX SIGMA PERFORMANCE - fewer than 3.4 defects per million from this model",IF(C71&lt;=1350,"CAPABLE - performance corresponds to roughly a 3 sigma process or better",IF(C71&lt;=66807,"MARGINAL - about a 3 sigma process; expect visible rejection at the inspector","NOT CAPABLE - the model predicts substantial out-of-specification output")))</f>
        <v>CAPABLE - performance corresponds to roughly a 3 sigma process or better</v>
      </c>
      <c r="D123" s="54"/>
    </row>
    <row r="125" customFormat="false" ht="16.5" hidden="false" customHeight="true" outlineLevel="0" collapsed="false">
      <c r="B125" s="11" t="s">
        <v>1495</v>
      </c>
      <c r="C125" s="11" t="s">
        <v>1496</v>
      </c>
      <c r="D125" s="11" t="s">
        <v>1497</v>
      </c>
    </row>
    <row r="126" customFormat="false" ht="30.75" hidden="false" customHeight="true" outlineLevel="0" collapsed="false">
      <c r="B126" s="12" t="s">
        <v>2054</v>
      </c>
      <c r="C126" s="12" t="s">
        <v>2055</v>
      </c>
      <c r="D126" s="12" t="s">
        <v>2056</v>
      </c>
    </row>
    <row r="127" customFormat="false" ht="30.75" hidden="false" customHeight="true" outlineLevel="0" collapsed="false">
      <c r="B127" s="12" t="s">
        <v>2054</v>
      </c>
      <c r="C127" s="12" t="s">
        <v>2057</v>
      </c>
      <c r="D127" s="12" t="s">
        <v>2058</v>
      </c>
    </row>
    <row r="128" customFormat="false" ht="30.75" hidden="false" customHeight="true" outlineLevel="0" collapsed="false">
      <c r="B128" s="12" t="s">
        <v>2059</v>
      </c>
      <c r="C128" s="12" t="s">
        <v>2060</v>
      </c>
      <c r="D128" s="12" t="s">
        <v>2061</v>
      </c>
    </row>
    <row r="129" customFormat="false" ht="30.75" hidden="false" customHeight="true" outlineLevel="0" collapsed="false">
      <c r="B129" s="12" t="s">
        <v>963</v>
      </c>
      <c r="C129" s="12" t="s">
        <v>2062</v>
      </c>
      <c r="D129" s="12" t="s">
        <v>2063</v>
      </c>
    </row>
    <row r="131" customFormat="false" ht="15" hidden="false" customHeight="true" outlineLevel="0" collapsed="false">
      <c r="B131" s="55" t="s">
        <v>1507</v>
      </c>
    </row>
    <row r="132" customFormat="false" ht="17.25" hidden="false" customHeight="true" outlineLevel="0" collapsed="false">
      <c r="B132" s="9" t="s">
        <v>2064</v>
      </c>
      <c r="C132" s="9"/>
      <c r="D132" s="9"/>
      <c r="E132" s="9"/>
      <c r="F132" s="9"/>
    </row>
    <row r="133" customFormat="false" ht="17.25" hidden="false" customHeight="true" outlineLevel="0" collapsed="false">
      <c r="B133" s="9" t="s">
        <v>2065</v>
      </c>
      <c r="C133" s="9"/>
      <c r="D133" s="9"/>
      <c r="E133" s="9"/>
      <c r="F133" s="9"/>
    </row>
    <row r="134" customFormat="false" ht="17.25" hidden="false" customHeight="true" outlineLevel="0" collapsed="false">
      <c r="B134" s="9" t="s">
        <v>2066</v>
      </c>
      <c r="C134" s="9"/>
      <c r="D134" s="9"/>
      <c r="E134" s="9"/>
      <c r="F134" s="9"/>
    </row>
    <row r="135" customFormat="false" ht="31.5" hidden="false" customHeight="true" outlineLevel="0" collapsed="false">
      <c r="B135" s="9" t="s">
        <v>2067</v>
      </c>
      <c r="C135" s="9"/>
      <c r="D135" s="9"/>
      <c r="E135" s="9"/>
      <c r="F135" s="9"/>
    </row>
    <row r="136" customFormat="false" ht="31.5" hidden="false" customHeight="true" outlineLevel="0" collapsed="false">
      <c r="B136" s="9" t="s">
        <v>2068</v>
      </c>
      <c r="C136" s="9"/>
      <c r="D136" s="9"/>
      <c r="E136" s="9"/>
      <c r="F136" s="9"/>
    </row>
    <row r="138" customFormat="false" ht="15.75" hidden="false" customHeight="true" outlineLevel="0" collapsed="false">
      <c r="B138" s="7" t="s">
        <v>1513</v>
      </c>
      <c r="C138" s="8"/>
      <c r="D138" s="8"/>
      <c r="E138" s="8"/>
      <c r="F138" s="8"/>
      <c r="G138" s="8"/>
      <c r="H138" s="8"/>
      <c r="I138" s="8"/>
      <c r="J138" s="8"/>
      <c r="K138" s="8"/>
    </row>
    <row r="139" customFormat="false" ht="17.25" hidden="false" customHeight="true" outlineLevel="0" collapsed="false">
      <c r="B139" s="9" t="s">
        <v>1514</v>
      </c>
      <c r="C139" s="9"/>
      <c r="D139" s="9"/>
      <c r="E139" s="9"/>
      <c r="N139" s="56" t="s">
        <v>1515</v>
      </c>
    </row>
    <row r="140" customFormat="false" ht="17.25" hidden="false" customHeight="true" outlineLevel="0" collapsed="false">
      <c r="B140" s="9" t="s">
        <v>2069</v>
      </c>
      <c r="C140" s="9"/>
      <c r="D140" s="9"/>
      <c r="E140" s="9"/>
      <c r="N140" s="57" t="s">
        <v>2070</v>
      </c>
    </row>
    <row r="141" customFormat="false" ht="17.25" hidden="false" customHeight="true" outlineLevel="0" collapsed="false">
      <c r="B141" s="9" t="s">
        <v>2071</v>
      </c>
      <c r="C141" s="9"/>
      <c r="D141" s="9"/>
      <c r="E141" s="9"/>
      <c r="N141" s="57" t="s">
        <v>2072</v>
      </c>
    </row>
    <row r="142" customFormat="false" ht="17.25" hidden="false" customHeight="true" outlineLevel="0" collapsed="false">
      <c r="B142" s="9" t="s">
        <v>2073</v>
      </c>
      <c r="C142" s="9"/>
      <c r="D142" s="9"/>
      <c r="E142" s="9"/>
      <c r="N142" s="57" t="s">
        <v>2074</v>
      </c>
    </row>
    <row r="144" customFormat="false" ht="15.75" hidden="false" customHeight="true" outlineLevel="0" collapsed="false">
      <c r="B144" s="7" t="s">
        <v>1522</v>
      </c>
      <c r="C144" s="8"/>
      <c r="D144" s="8"/>
      <c r="E144" s="8"/>
      <c r="F144" s="8"/>
      <c r="G144" s="8"/>
      <c r="H144" s="8"/>
      <c r="I144" s="8"/>
      <c r="J144" s="8"/>
      <c r="K144" s="8"/>
    </row>
    <row r="145" customFormat="false" ht="16.5" hidden="false" customHeight="true" outlineLevel="0" collapsed="false">
      <c r="B145" s="11" t="s">
        <v>1523</v>
      </c>
      <c r="C145" s="11" t="s">
        <v>1524</v>
      </c>
      <c r="D145" s="11" t="s">
        <v>1615</v>
      </c>
    </row>
    <row r="146" customFormat="false" ht="30.75" hidden="false" customHeight="true" outlineLevel="0" collapsed="false">
      <c r="B146" s="58" t="s">
        <v>1025</v>
      </c>
      <c r="C146" s="58" t="s">
        <v>2075</v>
      </c>
      <c r="D146" s="58" t="s">
        <v>2076</v>
      </c>
    </row>
  </sheetData>
  <mergeCells count="34">
    <mergeCell ref="B2:J2"/>
    <mergeCell ref="D3:E3"/>
    <mergeCell ref="C6:D6"/>
    <mergeCell ref="C7:D7"/>
    <mergeCell ref="C8:D8"/>
    <mergeCell ref="B11:F12"/>
    <mergeCell ref="B13:F14"/>
    <mergeCell ref="B15:F16"/>
    <mergeCell ref="B17:F18"/>
    <mergeCell ref="B19:F20"/>
    <mergeCell ref="B23:D23"/>
    <mergeCell ref="E23:F23"/>
    <mergeCell ref="B24:D24"/>
    <mergeCell ref="E24:F24"/>
    <mergeCell ref="B25:D25"/>
    <mergeCell ref="E25:F25"/>
    <mergeCell ref="B26:D26"/>
    <mergeCell ref="E26:F26"/>
    <mergeCell ref="B27:F27"/>
    <mergeCell ref="B39:F39"/>
    <mergeCell ref="B40:F40"/>
    <mergeCell ref="B44:F44"/>
    <mergeCell ref="B53:F53"/>
    <mergeCell ref="B56:F57"/>
    <mergeCell ref="C123:D123"/>
    <mergeCell ref="B132:F132"/>
    <mergeCell ref="B133:F133"/>
    <mergeCell ref="B134:F134"/>
    <mergeCell ref="B135:F135"/>
    <mergeCell ref="B136:F136"/>
    <mergeCell ref="B139:E139"/>
    <mergeCell ref="B140:E140"/>
    <mergeCell ref="B141:E141"/>
    <mergeCell ref="B142:E142"/>
  </mergeCells>
  <hyperlinks>
    <hyperlink ref="B3" location="'N-03 Index DMAIC'!A1" display="← Back to Index"/>
    <hyperlink ref="E30" location="'E-32 Normality Testing'!A1" display="E-32  Normality Testing and Probability Plots"/>
    <hyperlink ref="E31" location="'E-49 I-MR Chart'!A1" display="E-49  Individuals and Moving Range Chart"/>
    <hyperlink ref="E32" location="'E-16 CI Proportion StdDev'!A1" display="E-16  Confidence Intervals for Proportion and Std Dev"/>
    <hyperlink ref="B146" location="'E-06 Data Collection Plan'!A1" display="E-06  Operational Definitions and Data Collection Plan"/>
    <hyperlink ref="C146" location="'E-08 Central Limit Theorem'!A1" display="E-08  Central Limit Theorem (Live Simulation)"/>
    <hyperlink ref="D146" location="'E-58 Non-Normal Capability'!A1" display="E-58  Non-Normal and Attribute Capability, Z-ben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S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2077</v>
      </c>
      <c r="C2" s="3"/>
      <c r="D2" s="3"/>
      <c r="E2" s="3"/>
      <c r="F2" s="3"/>
      <c r="G2" s="3"/>
      <c r="H2" s="3"/>
      <c r="I2" s="3"/>
      <c r="J2" s="3"/>
      <c r="K2" s="46" t="s">
        <v>1389</v>
      </c>
    </row>
    <row r="3" customFormat="false" ht="28.5" hidden="false" customHeight="true" outlineLevel="0" collapsed="false">
      <c r="B3" s="5" t="s">
        <v>3</v>
      </c>
      <c r="D3" s="6" t="s">
        <v>2078</v>
      </c>
      <c r="E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2079</v>
      </c>
      <c r="D6" s="9"/>
    </row>
    <row r="7" customFormat="false" ht="31.5" hidden="false" customHeight="true" outlineLevel="0" collapsed="false">
      <c r="B7" s="47" t="s">
        <v>1394</v>
      </c>
      <c r="C7" s="9" t="s">
        <v>2080</v>
      </c>
      <c r="D7" s="9"/>
    </row>
    <row r="8" customFormat="false" ht="31.5" hidden="false" customHeight="true" outlineLevel="0" collapsed="false">
      <c r="B8" s="47" t="s">
        <v>1396</v>
      </c>
      <c r="C8" s="9" t="s">
        <v>2081</v>
      </c>
      <c r="D8" s="9"/>
      <c r="P8" s="73" t="s">
        <v>2082</v>
      </c>
      <c r="Q8" s="73"/>
      <c r="R8" s="73" t="s">
        <v>2083</v>
      </c>
      <c r="S8" s="73"/>
    </row>
    <row r="9" customFormat="false" ht="15" hidden="false" customHeight="true" outlineLevel="0" collapsed="false">
      <c r="P9" s="10" t="s">
        <v>2084</v>
      </c>
      <c r="R9" s="10" t="s">
        <v>2085</v>
      </c>
    </row>
    <row r="10" customFormat="false" ht="15.75" hidden="false" customHeight="true" outlineLevel="0" collapsed="false">
      <c r="B10" s="7" t="s">
        <v>1398</v>
      </c>
      <c r="C10" s="8"/>
      <c r="D10" s="8"/>
      <c r="E10" s="8"/>
      <c r="F10" s="8"/>
      <c r="G10" s="8"/>
      <c r="H10" s="8"/>
      <c r="I10" s="8"/>
      <c r="J10" s="8"/>
      <c r="K10" s="8"/>
      <c r="P10" s="61" t="n">
        <v>1.56</v>
      </c>
      <c r="R10" s="63" t="n">
        <f aca="true">IF(1&lt;=INT(200/C59),AVERAGE(OFFSET($P$10,(1-1)*C59,0,C59,1)),"")</f>
        <v>5.284</v>
      </c>
    </row>
    <row r="11" customFormat="false" ht="31.5" hidden="false" customHeight="true" outlineLevel="0" collapsed="false">
      <c r="B11" s="9" t="s">
        <v>2086</v>
      </c>
      <c r="C11" s="9"/>
      <c r="P11" s="61" t="n">
        <v>5.24</v>
      </c>
      <c r="R11" s="63" t="n">
        <f aca="true">IF(2&lt;=INT(200/C59),AVERAGE(OFFSET($P$10,(2-1)*C59,0,C59,1)),"")</f>
        <v>5.296</v>
      </c>
    </row>
    <row r="12" customFormat="false" ht="31.5" hidden="false" customHeight="true" outlineLevel="0" collapsed="false">
      <c r="B12" s="9" t="s">
        <v>2087</v>
      </c>
      <c r="C12" s="9"/>
      <c r="P12" s="61" t="n">
        <v>4.66</v>
      </c>
      <c r="R12" s="63" t="n">
        <f aca="true">IF(3&lt;=INT(200/C59),AVERAGE(OFFSET($P$10,(3-1)*C59,0,C59,1)),"")</f>
        <v>7.25</v>
      </c>
    </row>
    <row r="13" customFormat="false" ht="31.5" hidden="false" customHeight="true" outlineLevel="0" collapsed="false">
      <c r="B13" s="9" t="s">
        <v>2088</v>
      </c>
      <c r="C13" s="9"/>
      <c r="P13" s="61" t="n">
        <v>9.61</v>
      </c>
      <c r="R13" s="63" t="n">
        <f aca="true">IF(4&lt;=INT(200/C59),AVERAGE(OFFSET($P$10,(4-1)*C59,0,C59,1)),"")</f>
        <v>3.206</v>
      </c>
    </row>
    <row r="14" customFormat="false" ht="31.5" hidden="false" customHeight="true" outlineLevel="0" collapsed="false">
      <c r="B14" s="9" t="s">
        <v>2089</v>
      </c>
      <c r="C14" s="9"/>
      <c r="P14" s="61" t="n">
        <v>5.35</v>
      </c>
      <c r="R14" s="63" t="n">
        <f aca="true">IF(5&lt;=INT(200/C59),AVERAGE(OFFSET($P$10,(5-1)*C59,0,C59,1)),"")</f>
        <v>3.544</v>
      </c>
    </row>
    <row r="15" customFormat="false" ht="31.5" hidden="false" customHeight="true" outlineLevel="0" collapsed="false">
      <c r="B15" s="9" t="s">
        <v>2090</v>
      </c>
      <c r="C15" s="9"/>
      <c r="P15" s="61" t="n">
        <v>1.88</v>
      </c>
      <c r="R15" s="63" t="n">
        <f aca="true">IF(6&lt;=INT(200/C59),AVERAGE(OFFSET($P$10,(6-1)*C59,0,C59,1)),"")</f>
        <v>3.184</v>
      </c>
    </row>
    <row r="16" customFormat="false" ht="17.25" hidden="false" customHeight="true" outlineLevel="0" collapsed="false">
      <c r="B16" s="9" t="s">
        <v>2091</v>
      </c>
      <c r="C16" s="9"/>
      <c r="P16" s="61" t="n">
        <v>2.26</v>
      </c>
      <c r="R16" s="63" t="n">
        <f aca="true">IF(7&lt;=INT(200/C59),AVERAGE(OFFSET($P$10,(7-1)*C59,0,C59,1)),"")</f>
        <v>3.846</v>
      </c>
    </row>
    <row r="17" customFormat="false" ht="31.5" hidden="false" customHeight="true" outlineLevel="0" collapsed="false">
      <c r="B17" s="9" t="s">
        <v>2092</v>
      </c>
      <c r="C17" s="9"/>
      <c r="P17" s="61" t="n">
        <v>1.42</v>
      </c>
      <c r="R17" s="63" t="n">
        <f aca="true">IF(8&lt;=INT(200/C59),AVERAGE(OFFSET($P$10,(8-1)*C59,0,C59,1)),"")</f>
        <v>2.824</v>
      </c>
    </row>
    <row r="18" customFormat="false" ht="31.5" hidden="false" customHeight="true" outlineLevel="0" collapsed="false">
      <c r="B18" s="9" t="s">
        <v>2093</v>
      </c>
      <c r="C18" s="9"/>
      <c r="P18" s="61" t="n">
        <v>2.7</v>
      </c>
      <c r="R18" s="63" t="n">
        <f aca="true">IF(9&lt;=INT(200/C59),AVERAGE(OFFSET($P$10,(9-1)*C59,0,C59,1)),"")</f>
        <v>2.972</v>
      </c>
    </row>
    <row r="19" customFormat="false" ht="31.5" hidden="false" customHeight="true" outlineLevel="0" collapsed="false">
      <c r="B19" s="9" t="s">
        <v>2094</v>
      </c>
      <c r="C19" s="9"/>
      <c r="P19" s="61" t="n">
        <v>18.22</v>
      </c>
      <c r="R19" s="63" t="n">
        <f aca="true">IF(10&lt;=INT(200/C59),AVERAGE(OFFSET($P$10,(10-1)*C59,0,C59,1)),"")</f>
        <v>3.512</v>
      </c>
    </row>
    <row r="20" customFormat="false" ht="31.5" hidden="false" customHeight="true" outlineLevel="0" collapsed="false">
      <c r="B20" s="9" t="s">
        <v>2095</v>
      </c>
      <c r="C20" s="9"/>
      <c r="P20" s="61" t="n">
        <v>17.34</v>
      </c>
      <c r="R20" s="63" t="n">
        <f aca="true">IF(11&lt;=INT(200/C59),AVERAGE(OFFSET($P$10,(11-1)*C59,0,C59,1)),"")</f>
        <v>3.974</v>
      </c>
    </row>
    <row r="21" customFormat="false" ht="31.5" hidden="false" customHeight="true" outlineLevel="0" collapsed="false">
      <c r="B21" s="9" t="s">
        <v>2096</v>
      </c>
      <c r="C21" s="9"/>
      <c r="P21" s="61" t="n">
        <v>10.84</v>
      </c>
      <c r="R21" s="63" t="n">
        <f aca="true">IF(12&lt;=INT(200/C59),AVERAGE(OFFSET($P$10,(12-1)*C59,0,C59,1)),"")</f>
        <v>5.412</v>
      </c>
    </row>
    <row r="22" customFormat="false" ht="15" hidden="false" customHeight="true" outlineLevel="0" collapsed="false">
      <c r="P22" s="61" t="n">
        <v>2.96</v>
      </c>
      <c r="R22" s="63" t="n">
        <f aca="true">IF(13&lt;=INT(200/C59),AVERAGE(OFFSET($P$10,(13-1)*C59,0,C59,1)),"")</f>
        <v>4.222</v>
      </c>
    </row>
    <row r="23" customFormat="false" ht="15.75" hidden="false" customHeight="true" outlineLevel="0" collapsed="false">
      <c r="B23" s="7" t="s">
        <v>1406</v>
      </c>
      <c r="C23" s="8"/>
      <c r="D23" s="8"/>
      <c r="E23" s="8"/>
      <c r="F23" s="8"/>
      <c r="G23" s="8"/>
      <c r="H23" s="8"/>
      <c r="I23" s="8"/>
      <c r="J23" s="8"/>
      <c r="K23" s="8"/>
      <c r="P23" s="61" t="n">
        <v>1.39</v>
      </c>
      <c r="R23" s="63" t="n">
        <f aca="true">IF(14&lt;=INT(200/C59),AVERAGE(OFFSET($P$10,(14-1)*C59,0,C59,1)),"")</f>
        <v>5.582</v>
      </c>
    </row>
    <row r="24" customFormat="false" ht="17.25" hidden="false" customHeight="true" outlineLevel="0" collapsed="false">
      <c r="B24" s="48" t="s">
        <v>1407</v>
      </c>
      <c r="C24" s="48"/>
      <c r="E24" s="49" t="s">
        <v>1408</v>
      </c>
      <c r="F24" s="49"/>
      <c r="P24" s="61" t="n">
        <v>3.72</v>
      </c>
      <c r="R24" s="63" t="n">
        <f aca="true">IF(15&lt;=INT(200/C59),AVERAGE(OFFSET($P$10,(15-1)*C59,0,C59,1)),"")</f>
        <v>7.716</v>
      </c>
    </row>
    <row r="25" customFormat="false" ht="31.5" hidden="false" customHeight="true" outlineLevel="0" collapsed="false">
      <c r="B25" s="23" t="s">
        <v>2097</v>
      </c>
      <c r="C25" s="23"/>
      <c r="E25" s="23" t="s">
        <v>2098</v>
      </c>
      <c r="F25" s="23"/>
      <c r="P25" s="61" t="n">
        <v>1.75</v>
      </c>
      <c r="R25" s="63" t="n">
        <f aca="true">IF(16&lt;=INT(200/C59),AVERAGE(OFFSET($P$10,(16-1)*C59,0,C59,1)),"")</f>
        <v>4.622</v>
      </c>
    </row>
    <row r="26" customFormat="false" ht="31.5" hidden="false" customHeight="true" outlineLevel="0" collapsed="false">
      <c r="B26" s="23" t="s">
        <v>2099</v>
      </c>
      <c r="C26" s="23"/>
      <c r="E26" s="23" t="s">
        <v>2100</v>
      </c>
      <c r="F26" s="23"/>
      <c r="P26" s="61" t="n">
        <v>8.71</v>
      </c>
      <c r="R26" s="63" t="n">
        <f aca="true">IF(17&lt;=INT(200/C59),AVERAGE(OFFSET($P$10,(17-1)*C59,0,C59,1)),"")</f>
        <v>5.516</v>
      </c>
    </row>
    <row r="27" customFormat="false" ht="31.5" hidden="false" customHeight="true" outlineLevel="0" collapsed="false">
      <c r="B27" s="23" t="s">
        <v>2101</v>
      </c>
      <c r="C27" s="23"/>
      <c r="E27" s="23" t="s">
        <v>2102</v>
      </c>
      <c r="F27" s="23"/>
      <c r="P27" s="61" t="n">
        <v>1.8</v>
      </c>
      <c r="R27" s="63" t="n">
        <f aca="true">IF(18&lt;=INT(200/C59),AVERAGE(OFFSET($P$10,(18-1)*C59,0,C59,1)),"")</f>
        <v>4.988</v>
      </c>
    </row>
    <row r="28" customFormat="false" ht="15" hidden="false" customHeight="true" outlineLevel="0" collapsed="false">
      <c r="P28" s="61" t="n">
        <v>1.82</v>
      </c>
      <c r="R28" s="63" t="n">
        <f aca="true">IF(19&lt;=INT(200/C59),AVERAGE(OFFSET($P$10,(19-1)*C59,0,C59,1)),"")</f>
        <v>3.094</v>
      </c>
    </row>
    <row r="29" customFormat="false" ht="16.5" hidden="false" customHeight="true" outlineLevel="0" collapsed="false">
      <c r="B29" s="11" t="s">
        <v>1416</v>
      </c>
      <c r="C29" s="11" t="s">
        <v>1417</v>
      </c>
      <c r="D29" s="11" t="s">
        <v>1418</v>
      </c>
      <c r="E29" s="11" t="s">
        <v>1419</v>
      </c>
      <c r="P29" s="61" t="n">
        <v>1.95</v>
      </c>
      <c r="R29" s="63" t="n">
        <f aca="true">IF(20&lt;=INT(200/C59),AVERAGE(OFFSET($P$10,(20-1)*C59,0,C59,1)),"")</f>
        <v>3.406</v>
      </c>
    </row>
    <row r="30" customFormat="false" ht="44.25" hidden="false" customHeight="true" outlineLevel="0" collapsed="false">
      <c r="B30" s="12" t="s">
        <v>1547</v>
      </c>
      <c r="C30" s="12" t="s">
        <v>2103</v>
      </c>
      <c r="D30" s="12" t="s">
        <v>2104</v>
      </c>
      <c r="E30" s="50" t="s">
        <v>1546</v>
      </c>
      <c r="P30" s="61" t="n">
        <v>7.17</v>
      </c>
      <c r="R30" s="63" t="n">
        <f aca="true">IF(21&lt;=INT(200/C59),AVERAGE(OFFSET($P$10,(21-1)*C59,0,C59,1)),"")</f>
        <v>5.5</v>
      </c>
    </row>
    <row r="31" customFormat="false" ht="30.75" hidden="false" customHeight="true" outlineLevel="0" collapsed="false">
      <c r="B31" s="12" t="s">
        <v>2105</v>
      </c>
      <c r="C31" s="12" t="s">
        <v>2106</v>
      </c>
      <c r="D31" s="12" t="s">
        <v>2107</v>
      </c>
      <c r="E31" s="50" t="s">
        <v>1191</v>
      </c>
      <c r="P31" s="61" t="n">
        <v>1.56</v>
      </c>
      <c r="R31" s="63" t="n">
        <f aca="true">IF(22&lt;=INT(200/C59),AVERAGE(OFFSET($P$10,(22-1)*C59,0,C59,1)),"")</f>
        <v>3.2</v>
      </c>
    </row>
    <row r="32" customFormat="false" ht="30.75" hidden="false" customHeight="true" outlineLevel="0" collapsed="false">
      <c r="B32" s="12" t="s">
        <v>2108</v>
      </c>
      <c r="C32" s="12" t="s">
        <v>2109</v>
      </c>
      <c r="D32" s="12" t="s">
        <v>2110</v>
      </c>
      <c r="E32" s="12"/>
      <c r="P32" s="61" t="n">
        <v>2.82</v>
      </c>
      <c r="R32" s="63" t="n">
        <f aca="true">IF(23&lt;=INT(200/C59),AVERAGE(OFFSET($P$10,(23-1)*C59,0,C59,1)),"")</f>
        <v>6.392</v>
      </c>
    </row>
    <row r="33" customFormat="false" ht="15" hidden="false" customHeight="true" outlineLevel="0" collapsed="false">
      <c r="P33" s="61" t="n">
        <v>4.35</v>
      </c>
      <c r="R33" s="63" t="n">
        <f aca="true">IF(24&lt;=INT(200/C59),AVERAGE(OFFSET($P$10,(24-1)*C59,0,C59,1)),"")</f>
        <v>5.894</v>
      </c>
    </row>
    <row r="34" customFormat="false" ht="15.75" hidden="false" customHeight="true" outlineLevel="0" collapsed="false">
      <c r="B34" s="7" t="s">
        <v>1429</v>
      </c>
      <c r="C34" s="8"/>
      <c r="D34" s="8"/>
      <c r="E34" s="8"/>
      <c r="F34" s="8"/>
      <c r="G34" s="8"/>
      <c r="H34" s="8"/>
      <c r="I34" s="8"/>
      <c r="J34" s="8"/>
      <c r="K34" s="8"/>
      <c r="P34" s="61" t="n">
        <v>1.82</v>
      </c>
      <c r="R34" s="63" t="n">
        <f aca="true">IF(25&lt;=INT(200/C59),AVERAGE(OFFSET($P$10,(25-1)*C59,0,C59,1)),"")</f>
        <v>4.486</v>
      </c>
    </row>
    <row r="35" customFormat="false" ht="31.5" hidden="false" customHeight="true" outlineLevel="0" collapsed="false">
      <c r="B35" s="51" t="s">
        <v>2111</v>
      </c>
      <c r="C35" s="51"/>
      <c r="P35" s="61" t="n">
        <v>5.47</v>
      </c>
      <c r="R35" s="63" t="n">
        <f aca="true">IF(26&lt;=INT(200/C59),AVERAGE(OFFSET($P$10,(26-1)*C59,0,C59,1)),"")</f>
        <v>6.214</v>
      </c>
    </row>
    <row r="36" customFormat="false" ht="17.25" hidden="false" customHeight="true" outlineLevel="0" collapsed="false">
      <c r="B36" s="52" t="s">
        <v>2112</v>
      </c>
      <c r="C36" s="52"/>
      <c r="P36" s="61" t="n">
        <v>1.79</v>
      </c>
      <c r="R36" s="63" t="n">
        <f aca="true">IF(27&lt;=INT(200/C59),AVERAGE(OFFSET($P$10,(27-1)*C59,0,C59,1)),"")</f>
        <v>3.174</v>
      </c>
    </row>
    <row r="37" customFormat="false" ht="31.5" hidden="false" customHeight="true" outlineLevel="0" collapsed="false">
      <c r="B37" s="52" t="s">
        <v>2113</v>
      </c>
      <c r="C37" s="52"/>
      <c r="P37" s="61" t="n">
        <v>3.1</v>
      </c>
      <c r="R37" s="63" t="n">
        <f aca="true">IF(28&lt;=INT(200/C59),AVERAGE(OFFSET($P$10,(28-1)*C59,0,C59,1)),"")</f>
        <v>6.59</v>
      </c>
    </row>
    <row r="38" customFormat="false" ht="17.25" hidden="false" customHeight="true" outlineLevel="0" collapsed="false">
      <c r="B38" s="52" t="s">
        <v>2114</v>
      </c>
      <c r="C38" s="52"/>
      <c r="P38" s="61" t="n">
        <v>1.27</v>
      </c>
      <c r="R38" s="63" t="n">
        <f aca="true">IF(29&lt;=INT(200/C59),AVERAGE(OFFSET($P$10,(29-1)*C59,0,C59,1)),"")</f>
        <v>4.408</v>
      </c>
    </row>
    <row r="39" customFormat="false" ht="17.25" hidden="false" customHeight="true" outlineLevel="0" collapsed="false">
      <c r="B39" s="51" t="s">
        <v>2115</v>
      </c>
      <c r="C39" s="51"/>
      <c r="P39" s="61" t="n">
        <v>4.29</v>
      </c>
      <c r="R39" s="63" t="n">
        <f aca="true">IF(30&lt;=INT(200/C59),AVERAGE(OFFSET($P$10,(30-1)*C59,0,C59,1)),"")</f>
        <v>2.558</v>
      </c>
    </row>
    <row r="40" customFormat="false" ht="17.25" hidden="false" customHeight="true" outlineLevel="0" collapsed="false">
      <c r="B40" s="52" t="s">
        <v>2116</v>
      </c>
      <c r="C40" s="52"/>
      <c r="P40" s="61" t="n">
        <v>4.01</v>
      </c>
      <c r="R40" s="63" t="n">
        <f aca="true">IF(31&lt;=INT(200/C59),AVERAGE(OFFSET($P$10,(31-1)*C59,0,C59,1)),"")</f>
        <v>2.988</v>
      </c>
    </row>
    <row r="41" customFormat="false" ht="31.5" hidden="false" customHeight="true" outlineLevel="0" collapsed="false">
      <c r="B41" s="52" t="s">
        <v>2117</v>
      </c>
      <c r="C41" s="52"/>
      <c r="P41" s="61" t="n">
        <v>3.52</v>
      </c>
      <c r="R41" s="63" t="n">
        <f aca="true">IF(32&lt;=INT(200/C59),AVERAGE(OFFSET($P$10,(32-1)*C59,0,C59,1)),"")</f>
        <v>3</v>
      </c>
    </row>
    <row r="42" customFormat="false" ht="15" hidden="false" customHeight="true" outlineLevel="0" collapsed="false">
      <c r="P42" s="61" t="n">
        <v>2.65</v>
      </c>
      <c r="R42" s="63" t="n">
        <f aca="true">IF(33&lt;=INT(200/C59),AVERAGE(OFFSET($P$10,(33-1)*C59,0,C59,1)),"")</f>
        <v>5.592</v>
      </c>
    </row>
    <row r="43" customFormat="false" ht="15.75" hidden="false" customHeight="true" outlineLevel="0" collapsed="false">
      <c r="B43" s="7" t="s">
        <v>1437</v>
      </c>
      <c r="C43" s="8"/>
      <c r="D43" s="8"/>
      <c r="E43" s="8"/>
      <c r="F43" s="8"/>
      <c r="G43" s="8"/>
      <c r="H43" s="8"/>
      <c r="I43" s="8"/>
      <c r="J43" s="8"/>
      <c r="K43" s="8"/>
      <c r="P43" s="61" t="n">
        <v>7.73</v>
      </c>
      <c r="R43" s="63" t="n">
        <f aca="true">IF(34&lt;=INT(200/C59),AVERAGE(OFFSET($P$10,(34-1)*C59,0,C59,1)),"")</f>
        <v>4.772</v>
      </c>
    </row>
    <row r="44" customFormat="false" ht="16.5" hidden="false" customHeight="true" outlineLevel="0" collapsed="false">
      <c r="B44" s="11" t="s">
        <v>1438</v>
      </c>
      <c r="C44" s="11" t="s">
        <v>1439</v>
      </c>
      <c r="D44" s="11" t="s">
        <v>1440</v>
      </c>
      <c r="P44" s="61" t="n">
        <v>1.32</v>
      </c>
      <c r="R44" s="63" t="n">
        <f aca="true">IF(35&lt;=INT(200/C59),AVERAGE(OFFSET($P$10,(35-1)*C59,0,C59,1)),"")</f>
        <v>3.608</v>
      </c>
    </row>
    <row r="45" customFormat="false" ht="16.5" hidden="false" customHeight="true" outlineLevel="0" collapsed="false">
      <c r="B45" s="12" t="s">
        <v>1562</v>
      </c>
      <c r="C45" s="12" t="s">
        <v>1563</v>
      </c>
      <c r="D45" s="12" t="s">
        <v>2118</v>
      </c>
      <c r="P45" s="61" t="n">
        <v>2.38</v>
      </c>
      <c r="R45" s="63" t="n">
        <f aca="true">IF(36&lt;=INT(200/C59),AVERAGE(OFFSET($P$10,(36-1)*C59,0,C59,1)),"")</f>
        <v>7.334</v>
      </c>
    </row>
    <row r="46" customFormat="false" ht="30.75" hidden="false" customHeight="true" outlineLevel="0" collapsed="false">
      <c r="B46" s="12" t="s">
        <v>2119</v>
      </c>
      <c r="C46" s="12" t="s">
        <v>2120</v>
      </c>
      <c r="D46" s="12" t="s">
        <v>2121</v>
      </c>
      <c r="P46" s="61" t="n">
        <v>1.36</v>
      </c>
      <c r="R46" s="63" t="n">
        <f aca="true">IF(37&lt;=INT(200/C59),AVERAGE(OFFSET($P$10,(37-1)*C59,0,C59,1)),"")</f>
        <v>5.682</v>
      </c>
    </row>
    <row r="47" customFormat="false" ht="30.75" hidden="false" customHeight="true" outlineLevel="0" collapsed="false">
      <c r="B47" s="12" t="s">
        <v>1565</v>
      </c>
      <c r="C47" s="12" t="s">
        <v>1566</v>
      </c>
      <c r="D47" s="12" t="s">
        <v>2122</v>
      </c>
      <c r="P47" s="61" t="n">
        <v>1.41</v>
      </c>
      <c r="R47" s="63" t="n">
        <f aca="true">IF(38&lt;=INT(200/C59),AVERAGE(OFFSET($P$10,(38-1)*C59,0,C59,1)),"")</f>
        <v>7.876</v>
      </c>
    </row>
    <row r="48" customFormat="false" ht="30.75" hidden="false" customHeight="true" outlineLevel="0" collapsed="false">
      <c r="B48" s="12" t="s">
        <v>1668</v>
      </c>
      <c r="C48" s="12" t="s">
        <v>1669</v>
      </c>
      <c r="D48" s="12" t="s">
        <v>2123</v>
      </c>
      <c r="P48" s="61" t="n">
        <v>1.34</v>
      </c>
      <c r="R48" s="63" t="n">
        <f aca="true">IF(39&lt;=INT(200/C59),AVERAGE(OFFSET($P$10,(39-1)*C59,0,C59,1)),"")</f>
        <v>2.704</v>
      </c>
    </row>
    <row r="49" customFormat="false" ht="30.75" hidden="false" customHeight="true" outlineLevel="0" collapsed="false">
      <c r="B49" s="12" t="s">
        <v>2124</v>
      </c>
      <c r="C49" s="12" t="s">
        <v>2125</v>
      </c>
      <c r="D49" s="12" t="s">
        <v>2126</v>
      </c>
      <c r="P49" s="61" t="n">
        <v>7.63</v>
      </c>
      <c r="R49" s="63" t="n">
        <f aca="true">IF(40&lt;=INT(200/C59),AVERAGE(OFFSET($P$10,(40-1)*C59,0,C59,1)),"")</f>
        <v>2.082</v>
      </c>
    </row>
    <row r="50" customFormat="false" ht="30.75" hidden="false" customHeight="true" outlineLevel="0" collapsed="false">
      <c r="B50" s="12" t="s">
        <v>2127</v>
      </c>
      <c r="C50" s="12" t="s">
        <v>2128</v>
      </c>
      <c r="D50" s="12" t="s">
        <v>2129</v>
      </c>
      <c r="P50" s="61" t="n">
        <v>1.22</v>
      </c>
    </row>
    <row r="51" customFormat="false" ht="28.5" hidden="false" customHeight="true" outlineLevel="0" collapsed="false">
      <c r="B51" s="16" t="s">
        <v>1453</v>
      </c>
      <c r="C51" s="16"/>
      <c r="D51" s="16"/>
      <c r="E51" s="16"/>
      <c r="F51" s="16"/>
      <c r="P51" s="61" t="n">
        <v>3.78</v>
      </c>
    </row>
    <row r="52" customFormat="false" ht="15" hidden="false" customHeight="true" outlineLevel="0" collapsed="false">
      <c r="P52" s="61" t="n">
        <v>3.29</v>
      </c>
    </row>
    <row r="53" customFormat="false" ht="15.75" hidden="false" customHeight="true" outlineLevel="0" collapsed="false">
      <c r="B53" s="7" t="s">
        <v>1454</v>
      </c>
      <c r="C53" s="8"/>
      <c r="D53" s="8"/>
      <c r="E53" s="8"/>
      <c r="F53" s="8"/>
      <c r="G53" s="8"/>
      <c r="H53" s="8"/>
      <c r="I53" s="8"/>
      <c r="J53" s="8"/>
      <c r="K53" s="8"/>
      <c r="P53" s="61" t="n">
        <v>3.33</v>
      </c>
    </row>
    <row r="54" customFormat="false" ht="17.25" hidden="false" customHeight="true" outlineLevel="0" collapsed="false">
      <c r="B54" s="9" t="s">
        <v>2130</v>
      </c>
      <c r="C54" s="9"/>
      <c r="D54" s="9"/>
      <c r="P54" s="61" t="n">
        <v>3.24</v>
      </c>
    </row>
    <row r="55" customFormat="false" ht="17.25" hidden="false" customHeight="true" outlineLevel="0" collapsed="false">
      <c r="B55" s="9" t="s">
        <v>2131</v>
      </c>
      <c r="C55" s="9"/>
      <c r="D55" s="9"/>
      <c r="P55" s="61" t="n">
        <v>2.57</v>
      </c>
    </row>
    <row r="56" customFormat="false" ht="17.25" hidden="false" customHeight="true" outlineLevel="0" collapsed="false">
      <c r="B56" s="9" t="s">
        <v>2132</v>
      </c>
      <c r="C56" s="9"/>
      <c r="D56" s="9"/>
      <c r="P56" s="61" t="n">
        <v>6.53</v>
      </c>
    </row>
    <row r="57" customFormat="false" ht="15" hidden="false" customHeight="true" outlineLevel="0" collapsed="false">
      <c r="B57" s="19" t="s">
        <v>85</v>
      </c>
      <c r="C57" s="41" t="s">
        <v>86</v>
      </c>
      <c r="P57" s="61" t="n">
        <v>4.81</v>
      </c>
    </row>
    <row r="58" customFormat="false" ht="15" hidden="false" customHeight="true" outlineLevel="0" collapsed="false">
      <c r="P58" s="61" t="n">
        <v>2.11</v>
      </c>
    </row>
    <row r="59" customFormat="false" ht="15" hidden="false" customHeight="true" outlineLevel="0" collapsed="false">
      <c r="B59" s="10" t="s">
        <v>2133</v>
      </c>
      <c r="C59" s="65" t="n">
        <v>5</v>
      </c>
      <c r="P59" s="61" t="n">
        <v>1.54</v>
      </c>
    </row>
    <row r="60" customFormat="false" ht="15" hidden="false" customHeight="true" outlineLevel="0" collapsed="false">
      <c r="P60" s="61" t="n">
        <v>5.69</v>
      </c>
    </row>
    <row r="61" customFormat="false" ht="17.25" hidden="false" customHeight="true" outlineLevel="0" collapsed="false">
      <c r="B61" s="9" t="s">
        <v>2134</v>
      </c>
      <c r="C61" s="9"/>
      <c r="D61" s="9"/>
      <c r="P61" s="61" t="n">
        <v>2.96</v>
      </c>
    </row>
    <row r="62" customFormat="false" ht="15" hidden="false" customHeight="true" outlineLevel="0" collapsed="false">
      <c r="P62" s="61" t="n">
        <v>1.54</v>
      </c>
    </row>
    <row r="63" customFormat="false" ht="15" hidden="false" customHeight="true" outlineLevel="0" collapsed="false">
      <c r="B63" s="10" t="s">
        <v>2135</v>
      </c>
      <c r="C63" s="44" t="n">
        <f aca="false">INT(200/C59)</f>
        <v>40</v>
      </c>
      <c r="P63" s="61" t="n">
        <v>2.23</v>
      </c>
    </row>
    <row r="64" customFormat="false" ht="15" hidden="false" customHeight="true" outlineLevel="0" collapsed="false">
      <c r="B64" s="10" t="s">
        <v>2136</v>
      </c>
      <c r="C64" s="63" t="n">
        <f aca="false">AVERAGE($P$10:$P$209)</f>
        <v>4.5876</v>
      </c>
      <c r="P64" s="61" t="n">
        <v>7.45</v>
      </c>
    </row>
    <row r="65" customFormat="false" ht="15" hidden="false" customHeight="true" outlineLevel="0" collapsed="false">
      <c r="B65" s="10" t="s">
        <v>2137</v>
      </c>
      <c r="C65" s="63" t="n">
        <f aca="false">STDEV($P$10:$P$209)</f>
        <v>3.53859399725186</v>
      </c>
      <c r="P65" s="61" t="n">
        <v>3.13</v>
      </c>
    </row>
    <row r="66" customFormat="false" ht="15" hidden="false" customHeight="true" outlineLevel="0" collapsed="false">
      <c r="B66" s="10" t="s">
        <v>2138</v>
      </c>
      <c r="C66" s="63" t="n">
        <f aca="false">SKEW($P$10:$P$209)</f>
        <v>1.85638527946173</v>
      </c>
      <c r="P66" s="61" t="n">
        <v>1.8</v>
      </c>
    </row>
    <row r="67" customFormat="false" ht="15" hidden="false" customHeight="true" outlineLevel="0" collapsed="false">
      <c r="B67" s="10" t="s">
        <v>2139</v>
      </c>
      <c r="C67" s="63" t="n">
        <f aca="false">AVERAGE($R$10:$R$49)</f>
        <v>4.5876</v>
      </c>
      <c r="P67" s="61" t="n">
        <v>6.76</v>
      </c>
    </row>
    <row r="68" customFormat="false" ht="15" hidden="false" customHeight="true" outlineLevel="0" collapsed="false">
      <c r="B68" s="10" t="s">
        <v>2140</v>
      </c>
      <c r="C68" s="63" t="n">
        <f aca="false">STDEV($R$10:$R$49)</f>
        <v>1.55318908981423</v>
      </c>
      <c r="P68" s="61" t="n">
        <v>2.19</v>
      </c>
    </row>
    <row r="69" customFormat="false" ht="15" hidden="false" customHeight="true" outlineLevel="0" collapsed="false">
      <c r="B69" s="10" t="s">
        <v>2141</v>
      </c>
      <c r="C69" s="63" t="n">
        <f aca="false">SKEW($R$10:$R$49)</f>
        <v>0.460471616769533</v>
      </c>
      <c r="P69" s="61" t="n">
        <v>13.18</v>
      </c>
    </row>
    <row r="70" customFormat="false" ht="15" hidden="false" customHeight="true" outlineLevel="0" collapsed="false">
      <c r="B70" s="10" t="s">
        <v>2142</v>
      </c>
      <c r="C70" s="63" t="n">
        <f aca="false">C65/SQRT(C59)</f>
        <v>1.58250734452557</v>
      </c>
      <c r="P70" s="61" t="n">
        <v>7.37</v>
      </c>
    </row>
    <row r="71" customFormat="false" ht="15" hidden="false" customHeight="true" outlineLevel="0" collapsed="false">
      <c r="B71" s="10" t="s">
        <v>2143</v>
      </c>
      <c r="C71" s="64" t="n">
        <f aca="false">IFERROR(C68/C70,0)</f>
        <v>0.981473542721449</v>
      </c>
      <c r="P71" s="61" t="n">
        <v>1.71</v>
      </c>
    </row>
    <row r="72" customFormat="false" ht="15" hidden="false" customHeight="true" outlineLevel="0" collapsed="false">
      <c r="B72" s="10" t="s">
        <v>2144</v>
      </c>
      <c r="C72" s="43" t="n">
        <f aca="false">IFERROR(1-ABS(C69)/ABS(C66),0)</f>
        <v>0.751952559706221</v>
      </c>
      <c r="P72" s="61" t="n">
        <v>3.08</v>
      </c>
    </row>
    <row r="73" customFormat="false" ht="15" hidden="false" customHeight="true" outlineLevel="0" collapsed="false">
      <c r="P73" s="61" t="n">
        <v>1.93</v>
      </c>
    </row>
    <row r="74" customFormat="false" ht="18" hidden="false" customHeight="true" outlineLevel="0" collapsed="false">
      <c r="B74" s="7" t="s">
        <v>2145</v>
      </c>
      <c r="C74" s="8"/>
      <c r="D74" s="8"/>
      <c r="E74" s="8"/>
      <c r="F74" s="8"/>
      <c r="G74" s="8"/>
      <c r="H74" s="8"/>
      <c r="I74" s="8"/>
      <c r="J74" s="8"/>
      <c r="K74" s="8"/>
      <c r="P74" s="61" t="n">
        <v>7.02</v>
      </c>
    </row>
    <row r="75" customFormat="false" ht="27.75" hidden="false" customHeight="true" outlineLevel="0" collapsed="false">
      <c r="B75" s="11" t="s">
        <v>2146</v>
      </c>
      <c r="C75" s="11" t="s">
        <v>1698</v>
      </c>
      <c r="D75" s="11" t="s">
        <v>1699</v>
      </c>
      <c r="E75" s="11" t="s">
        <v>2147</v>
      </c>
      <c r="F75" s="11" t="s">
        <v>2148</v>
      </c>
      <c r="G75" s="11"/>
      <c r="P75" s="61" t="n">
        <v>5.75</v>
      </c>
    </row>
    <row r="76" customFormat="false" ht="17.25" hidden="false" customHeight="true" outlineLevel="0" collapsed="false">
      <c r="B76" s="41" t="str">
        <f aca="false">TEXT(C76,"0.0")&amp;" - "&amp;TEXT(D76,"0.0")</f>
        <v>1.2 - 2.8</v>
      </c>
      <c r="C76" s="64" t="n">
        <f aca="false">MIN($P$10:$P$209)+(0)*(MAX($P$10:$P$209)-MIN($P$10:$P$209))/12</f>
        <v>1.21</v>
      </c>
      <c r="D76" s="64" t="n">
        <f aca="false">MIN($P$10:$P$209)+(1)*(MAX($P$10:$P$209)-MIN($P$10:$P$209))/12</f>
        <v>2.84416666666667</v>
      </c>
      <c r="E76" s="44" t="n">
        <f aca="false">COUNTIFS($P$10:$P$209,"&gt;="&amp;C76,$P$10:$P$209,"&lt;"&amp;D76)</f>
        <v>80</v>
      </c>
      <c r="F76" s="74" t="n">
        <f aca="false">COUNTIFS($R$10:$R$49,"&gt;="&amp;C76,$R$10:$R$49,"&lt;"&amp;D76)</f>
        <v>4</v>
      </c>
      <c r="G76" s="74"/>
      <c r="P76" s="61" t="n">
        <v>7.95</v>
      </c>
    </row>
    <row r="77" customFormat="false" ht="17.25" hidden="false" customHeight="true" outlineLevel="0" collapsed="false">
      <c r="B77" s="41" t="str">
        <f aca="false">TEXT(C77,"0.0")&amp;" - "&amp;TEXT(D77,"0.0")</f>
        <v>2.8 - 4.5</v>
      </c>
      <c r="C77" s="64" t="n">
        <f aca="false">MIN($P$10:$P$209)+(1)*(MAX($P$10:$P$209)-MIN($P$10:$P$209))/12</f>
        <v>2.84416666666667</v>
      </c>
      <c r="D77" s="64" t="n">
        <f aca="false">MIN($P$10:$P$209)+(2)*(MAX($P$10:$P$209)-MIN($P$10:$P$209))/12</f>
        <v>4.47833333333333</v>
      </c>
      <c r="E77" s="44" t="n">
        <f aca="false">COUNTIFS($P$10:$P$209,"&gt;="&amp;C77,$P$10:$P$209,"&lt;"&amp;D77)</f>
        <v>47</v>
      </c>
      <c r="F77" s="74" t="n">
        <f aca="false">COUNTIFS($R$10:$R$49,"&gt;="&amp;C77,$R$10:$R$49,"&lt;"&amp;D77)</f>
        <v>16</v>
      </c>
      <c r="G77" s="74"/>
      <c r="P77" s="61" t="n">
        <v>3.64</v>
      </c>
    </row>
    <row r="78" customFormat="false" ht="17.25" hidden="false" customHeight="true" outlineLevel="0" collapsed="false">
      <c r="B78" s="41" t="str">
        <f aca="false">TEXT(C78,"0.0")&amp;" - "&amp;TEXT(D78,"0.0")</f>
        <v>4.5 - 6.1</v>
      </c>
      <c r="C78" s="64" t="n">
        <f aca="false">MIN($P$10:$P$209)+(2)*(MAX($P$10:$P$209)-MIN($P$10:$P$209))/12</f>
        <v>4.47833333333333</v>
      </c>
      <c r="D78" s="64" t="n">
        <f aca="false">MIN($P$10:$P$209)+(3)*(MAX($P$10:$P$209)-MIN($P$10:$P$209))/12</f>
        <v>6.1125</v>
      </c>
      <c r="E78" s="44" t="n">
        <f aca="false">COUNTIFS($P$10:$P$209,"&gt;="&amp;C78,$P$10:$P$209,"&lt;"&amp;D78)</f>
        <v>23</v>
      </c>
      <c r="F78" s="74" t="n">
        <f aca="false">COUNTIFS($R$10:$R$49,"&gt;="&amp;C78,$R$10:$R$49,"&lt;"&amp;D78)</f>
        <v>13</v>
      </c>
      <c r="G78" s="74"/>
      <c r="P78" s="61" t="n">
        <v>4.4</v>
      </c>
    </row>
    <row r="79" customFormat="false" ht="17.25" hidden="false" customHeight="true" outlineLevel="0" collapsed="false">
      <c r="B79" s="41" t="str">
        <f aca="false">TEXT(C79,"0.0")&amp;" - "&amp;TEXT(D79,"0.0")</f>
        <v>6.1 - 7.7</v>
      </c>
      <c r="C79" s="64" t="n">
        <f aca="false">MIN($P$10:$P$209)+(3)*(MAX($P$10:$P$209)-MIN($P$10:$P$209))/12</f>
        <v>6.1125</v>
      </c>
      <c r="D79" s="64" t="n">
        <f aca="false">MIN($P$10:$P$209)+(4)*(MAX($P$10:$P$209)-MIN($P$10:$P$209))/12</f>
        <v>7.74666666666667</v>
      </c>
      <c r="E79" s="44" t="n">
        <f aca="false">COUNTIFS($P$10:$P$209,"&gt;="&amp;C79,$P$10:$P$209,"&lt;"&amp;D79)</f>
        <v>19</v>
      </c>
      <c r="F79" s="74" t="n">
        <f aca="false">COUNTIFS($R$10:$R$49,"&gt;="&amp;C79,$R$10:$R$49,"&lt;"&amp;D79)</f>
        <v>6</v>
      </c>
      <c r="G79" s="74"/>
      <c r="P79" s="61" t="n">
        <v>6.17</v>
      </c>
    </row>
    <row r="80" customFormat="false" ht="17.25" hidden="false" customHeight="true" outlineLevel="0" collapsed="false">
      <c r="B80" s="41" t="str">
        <f aca="false">TEXT(C80,"0.0")&amp;" - "&amp;TEXT(D80,"0.0")</f>
        <v>7.7 - 9.4</v>
      </c>
      <c r="C80" s="64" t="n">
        <f aca="false">MIN($P$10:$P$209)+(4)*(MAX($P$10:$P$209)-MIN($P$10:$P$209))/12</f>
        <v>7.74666666666667</v>
      </c>
      <c r="D80" s="64" t="n">
        <f aca="false">MIN($P$10:$P$209)+(5)*(MAX($P$10:$P$209)-MIN($P$10:$P$209))/12</f>
        <v>9.38083333333333</v>
      </c>
      <c r="E80" s="44" t="n">
        <f aca="false">COUNTIFS($P$10:$P$209,"&gt;="&amp;C80,$P$10:$P$209,"&lt;"&amp;D80)</f>
        <v>14</v>
      </c>
      <c r="F80" s="74" t="n">
        <f aca="false">COUNTIFS($R$10:$R$49,"&gt;="&amp;C80,$R$10:$R$49,"&lt;"&amp;D80)</f>
        <v>1</v>
      </c>
      <c r="G80" s="74"/>
      <c r="P80" s="61" t="n">
        <v>8.03</v>
      </c>
    </row>
    <row r="81" customFormat="false" ht="17.25" hidden="false" customHeight="true" outlineLevel="0" collapsed="false">
      <c r="B81" s="41" t="str">
        <f aca="false">TEXT(C81,"0.0")&amp;" - "&amp;TEXT(D81,"0.0")</f>
        <v>9.4 - 11.0</v>
      </c>
      <c r="C81" s="64" t="n">
        <f aca="false">MIN($P$10:$P$209)+(5)*(MAX($P$10:$P$209)-MIN($P$10:$P$209))/12</f>
        <v>9.38083333333333</v>
      </c>
      <c r="D81" s="64" t="n">
        <f aca="false">MIN($P$10:$P$209)+(6)*(MAX($P$10:$P$209)-MIN($P$10:$P$209))/12</f>
        <v>11.015</v>
      </c>
      <c r="E81" s="44" t="n">
        <f aca="false">COUNTIFS($P$10:$P$209,"&gt;="&amp;C81,$P$10:$P$209,"&lt;"&amp;D81)</f>
        <v>5</v>
      </c>
      <c r="F81" s="74" t="n">
        <f aca="false">COUNTIFS($R$10:$R$49,"&gt;="&amp;C81,$R$10:$R$49,"&lt;"&amp;D81)</f>
        <v>0</v>
      </c>
      <c r="G81" s="74"/>
      <c r="P81" s="61" t="n">
        <v>11.47</v>
      </c>
    </row>
    <row r="82" customFormat="false" ht="17.25" hidden="false" customHeight="true" outlineLevel="0" collapsed="false">
      <c r="B82" s="41" t="str">
        <f aca="false">TEXT(C82,"0.0")&amp;" - "&amp;TEXT(D82,"0.0")</f>
        <v>11.0 - 12.6</v>
      </c>
      <c r="C82" s="64" t="n">
        <f aca="false">MIN($P$10:$P$209)+(6)*(MAX($P$10:$P$209)-MIN($P$10:$P$209))/12</f>
        <v>11.015</v>
      </c>
      <c r="D82" s="64" t="n">
        <f aca="false">MIN($P$10:$P$209)+(7)*(MAX($P$10:$P$209)-MIN($P$10:$P$209))/12</f>
        <v>12.6491666666667</v>
      </c>
      <c r="E82" s="44" t="n">
        <f aca="false">COUNTIFS($P$10:$P$209,"&gt;="&amp;C82,$P$10:$P$209,"&lt;"&amp;D82)</f>
        <v>3</v>
      </c>
      <c r="F82" s="74" t="n">
        <f aca="false">COUNTIFS($R$10:$R$49,"&gt;="&amp;C82,$R$10:$R$49,"&lt;"&amp;D82)</f>
        <v>0</v>
      </c>
      <c r="G82" s="74"/>
      <c r="P82" s="61" t="n">
        <v>15.11</v>
      </c>
    </row>
    <row r="83" customFormat="false" ht="17.25" hidden="false" customHeight="true" outlineLevel="0" collapsed="false">
      <c r="B83" s="41" t="str">
        <f aca="false">TEXT(C83,"0.0")&amp;" - "&amp;TEXT(D83,"0.0")</f>
        <v>12.6 - 14.3</v>
      </c>
      <c r="C83" s="64" t="n">
        <f aca="false">MIN($P$10:$P$209)+(7)*(MAX($P$10:$P$209)-MIN($P$10:$P$209))/12</f>
        <v>12.6491666666667</v>
      </c>
      <c r="D83" s="64" t="n">
        <f aca="false">MIN($P$10:$P$209)+(8)*(MAX($P$10:$P$209)-MIN($P$10:$P$209))/12</f>
        <v>14.2833333333333</v>
      </c>
      <c r="E83" s="44" t="n">
        <f aca="false">COUNTIFS($P$10:$P$209,"&gt;="&amp;C83,$P$10:$P$209,"&lt;"&amp;D83)</f>
        <v>3</v>
      </c>
      <c r="F83" s="74" t="n">
        <f aca="false">COUNTIFS($R$10:$R$49,"&gt;="&amp;C83,$R$10:$R$49,"&lt;"&amp;D83)</f>
        <v>0</v>
      </c>
      <c r="G83" s="74"/>
      <c r="P83" s="61" t="n">
        <v>1.6</v>
      </c>
    </row>
    <row r="84" customFormat="false" ht="17.25" hidden="false" customHeight="true" outlineLevel="0" collapsed="false">
      <c r="B84" s="41" t="str">
        <f aca="false">TEXT(C84,"0.0")&amp;" - "&amp;TEXT(D84,"0.0")</f>
        <v>14.3 - 15.9</v>
      </c>
      <c r="C84" s="64" t="n">
        <f aca="false">MIN($P$10:$P$209)+(8)*(MAX($P$10:$P$209)-MIN($P$10:$P$209))/12</f>
        <v>14.2833333333333</v>
      </c>
      <c r="D84" s="64" t="n">
        <f aca="false">MIN($P$10:$P$209)+(9)*(MAX($P$10:$P$209)-MIN($P$10:$P$209))/12</f>
        <v>15.9175</v>
      </c>
      <c r="E84" s="44" t="n">
        <f aca="false">COUNTIFS($P$10:$P$209,"&gt;="&amp;C84,$P$10:$P$209,"&lt;"&amp;D84)</f>
        <v>2</v>
      </c>
      <c r="F84" s="74" t="n">
        <f aca="false">COUNTIFS($R$10:$R$49,"&gt;="&amp;C84,$R$10:$R$49,"&lt;"&amp;D84)</f>
        <v>0</v>
      </c>
      <c r="G84" s="74"/>
      <c r="P84" s="61" t="n">
        <v>2.37</v>
      </c>
    </row>
    <row r="85" customFormat="false" ht="17.25" hidden="false" customHeight="true" outlineLevel="0" collapsed="false">
      <c r="B85" s="41" t="str">
        <f aca="false">TEXT(C85,"0.0")&amp;" - "&amp;TEXT(D85,"0.0")</f>
        <v>15.9 - 17.6</v>
      </c>
      <c r="C85" s="64" t="n">
        <f aca="false">MIN($P$10:$P$209)+(9)*(MAX($P$10:$P$209)-MIN($P$10:$P$209))/12</f>
        <v>15.9175</v>
      </c>
      <c r="D85" s="64" t="n">
        <f aca="false">MIN($P$10:$P$209)+(10)*(MAX($P$10:$P$209)-MIN($P$10:$P$209))/12</f>
        <v>17.5516666666667</v>
      </c>
      <c r="E85" s="44" t="n">
        <f aca="false">COUNTIFS($P$10:$P$209,"&gt;="&amp;C85,$P$10:$P$209,"&lt;"&amp;D85)</f>
        <v>2</v>
      </c>
      <c r="F85" s="74" t="n">
        <f aca="false">COUNTIFS($R$10:$R$49,"&gt;="&amp;C85,$R$10:$R$49,"&lt;"&amp;D85)</f>
        <v>0</v>
      </c>
      <c r="G85" s="74"/>
      <c r="P85" s="61" t="n">
        <v>2.32</v>
      </c>
    </row>
    <row r="86" customFormat="false" ht="17.25" hidden="false" customHeight="true" outlineLevel="0" collapsed="false">
      <c r="B86" s="41" t="str">
        <f aca="false">TEXT(C86,"0.0")&amp;" - "&amp;TEXT(D86,"0.0")</f>
        <v>17.6 - 19.2</v>
      </c>
      <c r="C86" s="64" t="n">
        <f aca="false">MIN($P$10:$P$209)+(10)*(MAX($P$10:$P$209)-MIN($P$10:$P$209))/12</f>
        <v>17.5516666666667</v>
      </c>
      <c r="D86" s="64" t="n">
        <f aca="false">MIN($P$10:$P$209)+(11)*(MAX($P$10:$P$209)-MIN($P$10:$P$209))/12</f>
        <v>19.1858333333333</v>
      </c>
      <c r="E86" s="44" t="n">
        <f aca="false">COUNTIFS($P$10:$P$209,"&gt;="&amp;C86,$P$10:$P$209,"&lt;"&amp;D86)</f>
        <v>1</v>
      </c>
      <c r="F86" s="74" t="n">
        <f aca="false">COUNTIFS($R$10:$R$49,"&gt;="&amp;C86,$R$10:$R$49,"&lt;"&amp;D86)</f>
        <v>0</v>
      </c>
      <c r="G86" s="74"/>
      <c r="P86" s="61" t="n">
        <v>1.7</v>
      </c>
    </row>
    <row r="87" customFormat="false" ht="17.25" hidden="false" customHeight="true" outlineLevel="0" collapsed="false">
      <c r="B87" s="41" t="str">
        <f aca="false">TEXT(C87,"0.0")&amp;" - "&amp;TEXT(D87,"0.0")</f>
        <v>19.2 - 20.8</v>
      </c>
      <c r="C87" s="64" t="n">
        <f aca="false">MIN($P$10:$P$209)+(11)*(MAX($P$10:$P$209)-MIN($P$10:$P$209))/12</f>
        <v>19.1858333333333</v>
      </c>
      <c r="D87" s="64" t="n">
        <f aca="false">MIN($P$10:$P$209)+(12)*(MAX($P$10:$P$209)-MIN($P$10:$P$209))/12</f>
        <v>20.82</v>
      </c>
      <c r="E87" s="44" t="n">
        <f aca="false">COUNTIFS($P$10:$P$209,"&gt;="&amp;C87,$P$10:$P$209,"&lt;="&amp;D87)</f>
        <v>1</v>
      </c>
      <c r="F87" s="74" t="n">
        <f aca="false">COUNTIFS($R$10:$R$49,"&gt;="&amp;C87,$R$10:$R$49,"&lt;="&amp;D87)</f>
        <v>0</v>
      </c>
      <c r="G87" s="74"/>
      <c r="P87" s="61" t="n">
        <v>8.46</v>
      </c>
    </row>
    <row r="88" customFormat="false" ht="15" hidden="false" customHeight="true" outlineLevel="0" collapsed="false">
      <c r="P88" s="61" t="n">
        <v>3.31</v>
      </c>
    </row>
    <row r="89" customFormat="false" ht="15.75" hidden="false" customHeight="true" outlineLevel="0" collapsed="false">
      <c r="B89" s="7" t="s">
        <v>1493</v>
      </c>
      <c r="C89" s="8"/>
      <c r="D89" s="8"/>
      <c r="E89" s="8"/>
      <c r="F89" s="8"/>
      <c r="G89" s="8"/>
      <c r="H89" s="8"/>
      <c r="I89" s="8"/>
      <c r="J89" s="8"/>
      <c r="K89" s="8"/>
      <c r="P89" s="61" t="n">
        <v>7.32</v>
      </c>
    </row>
    <row r="90" customFormat="false" ht="33.75" hidden="false" customHeight="true" outlineLevel="0" collapsed="false">
      <c r="B90" s="53" t="s">
        <v>1494</v>
      </c>
      <c r="C90" s="54" t="str">
        <f aca="false">IF(AND(ABS(C69)&lt;0.5,C72&gt;0.4),"CLT DEMONSTRATED - the raw data is strongly skewed yet the sample means are close to symmetric",IF(C59&lt;5,"SAMPLE TOO SMALL - increase n; convergence is slow for data this skewed","PARTIAL CONVERGENCE - the means are tighter than the raw data but skew remains; increase n"))</f>
        <v>CLT DEMONSTRATED - the raw data is strongly skewed yet the sample means are close to symmetric</v>
      </c>
      <c r="D90" s="54"/>
      <c r="P90" s="61" t="n">
        <v>8.64</v>
      </c>
    </row>
    <row r="91" customFormat="false" ht="15" hidden="false" customHeight="true" outlineLevel="0" collapsed="false">
      <c r="P91" s="61" t="n">
        <v>1.22</v>
      </c>
    </row>
    <row r="92" customFormat="false" ht="27.75" hidden="false" customHeight="true" outlineLevel="0" collapsed="false">
      <c r="B92" s="11" t="s">
        <v>1495</v>
      </c>
      <c r="C92" s="11" t="s">
        <v>1496</v>
      </c>
      <c r="D92" s="11" t="s">
        <v>1497</v>
      </c>
      <c r="P92" s="61" t="n">
        <v>3.78</v>
      </c>
    </row>
    <row r="93" customFormat="false" ht="30.75" hidden="false" customHeight="true" outlineLevel="0" collapsed="false">
      <c r="B93" s="12" t="s">
        <v>2149</v>
      </c>
      <c r="C93" s="12" t="s">
        <v>2150</v>
      </c>
      <c r="D93" s="12" t="s">
        <v>2151</v>
      </c>
      <c r="P93" s="61" t="n">
        <v>5.22</v>
      </c>
    </row>
    <row r="94" customFormat="false" ht="30.75" hidden="false" customHeight="true" outlineLevel="0" collapsed="false">
      <c r="B94" s="12" t="s">
        <v>2152</v>
      </c>
      <c r="C94" s="12" t="s">
        <v>2153</v>
      </c>
      <c r="D94" s="12" t="s">
        <v>2154</v>
      </c>
      <c r="P94" s="61" t="n">
        <v>8.72</v>
      </c>
    </row>
    <row r="95" customFormat="false" ht="30.75" hidden="false" customHeight="true" outlineLevel="0" collapsed="false">
      <c r="B95" s="12" t="s">
        <v>2155</v>
      </c>
      <c r="C95" s="12" t="s">
        <v>2156</v>
      </c>
      <c r="D95" s="12" t="s">
        <v>2157</v>
      </c>
      <c r="P95" s="61" t="n">
        <v>9.57</v>
      </c>
    </row>
    <row r="96" customFormat="false" ht="30.75" hidden="false" customHeight="true" outlineLevel="0" collapsed="false">
      <c r="B96" s="12" t="s">
        <v>1784</v>
      </c>
      <c r="C96" s="12" t="s">
        <v>2158</v>
      </c>
      <c r="D96" s="12" t="s">
        <v>2159</v>
      </c>
      <c r="P96" s="61" t="n">
        <v>6.38</v>
      </c>
    </row>
    <row r="97" customFormat="false" ht="15" hidden="false" customHeight="true" outlineLevel="0" collapsed="false">
      <c r="P97" s="61" t="n">
        <v>5.45</v>
      </c>
    </row>
    <row r="98" customFormat="false" ht="17.25" hidden="false" customHeight="true" outlineLevel="0" collapsed="false">
      <c r="B98" s="49" t="s">
        <v>1507</v>
      </c>
      <c r="C98" s="49"/>
      <c r="D98" s="49"/>
      <c r="E98" s="49"/>
      <c r="F98" s="49"/>
      <c r="P98" s="61" t="n">
        <v>1.98</v>
      </c>
    </row>
    <row r="99" customFormat="false" ht="17.25" hidden="false" customHeight="true" outlineLevel="0" collapsed="false">
      <c r="B99" s="9" t="s">
        <v>2160</v>
      </c>
      <c r="C99" s="9"/>
      <c r="D99" s="9"/>
      <c r="E99" s="9"/>
      <c r="F99" s="9"/>
      <c r="P99" s="61" t="n">
        <v>1.56</v>
      </c>
    </row>
    <row r="100" customFormat="false" ht="31.5" hidden="false" customHeight="true" outlineLevel="0" collapsed="false">
      <c r="B100" s="9" t="s">
        <v>2161</v>
      </c>
      <c r="C100" s="9"/>
      <c r="D100" s="9"/>
      <c r="E100" s="9"/>
      <c r="F100" s="9"/>
      <c r="P100" s="61" t="n">
        <v>1.55</v>
      </c>
    </row>
    <row r="101" customFormat="false" ht="17.25" hidden="false" customHeight="true" outlineLevel="0" collapsed="false">
      <c r="B101" s="9" t="s">
        <v>2162</v>
      </c>
      <c r="C101" s="9"/>
      <c r="D101" s="9"/>
      <c r="E101" s="9"/>
      <c r="F101" s="9"/>
      <c r="P101" s="61" t="n">
        <v>1.34</v>
      </c>
    </row>
    <row r="102" customFormat="false" ht="17.25" hidden="false" customHeight="true" outlineLevel="0" collapsed="false">
      <c r="B102" s="9" t="s">
        <v>2163</v>
      </c>
      <c r="C102" s="9"/>
      <c r="D102" s="9"/>
      <c r="E102" s="9"/>
      <c r="F102" s="9"/>
      <c r="P102" s="61" t="n">
        <v>3.37</v>
      </c>
    </row>
    <row r="103" customFormat="false" ht="17.25" hidden="false" customHeight="true" outlineLevel="0" collapsed="false">
      <c r="B103" s="9" t="s">
        <v>2164</v>
      </c>
      <c r="C103" s="9"/>
      <c r="D103" s="9"/>
      <c r="E103" s="9"/>
      <c r="F103" s="9"/>
      <c r="P103" s="61" t="n">
        <v>5.64</v>
      </c>
    </row>
    <row r="104" customFormat="false" ht="15" hidden="false" customHeight="true" outlineLevel="0" collapsed="false">
      <c r="P104" s="61" t="n">
        <v>3.57</v>
      </c>
    </row>
    <row r="105" customFormat="false" ht="15.75" hidden="false" customHeight="true" outlineLevel="0" collapsed="false">
      <c r="B105" s="7" t="s">
        <v>1513</v>
      </c>
      <c r="C105" s="8"/>
      <c r="D105" s="8"/>
      <c r="E105" s="8"/>
      <c r="F105" s="8"/>
      <c r="G105" s="8"/>
      <c r="H105" s="8"/>
      <c r="I105" s="8"/>
      <c r="J105" s="8"/>
      <c r="K105" s="8"/>
      <c r="P105" s="61" t="n">
        <v>2.45</v>
      </c>
    </row>
    <row r="106" customFormat="false" ht="31.5" hidden="false" customHeight="true" outlineLevel="0" collapsed="false">
      <c r="B106" s="9" t="s">
        <v>1514</v>
      </c>
      <c r="C106" s="9"/>
      <c r="N106" s="56" t="s">
        <v>1515</v>
      </c>
      <c r="P106" s="61" t="n">
        <v>1.47</v>
      </c>
    </row>
    <row r="107" customFormat="false" ht="31.5" hidden="false" customHeight="true" outlineLevel="0" collapsed="false">
      <c r="B107" s="9" t="s">
        <v>2165</v>
      </c>
      <c r="C107" s="9"/>
      <c r="N107" s="57" t="s">
        <v>2166</v>
      </c>
      <c r="P107" s="61" t="n">
        <v>1.71</v>
      </c>
    </row>
    <row r="108" customFormat="false" ht="31.5" hidden="false" customHeight="true" outlineLevel="0" collapsed="false">
      <c r="B108" s="9" t="s">
        <v>2167</v>
      </c>
      <c r="C108" s="9"/>
      <c r="N108" s="57" t="s">
        <v>2168</v>
      </c>
      <c r="P108" s="61" t="n">
        <v>9.36</v>
      </c>
    </row>
    <row r="109" customFormat="false" ht="31.5" hidden="false" customHeight="true" outlineLevel="0" collapsed="false">
      <c r="B109" s="9" t="s">
        <v>2169</v>
      </c>
      <c r="C109" s="9"/>
      <c r="N109" s="57" t="s">
        <v>2170</v>
      </c>
      <c r="P109" s="61" t="n">
        <v>2.04</v>
      </c>
    </row>
    <row r="110" customFormat="false" ht="15" hidden="false" customHeight="true" outlineLevel="0" collapsed="false">
      <c r="P110" s="61" t="n">
        <v>12.81</v>
      </c>
    </row>
    <row r="111" customFormat="false" ht="15.75" hidden="false" customHeight="true" outlineLevel="0" collapsed="false">
      <c r="B111" s="7" t="s">
        <v>1522</v>
      </c>
      <c r="C111" s="8"/>
      <c r="D111" s="8"/>
      <c r="E111" s="8"/>
      <c r="F111" s="8"/>
      <c r="G111" s="8"/>
      <c r="H111" s="8"/>
      <c r="I111" s="8"/>
      <c r="J111" s="8"/>
      <c r="K111" s="8"/>
      <c r="P111" s="61" t="n">
        <v>2.99</v>
      </c>
    </row>
    <row r="112" customFormat="false" ht="16.5" hidden="false" customHeight="true" outlineLevel="0" collapsed="false">
      <c r="B112" s="11" t="s">
        <v>1523</v>
      </c>
      <c r="C112" s="11" t="s">
        <v>1524</v>
      </c>
      <c r="D112" s="11" t="s">
        <v>1615</v>
      </c>
      <c r="P112" s="61" t="n">
        <v>1.69</v>
      </c>
    </row>
    <row r="113" customFormat="false" ht="30.75" hidden="false" customHeight="true" outlineLevel="0" collapsed="false">
      <c r="B113" s="58" t="s">
        <v>1988</v>
      </c>
      <c r="C113" s="58" t="s">
        <v>2171</v>
      </c>
      <c r="D113" s="58" t="s">
        <v>1616</v>
      </c>
      <c r="P113" s="61" t="n">
        <v>6.38</v>
      </c>
    </row>
    <row r="114" customFormat="false" ht="15" hidden="false" customHeight="true" outlineLevel="0" collapsed="false">
      <c r="P114" s="61" t="n">
        <v>3.63</v>
      </c>
    </row>
    <row r="115" customFormat="false" ht="15" hidden="false" customHeight="true" outlineLevel="0" collapsed="false">
      <c r="P115" s="61" t="n">
        <v>2.33</v>
      </c>
    </row>
    <row r="116" customFormat="false" ht="15" hidden="false" customHeight="true" outlineLevel="0" collapsed="false">
      <c r="P116" s="61" t="n">
        <v>2.94</v>
      </c>
    </row>
    <row r="117" customFormat="false" ht="15" hidden="false" customHeight="true" outlineLevel="0" collapsed="false">
      <c r="P117" s="61" t="n">
        <v>3.81</v>
      </c>
    </row>
    <row r="118" customFormat="false" ht="15" hidden="false" customHeight="true" outlineLevel="0" collapsed="false">
      <c r="P118" s="61" t="n">
        <v>1.38</v>
      </c>
    </row>
    <row r="119" customFormat="false" ht="15" hidden="false" customHeight="true" outlineLevel="0" collapsed="false">
      <c r="P119" s="61" t="n">
        <v>5.54</v>
      </c>
    </row>
    <row r="120" customFormat="false" ht="15" hidden="false" customHeight="true" outlineLevel="0" collapsed="false">
      <c r="P120" s="61" t="n">
        <v>1.4</v>
      </c>
    </row>
    <row r="121" customFormat="false" ht="15" hidden="false" customHeight="true" outlineLevel="0" collapsed="false">
      <c r="P121" s="61" t="n">
        <v>9.26</v>
      </c>
    </row>
    <row r="122" customFormat="false" ht="15" hidden="false" customHeight="true" outlineLevel="0" collapsed="false">
      <c r="P122" s="61" t="n">
        <v>2.98</v>
      </c>
    </row>
    <row r="123" customFormat="false" ht="15" hidden="false" customHeight="true" outlineLevel="0" collapsed="false">
      <c r="P123" s="61" t="n">
        <v>6.78</v>
      </c>
    </row>
    <row r="124" customFormat="false" ht="15" hidden="false" customHeight="true" outlineLevel="0" collapsed="false">
      <c r="P124" s="61" t="n">
        <v>11.54</v>
      </c>
    </row>
    <row r="125" customFormat="false" ht="15" hidden="false" customHeight="true" outlineLevel="0" collapsed="false">
      <c r="P125" s="61" t="n">
        <v>3.98</v>
      </c>
    </row>
    <row r="126" customFormat="false" ht="15" hidden="false" customHeight="true" outlineLevel="0" collapsed="false">
      <c r="P126" s="61" t="n">
        <v>4.81</v>
      </c>
    </row>
    <row r="127" customFormat="false" ht="15" hidden="false" customHeight="true" outlineLevel="0" collapsed="false">
      <c r="P127" s="61" t="n">
        <v>14.92</v>
      </c>
    </row>
    <row r="128" customFormat="false" ht="15" hidden="false" customHeight="true" outlineLevel="0" collapsed="false">
      <c r="P128" s="61" t="n">
        <v>4.12</v>
      </c>
    </row>
    <row r="129" customFormat="false" ht="15" hidden="false" customHeight="true" outlineLevel="0" collapsed="false">
      <c r="P129" s="61" t="n">
        <v>1.64</v>
      </c>
    </row>
    <row r="130" customFormat="false" ht="15" hidden="false" customHeight="true" outlineLevel="0" collapsed="false">
      <c r="P130" s="61" t="n">
        <v>5.02</v>
      </c>
    </row>
    <row r="131" customFormat="false" ht="15" hidden="false" customHeight="true" outlineLevel="0" collapsed="false">
      <c r="P131" s="61" t="n">
        <v>2.18</v>
      </c>
    </row>
    <row r="132" customFormat="false" ht="15" hidden="false" customHeight="true" outlineLevel="0" collapsed="false">
      <c r="P132" s="61" t="n">
        <v>2.79</v>
      </c>
    </row>
    <row r="133" customFormat="false" ht="15" hidden="false" customHeight="true" outlineLevel="0" collapsed="false">
      <c r="P133" s="61" t="n">
        <v>10.41</v>
      </c>
    </row>
    <row r="134" customFormat="false" ht="15" hidden="false" customHeight="true" outlineLevel="0" collapsed="false">
      <c r="P134" s="61" t="n">
        <v>2.03</v>
      </c>
    </row>
    <row r="135" customFormat="false" ht="15" hidden="false" customHeight="true" outlineLevel="0" collapsed="false">
      <c r="P135" s="61" t="n">
        <v>5.39</v>
      </c>
    </row>
    <row r="136" customFormat="false" ht="15" hidden="false" customHeight="true" outlineLevel="0" collapsed="false">
      <c r="P136" s="61" t="n">
        <v>3.61</v>
      </c>
    </row>
    <row r="137" customFormat="false" ht="15" hidden="false" customHeight="true" outlineLevel="0" collapsed="false">
      <c r="P137" s="61" t="n">
        <v>10.19</v>
      </c>
    </row>
    <row r="138" customFormat="false" ht="15" hidden="false" customHeight="true" outlineLevel="0" collapsed="false">
      <c r="P138" s="61" t="n">
        <v>4.66</v>
      </c>
    </row>
    <row r="139" customFormat="false" ht="15" hidden="false" customHeight="true" outlineLevel="0" collapsed="false">
      <c r="P139" s="61" t="n">
        <v>7.22</v>
      </c>
    </row>
    <row r="140" customFormat="false" ht="15" hidden="false" customHeight="true" outlineLevel="0" collapsed="false">
      <c r="P140" s="61" t="n">
        <v>1.3</v>
      </c>
    </row>
    <row r="141" customFormat="false" ht="15" hidden="false" customHeight="true" outlineLevel="0" collapsed="false">
      <c r="P141" s="61" t="n">
        <v>4.06</v>
      </c>
    </row>
    <row r="142" customFormat="false" ht="15" hidden="false" customHeight="true" outlineLevel="0" collapsed="false">
      <c r="P142" s="61" t="n">
        <v>4.65</v>
      </c>
    </row>
    <row r="143" customFormat="false" ht="15" hidden="false" customHeight="true" outlineLevel="0" collapsed="false">
      <c r="P143" s="61" t="n">
        <v>3.58</v>
      </c>
    </row>
    <row r="144" customFormat="false" ht="15" hidden="false" customHeight="true" outlineLevel="0" collapsed="false">
      <c r="P144" s="61" t="n">
        <v>2.28</v>
      </c>
    </row>
    <row r="145" customFormat="false" ht="15" hidden="false" customHeight="true" outlineLevel="0" collapsed="false">
      <c r="P145" s="61" t="n">
        <v>7.97</v>
      </c>
    </row>
    <row r="146" customFormat="false" ht="15" hidden="false" customHeight="true" outlineLevel="0" collapsed="false">
      <c r="P146" s="61" t="n">
        <v>8.96</v>
      </c>
    </row>
    <row r="147" customFormat="false" ht="15" hidden="false" customHeight="true" outlineLevel="0" collapsed="false">
      <c r="P147" s="61" t="n">
        <v>2.17</v>
      </c>
    </row>
    <row r="148" customFormat="false" ht="15" hidden="false" customHeight="true" outlineLevel="0" collapsed="false">
      <c r="P148" s="61" t="n">
        <v>2.72</v>
      </c>
    </row>
    <row r="149" customFormat="false" ht="15" hidden="false" customHeight="true" outlineLevel="0" collapsed="false">
      <c r="P149" s="61" t="n">
        <v>11.13</v>
      </c>
    </row>
    <row r="150" customFormat="false" ht="15" hidden="false" customHeight="true" outlineLevel="0" collapsed="false">
      <c r="P150" s="61" t="n">
        <v>8.8</v>
      </c>
    </row>
    <row r="151" customFormat="false" ht="15" hidden="false" customHeight="true" outlineLevel="0" collapsed="false">
      <c r="P151" s="61" t="n">
        <v>2.45</v>
      </c>
    </row>
    <row r="152" customFormat="false" ht="15" hidden="false" customHeight="true" outlineLevel="0" collapsed="false">
      <c r="P152" s="61" t="n">
        <v>1.56</v>
      </c>
    </row>
    <row r="153" customFormat="false" ht="15" hidden="false" customHeight="true" outlineLevel="0" collapsed="false">
      <c r="P153" s="61" t="n">
        <v>3.06</v>
      </c>
    </row>
    <row r="154" customFormat="false" ht="15" hidden="false" customHeight="true" outlineLevel="0" collapsed="false">
      <c r="P154" s="61" t="n">
        <v>6.17</v>
      </c>
    </row>
    <row r="155" customFormat="false" ht="15" hidden="false" customHeight="true" outlineLevel="0" collapsed="false">
      <c r="P155" s="61" t="n">
        <v>2.15</v>
      </c>
    </row>
    <row r="156" customFormat="false" ht="15" hidden="false" customHeight="true" outlineLevel="0" collapsed="false">
      <c r="P156" s="61" t="n">
        <v>1.84</v>
      </c>
    </row>
    <row r="157" customFormat="false" ht="15" hidden="false" customHeight="true" outlineLevel="0" collapsed="false">
      <c r="P157" s="61" t="n">
        <v>2.25</v>
      </c>
    </row>
    <row r="158" customFormat="false" ht="15" hidden="false" customHeight="true" outlineLevel="0" collapsed="false">
      <c r="P158" s="61" t="n">
        <v>3.45</v>
      </c>
    </row>
    <row r="159" customFormat="false" ht="15" hidden="false" customHeight="true" outlineLevel="0" collapsed="false">
      <c r="P159" s="61" t="n">
        <v>3.1</v>
      </c>
    </row>
    <row r="160" customFormat="false" ht="15" hidden="false" customHeight="true" outlineLevel="0" collapsed="false">
      <c r="P160" s="61" t="n">
        <v>1.47</v>
      </c>
    </row>
    <row r="161" customFormat="false" ht="15" hidden="false" customHeight="true" outlineLevel="0" collapsed="false">
      <c r="P161" s="61" t="n">
        <v>2.89</v>
      </c>
    </row>
    <row r="162" customFormat="false" ht="15" hidden="false" customHeight="true" outlineLevel="0" collapsed="false">
      <c r="P162" s="61" t="n">
        <v>2.36</v>
      </c>
    </row>
    <row r="163" customFormat="false" ht="15" hidden="false" customHeight="true" outlineLevel="0" collapsed="false">
      <c r="P163" s="61" t="n">
        <v>3.55</v>
      </c>
    </row>
    <row r="164" customFormat="false" ht="15" hidden="false" customHeight="true" outlineLevel="0" collapsed="false">
      <c r="P164" s="61" t="n">
        <v>4.67</v>
      </c>
    </row>
    <row r="165" customFormat="false" ht="15" hidden="false" customHeight="true" outlineLevel="0" collapsed="false">
      <c r="P165" s="61" t="n">
        <v>8.15</v>
      </c>
    </row>
    <row r="166" customFormat="false" ht="15" hidden="false" customHeight="true" outlineLevel="0" collapsed="false">
      <c r="P166" s="61" t="n">
        <v>2.15</v>
      </c>
    </row>
    <row r="167" customFormat="false" ht="15" hidden="false" customHeight="true" outlineLevel="0" collapsed="false">
      <c r="P167" s="61" t="n">
        <v>1.44</v>
      </c>
    </row>
    <row r="168" customFormat="false" ht="15" hidden="false" customHeight="true" outlineLevel="0" collapsed="false">
      <c r="P168" s="61" t="n">
        <v>1.67</v>
      </c>
    </row>
    <row r="169" customFormat="false" ht="15" hidden="false" customHeight="true" outlineLevel="0" collapsed="false">
      <c r="P169" s="61" t="n">
        <v>1.59</v>
      </c>
    </row>
    <row r="170" customFormat="false" ht="15" hidden="false" customHeight="true" outlineLevel="0" collapsed="false">
      <c r="P170" s="61" t="n">
        <v>2.32</v>
      </c>
    </row>
    <row r="171" customFormat="false" ht="15" hidden="false" customHeight="true" outlineLevel="0" collapsed="false">
      <c r="P171" s="61" t="n">
        <v>4</v>
      </c>
    </row>
    <row r="172" customFormat="false" ht="15" hidden="false" customHeight="true" outlineLevel="0" collapsed="false">
      <c r="P172" s="61" t="n">
        <v>2.87</v>
      </c>
    </row>
    <row r="173" customFormat="false" ht="15" hidden="false" customHeight="true" outlineLevel="0" collapsed="false">
      <c r="P173" s="61" t="n">
        <v>13.44</v>
      </c>
    </row>
    <row r="174" customFormat="false" ht="15" hidden="false" customHeight="true" outlineLevel="0" collapsed="false">
      <c r="P174" s="61" t="n">
        <v>5.33</v>
      </c>
    </row>
    <row r="175" customFormat="false" ht="15" hidden="false" customHeight="true" outlineLevel="0" collapsed="false">
      <c r="P175" s="61" t="n">
        <v>4.15</v>
      </c>
    </row>
    <row r="176" customFormat="false" ht="15" hidden="false" customHeight="true" outlineLevel="0" collapsed="false">
      <c r="P176" s="61" t="n">
        <v>2.23</v>
      </c>
    </row>
    <row r="177" customFormat="false" ht="15" hidden="false" customHeight="true" outlineLevel="0" collapsed="false">
      <c r="P177" s="61" t="n">
        <v>5.37</v>
      </c>
    </row>
    <row r="178" customFormat="false" ht="15" hidden="false" customHeight="true" outlineLevel="0" collapsed="false">
      <c r="P178" s="61" t="n">
        <v>6.63</v>
      </c>
    </row>
    <row r="179" customFormat="false" ht="15" hidden="false" customHeight="true" outlineLevel="0" collapsed="false">
      <c r="P179" s="61" t="n">
        <v>5.48</v>
      </c>
    </row>
    <row r="180" customFormat="false" ht="15" hidden="false" customHeight="true" outlineLevel="0" collapsed="false">
      <c r="P180" s="61" t="n">
        <v>5.57</v>
      </c>
    </row>
    <row r="181" customFormat="false" ht="15" hidden="false" customHeight="true" outlineLevel="0" collapsed="false">
      <c r="P181" s="61" t="n">
        <v>2.45</v>
      </c>
    </row>
    <row r="182" customFormat="false" ht="15" hidden="false" customHeight="true" outlineLevel="0" collapsed="false">
      <c r="P182" s="61" t="n">
        <v>4.37</v>
      </c>
    </row>
    <row r="183" customFormat="false" ht="15" hidden="false" customHeight="true" outlineLevel="0" collapsed="false">
      <c r="P183" s="61" t="n">
        <v>2.34</v>
      </c>
    </row>
    <row r="184" customFormat="false" ht="15" hidden="false" customHeight="true" outlineLevel="0" collapsed="false">
      <c r="P184" s="61" t="n">
        <v>3.31</v>
      </c>
    </row>
    <row r="185" customFormat="false" ht="15" hidden="false" customHeight="true" outlineLevel="0" collapsed="false">
      <c r="P185" s="61" t="n">
        <v>20.82</v>
      </c>
    </row>
    <row r="186" customFormat="false" ht="15" hidden="false" customHeight="true" outlineLevel="0" collapsed="false">
      <c r="P186" s="61" t="n">
        <v>5.76</v>
      </c>
    </row>
    <row r="187" customFormat="false" ht="15" hidden="false" customHeight="true" outlineLevel="0" collapsed="false">
      <c r="P187" s="61" t="n">
        <v>2.96</v>
      </c>
    </row>
    <row r="188" customFormat="false" ht="15" hidden="false" customHeight="true" outlineLevel="0" collapsed="false">
      <c r="P188" s="61" t="n">
        <v>5.92</v>
      </c>
    </row>
    <row r="189" customFormat="false" ht="15" hidden="false" customHeight="true" outlineLevel="0" collapsed="false">
      <c r="P189" s="61" t="n">
        <v>1.21</v>
      </c>
    </row>
    <row r="190" customFormat="false" ht="15" hidden="false" customHeight="true" outlineLevel="0" collapsed="false">
      <c r="P190" s="61" t="n">
        <v>8.14</v>
      </c>
    </row>
    <row r="191" customFormat="false" ht="15" hidden="false" customHeight="true" outlineLevel="0" collapsed="false">
      <c r="P191" s="61" t="n">
        <v>6.45</v>
      </c>
    </row>
    <row r="192" customFormat="false" ht="15" hidden="false" customHeight="true" outlineLevel="0" collapsed="false">
      <c r="P192" s="61" t="n">
        <v>6.62</v>
      </c>
    </row>
    <row r="193" customFormat="false" ht="15" hidden="false" customHeight="true" outlineLevel="0" collapsed="false">
      <c r="P193" s="61" t="n">
        <v>2.78</v>
      </c>
    </row>
    <row r="194" customFormat="false" ht="15" hidden="false" customHeight="true" outlineLevel="0" collapsed="false">
      <c r="P194" s="61" t="n">
        <v>4.42</v>
      </c>
    </row>
    <row r="195" customFormat="false" ht="15" hidden="false" customHeight="true" outlineLevel="0" collapsed="false">
      <c r="P195" s="61" t="n">
        <v>17.09</v>
      </c>
    </row>
    <row r="196" customFormat="false" ht="15" hidden="false" customHeight="true" outlineLevel="0" collapsed="false">
      <c r="P196" s="61" t="n">
        <v>4.32</v>
      </c>
    </row>
    <row r="197" customFormat="false" ht="15" hidden="false" customHeight="true" outlineLevel="0" collapsed="false">
      <c r="P197" s="61" t="n">
        <v>3.13</v>
      </c>
    </row>
    <row r="198" customFormat="false" ht="15" hidden="false" customHeight="true" outlineLevel="0" collapsed="false">
      <c r="P198" s="61" t="n">
        <v>6.37</v>
      </c>
    </row>
    <row r="199" customFormat="false" ht="15" hidden="false" customHeight="true" outlineLevel="0" collapsed="false">
      <c r="P199" s="61" t="n">
        <v>8.47</v>
      </c>
    </row>
    <row r="200" customFormat="false" ht="15" hidden="false" customHeight="true" outlineLevel="0" collapsed="false">
      <c r="P200" s="61" t="n">
        <v>1.8</v>
      </c>
    </row>
    <row r="201" customFormat="false" ht="15" hidden="false" customHeight="true" outlineLevel="0" collapsed="false">
      <c r="P201" s="61" t="n">
        <v>4.01</v>
      </c>
    </row>
    <row r="202" customFormat="false" ht="15" hidden="false" customHeight="true" outlineLevel="0" collapsed="false">
      <c r="P202" s="61" t="n">
        <v>1.42</v>
      </c>
    </row>
    <row r="203" customFormat="false" ht="15" hidden="false" customHeight="true" outlineLevel="0" collapsed="false">
      <c r="P203" s="61" t="n">
        <v>3.02</v>
      </c>
    </row>
    <row r="204" customFormat="false" ht="15" hidden="false" customHeight="true" outlineLevel="0" collapsed="false">
      <c r="P204" s="61" t="n">
        <v>3.27</v>
      </c>
    </row>
    <row r="205" customFormat="false" ht="15" hidden="false" customHeight="true" outlineLevel="0" collapsed="false">
      <c r="P205" s="61" t="n">
        <v>2.63</v>
      </c>
    </row>
    <row r="206" customFormat="false" ht="15" hidden="false" customHeight="true" outlineLevel="0" collapsed="false">
      <c r="P206" s="61" t="n">
        <v>1.45</v>
      </c>
    </row>
    <row r="207" customFormat="false" ht="15" hidden="false" customHeight="true" outlineLevel="0" collapsed="false">
      <c r="P207" s="61" t="n">
        <v>2.28</v>
      </c>
    </row>
    <row r="208" customFormat="false" ht="15" hidden="false" customHeight="true" outlineLevel="0" collapsed="false">
      <c r="P208" s="61" t="n">
        <v>2.29</v>
      </c>
    </row>
    <row r="209" customFormat="false" ht="15" hidden="false" customHeight="true" outlineLevel="0" collapsed="false">
      <c r="P209" s="61" t="n">
        <v>1.76</v>
      </c>
    </row>
  </sheetData>
  <mergeCells count="62">
    <mergeCell ref="B2:J2"/>
    <mergeCell ref="D3:E3"/>
    <mergeCell ref="C6:D6"/>
    <mergeCell ref="C7:D7"/>
    <mergeCell ref="C8:D8"/>
    <mergeCell ref="P8:Q8"/>
    <mergeCell ref="R8:S8"/>
    <mergeCell ref="B11:C11"/>
    <mergeCell ref="B12:C12"/>
    <mergeCell ref="B13:C13"/>
    <mergeCell ref="B14:C14"/>
    <mergeCell ref="B15:C15"/>
    <mergeCell ref="B16:C16"/>
    <mergeCell ref="B17:C17"/>
    <mergeCell ref="B18:C18"/>
    <mergeCell ref="B19:C19"/>
    <mergeCell ref="B20:C20"/>
    <mergeCell ref="B21:C21"/>
    <mergeCell ref="B24:C24"/>
    <mergeCell ref="E24:F24"/>
    <mergeCell ref="B25:C25"/>
    <mergeCell ref="E25:F25"/>
    <mergeCell ref="B26:C26"/>
    <mergeCell ref="E26:F26"/>
    <mergeCell ref="B27:C27"/>
    <mergeCell ref="E27:F27"/>
    <mergeCell ref="B35:C35"/>
    <mergeCell ref="B36:C36"/>
    <mergeCell ref="B37:C37"/>
    <mergeCell ref="B38:C38"/>
    <mergeCell ref="B39:C39"/>
    <mergeCell ref="B40:C40"/>
    <mergeCell ref="B41:C41"/>
    <mergeCell ref="B51:F51"/>
    <mergeCell ref="B54:D54"/>
    <mergeCell ref="B55:D55"/>
    <mergeCell ref="B56:D56"/>
    <mergeCell ref="B61:D61"/>
    <mergeCell ref="F75:G75"/>
    <mergeCell ref="F76:G76"/>
    <mergeCell ref="F77:G77"/>
    <mergeCell ref="F78:G78"/>
    <mergeCell ref="F79:G79"/>
    <mergeCell ref="F80:G80"/>
    <mergeCell ref="F81:G81"/>
    <mergeCell ref="F82:G82"/>
    <mergeCell ref="F83:G83"/>
    <mergeCell ref="F84:G84"/>
    <mergeCell ref="F85:G85"/>
    <mergeCell ref="F86:G86"/>
    <mergeCell ref="F87:G87"/>
    <mergeCell ref="C90:D90"/>
    <mergeCell ref="B98:F98"/>
    <mergeCell ref="B99:F99"/>
    <mergeCell ref="B100:F100"/>
    <mergeCell ref="B101:F101"/>
    <mergeCell ref="B102:F102"/>
    <mergeCell ref="B103:F103"/>
    <mergeCell ref="B106:C106"/>
    <mergeCell ref="B107:C107"/>
    <mergeCell ref="B108:C108"/>
    <mergeCell ref="B109:C109"/>
  </mergeCells>
  <hyperlinks>
    <hyperlink ref="B3" location="'N-03 Index DMAIC'!A1" display="← Back to Index"/>
    <hyperlink ref="E30" location="'E-05 Sampling Subgroups'!A1" display="E-05  Sampling Strategies and Rational Subgrouping"/>
    <hyperlink ref="E31" location="'E-31 Nonparametric Tests'!A1" display="E-31  Nonparametric Tests"/>
    <hyperlink ref="B113" location="'E-07 Normal Distribution'!A1" display="E-07  The Normal Distribution and Z Scores"/>
    <hyperlink ref="C113" location="'E-09 t Chi2 F Distributions'!A1" display="E-09  The t, Chi-Square and F Distributions"/>
    <hyperlink ref="D113" location="'E-14 Standard Error'!A1" display="E-14  Standard Error vs Standard Devi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2172</v>
      </c>
      <c r="C2" s="3"/>
      <c r="D2" s="3"/>
      <c r="E2" s="3"/>
      <c r="F2" s="3"/>
      <c r="G2" s="3"/>
      <c r="H2" s="3"/>
      <c r="I2" s="3"/>
      <c r="J2" s="3"/>
      <c r="K2" s="46" t="s">
        <v>1389</v>
      </c>
    </row>
    <row r="3" customFormat="false" ht="28.5" hidden="false" customHeight="true" outlineLevel="0" collapsed="false">
      <c r="B3" s="5" t="s">
        <v>3</v>
      </c>
      <c r="D3" s="6" t="s">
        <v>2173</v>
      </c>
      <c r="E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2174</v>
      </c>
      <c r="D6" s="9"/>
    </row>
    <row r="7" customFormat="false" ht="31.5" hidden="false" customHeight="true" outlineLevel="0" collapsed="false">
      <c r="B7" s="47" t="s">
        <v>1394</v>
      </c>
      <c r="C7" s="9" t="s">
        <v>2175</v>
      </c>
      <c r="D7" s="9"/>
    </row>
    <row r="8" customFormat="false" ht="31.5" hidden="false" customHeight="true" outlineLevel="0" collapsed="false">
      <c r="B8" s="47" t="s">
        <v>1396</v>
      </c>
      <c r="C8" s="9" t="s">
        <v>2176</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2177</v>
      </c>
      <c r="C11" s="9"/>
      <c r="D11" s="9"/>
      <c r="E11" s="9"/>
      <c r="F11" s="9"/>
    </row>
    <row r="12" customFormat="false" ht="15" hidden="false" customHeight="true" outlineLevel="0" collapsed="false">
      <c r="B12" s="9" t="s">
        <v>2178</v>
      </c>
      <c r="C12" s="9"/>
      <c r="D12" s="9"/>
      <c r="E12" s="9"/>
      <c r="F12" s="9"/>
    </row>
    <row r="13" customFormat="false" ht="15" hidden="false" customHeight="true" outlineLevel="0" collapsed="false">
      <c r="B13" s="9"/>
      <c r="C13" s="9"/>
      <c r="D13" s="9"/>
      <c r="E13" s="9"/>
      <c r="F13" s="9"/>
    </row>
    <row r="14" customFormat="false" ht="15" hidden="false" customHeight="true" outlineLevel="0" collapsed="false">
      <c r="B14" s="9"/>
      <c r="C14" s="9"/>
      <c r="D14" s="9"/>
      <c r="E14" s="9"/>
      <c r="F14" s="9"/>
    </row>
    <row r="15" customFormat="false" ht="15.75" hidden="false" customHeight="true" outlineLevel="0" collapsed="false">
      <c r="B15" s="9" t="s">
        <v>2179</v>
      </c>
      <c r="C15" s="9"/>
      <c r="D15" s="9"/>
      <c r="E15" s="9"/>
      <c r="F15" s="9"/>
    </row>
    <row r="16" customFormat="false" ht="15.75" hidden="false" customHeight="true" outlineLevel="0" collapsed="false">
      <c r="B16" s="9"/>
      <c r="C16" s="9"/>
      <c r="D16" s="9"/>
      <c r="E16" s="9"/>
      <c r="F16" s="9"/>
    </row>
    <row r="17" customFormat="false" ht="15.75" hidden="false" customHeight="true" outlineLevel="0" collapsed="false">
      <c r="B17" s="9" t="s">
        <v>2180</v>
      </c>
      <c r="C17" s="9"/>
      <c r="D17" s="9"/>
      <c r="E17" s="9"/>
      <c r="F17" s="9"/>
    </row>
    <row r="18" customFormat="false" ht="15.75" hidden="false" customHeight="true" outlineLevel="0" collapsed="false">
      <c r="B18" s="9"/>
      <c r="C18" s="9"/>
      <c r="D18" s="9"/>
      <c r="E18" s="9"/>
      <c r="F18" s="9"/>
    </row>
    <row r="19" customFormat="false" ht="17.25" hidden="false" customHeight="true" outlineLevel="0" collapsed="false">
      <c r="B19" s="9" t="s">
        <v>2181</v>
      </c>
      <c r="C19" s="9"/>
      <c r="D19" s="9"/>
      <c r="E19" s="9"/>
      <c r="F19" s="9"/>
    </row>
    <row r="20" customFormat="false" ht="17.25" hidden="false" customHeight="true" outlineLevel="0" collapsed="false">
      <c r="B20" s="9" t="s">
        <v>2182</v>
      </c>
      <c r="C20" s="9"/>
      <c r="D20" s="9"/>
      <c r="E20" s="9"/>
      <c r="F20" s="9"/>
    </row>
    <row r="22" customFormat="false" ht="15.75" hidden="false" customHeight="true" outlineLevel="0" collapsed="false">
      <c r="B22" s="7" t="s">
        <v>1406</v>
      </c>
      <c r="C22" s="8"/>
      <c r="D22" s="8"/>
      <c r="E22" s="8"/>
      <c r="F22" s="8"/>
      <c r="G22" s="8"/>
      <c r="H22" s="8"/>
      <c r="I22" s="8"/>
      <c r="J22" s="8"/>
      <c r="K22" s="8"/>
    </row>
    <row r="23" customFormat="false" ht="17.25" hidden="false" customHeight="true" outlineLevel="0" collapsed="false">
      <c r="B23" s="48" t="s">
        <v>1407</v>
      </c>
      <c r="C23" s="48"/>
      <c r="D23" s="48"/>
      <c r="E23" s="49" t="s">
        <v>1408</v>
      </c>
      <c r="F23" s="49"/>
    </row>
    <row r="24" customFormat="false" ht="31.5" hidden="false" customHeight="true" outlineLevel="0" collapsed="false">
      <c r="B24" s="23" t="s">
        <v>2183</v>
      </c>
      <c r="C24" s="23"/>
      <c r="D24" s="23"/>
      <c r="E24" s="23" t="s">
        <v>2184</v>
      </c>
      <c r="F24" s="23"/>
    </row>
    <row r="25" customFormat="false" ht="31.5" hidden="false" customHeight="true" outlineLevel="0" collapsed="false">
      <c r="B25" s="23" t="s">
        <v>2185</v>
      </c>
      <c r="C25" s="23"/>
      <c r="D25" s="23"/>
      <c r="E25" s="23" t="s">
        <v>2186</v>
      </c>
      <c r="F25" s="23"/>
    </row>
    <row r="26" customFormat="false" ht="31.5" hidden="false" customHeight="true" outlineLevel="0" collapsed="false">
      <c r="B26" s="23" t="s">
        <v>2187</v>
      </c>
      <c r="C26" s="23"/>
      <c r="D26" s="23"/>
      <c r="E26" s="23" t="s">
        <v>2188</v>
      </c>
      <c r="F26" s="23"/>
    </row>
    <row r="27" customFormat="false" ht="17.25" hidden="false" customHeight="true" outlineLevel="0" collapsed="false">
      <c r="B27" s="23" t="s">
        <v>2189</v>
      </c>
      <c r="C27" s="23"/>
      <c r="D27" s="23"/>
      <c r="E27" s="23"/>
      <c r="F27" s="23"/>
    </row>
    <row r="29" customFormat="false" ht="16.5" hidden="false" customHeight="true" outlineLevel="0" collapsed="false">
      <c r="B29" s="11" t="s">
        <v>1416</v>
      </c>
      <c r="C29" s="11" t="s">
        <v>1417</v>
      </c>
      <c r="D29" s="11" t="s">
        <v>1418</v>
      </c>
      <c r="E29" s="11" t="s">
        <v>1419</v>
      </c>
    </row>
    <row r="30" customFormat="false" ht="44.25" hidden="false" customHeight="true" outlineLevel="0" collapsed="false">
      <c r="B30" s="12" t="s">
        <v>2190</v>
      </c>
      <c r="C30" s="12" t="s">
        <v>2191</v>
      </c>
      <c r="D30" s="12" t="s">
        <v>2192</v>
      </c>
      <c r="E30" s="50" t="s">
        <v>1037</v>
      </c>
    </row>
    <row r="31" customFormat="false" ht="30.75" hidden="false" customHeight="true" outlineLevel="0" collapsed="false">
      <c r="B31" s="12" t="s">
        <v>2193</v>
      </c>
      <c r="C31" s="12" t="s">
        <v>2194</v>
      </c>
      <c r="D31" s="12" t="s">
        <v>2195</v>
      </c>
      <c r="E31" s="50" t="s">
        <v>964</v>
      </c>
    </row>
    <row r="32" customFormat="false" ht="30.75" hidden="false" customHeight="true" outlineLevel="0" collapsed="false">
      <c r="B32" s="12" t="s">
        <v>2196</v>
      </c>
      <c r="C32" s="12" t="s">
        <v>2197</v>
      </c>
      <c r="D32" s="12" t="s">
        <v>2198</v>
      </c>
      <c r="E32" s="50" t="s">
        <v>2199</v>
      </c>
    </row>
    <row r="34" customFormat="false" ht="15.75" hidden="false" customHeight="true" outlineLevel="0" collapsed="false">
      <c r="B34" s="7" t="s">
        <v>1429</v>
      </c>
      <c r="C34" s="8"/>
      <c r="D34" s="8"/>
      <c r="E34" s="8"/>
      <c r="F34" s="8"/>
      <c r="G34" s="8"/>
      <c r="H34" s="8"/>
      <c r="I34" s="8"/>
      <c r="J34" s="8"/>
      <c r="K34" s="8"/>
    </row>
    <row r="35" customFormat="false" ht="15" hidden="false" customHeight="true" outlineLevel="0" collapsed="false">
      <c r="B35" s="47" t="s">
        <v>2200</v>
      </c>
    </row>
    <row r="36" customFormat="false" ht="17.25" hidden="false" customHeight="true" outlineLevel="0" collapsed="false">
      <c r="B36" s="52" t="s">
        <v>2201</v>
      </c>
      <c r="C36" s="52"/>
      <c r="D36" s="52"/>
      <c r="E36" s="52"/>
      <c r="F36" s="52"/>
    </row>
    <row r="37" customFormat="false" ht="15" hidden="false" customHeight="true" outlineLevel="0" collapsed="false">
      <c r="B37" s="47" t="s">
        <v>2202</v>
      </c>
    </row>
    <row r="38" customFormat="false" ht="17.25" hidden="false" customHeight="true" outlineLevel="0" collapsed="false">
      <c r="B38" s="52" t="s">
        <v>2203</v>
      </c>
      <c r="C38" s="52"/>
      <c r="D38" s="52"/>
      <c r="E38" s="52"/>
      <c r="F38" s="52"/>
    </row>
    <row r="39" customFormat="false" ht="15" hidden="false" customHeight="true" outlineLevel="0" collapsed="false">
      <c r="B39" s="47" t="s">
        <v>2204</v>
      </c>
    </row>
    <row r="40" customFormat="false" ht="17.25" hidden="false" customHeight="true" outlineLevel="0" collapsed="false">
      <c r="B40" s="52" t="s">
        <v>2205</v>
      </c>
      <c r="C40" s="52"/>
      <c r="D40" s="52"/>
      <c r="E40" s="52"/>
      <c r="F40" s="52"/>
    </row>
    <row r="41" customFormat="false" ht="15" hidden="false" customHeight="true" outlineLevel="0" collapsed="false">
      <c r="B41" s="47" t="s">
        <v>2206</v>
      </c>
    </row>
    <row r="42" customFormat="false" ht="8.25" hidden="false" customHeight="true" outlineLevel="0" collapsed="false">
      <c r="B42" s="52" t="s">
        <v>2207</v>
      </c>
      <c r="C42" s="52"/>
      <c r="D42" s="52"/>
      <c r="E42" s="52"/>
      <c r="F42" s="52"/>
    </row>
    <row r="43" customFormat="false" ht="8.25" hidden="false" customHeight="true" outlineLevel="0" collapsed="false">
      <c r="B43" s="52"/>
      <c r="C43" s="52"/>
      <c r="D43" s="52"/>
      <c r="E43" s="52"/>
      <c r="F43" s="52"/>
    </row>
    <row r="45" customFormat="false" ht="15.75" hidden="false" customHeight="true" outlineLevel="0" collapsed="false">
      <c r="B45" s="7" t="s">
        <v>1437</v>
      </c>
      <c r="C45" s="8"/>
      <c r="D45" s="8"/>
      <c r="E45" s="8"/>
      <c r="F45" s="8"/>
      <c r="G45" s="8"/>
      <c r="H45" s="8"/>
      <c r="I45" s="8"/>
      <c r="J45" s="8"/>
      <c r="K45" s="8"/>
    </row>
    <row r="46" customFormat="false" ht="16.5" hidden="false" customHeight="true" outlineLevel="0" collapsed="false">
      <c r="B46" s="11" t="s">
        <v>1438</v>
      </c>
      <c r="C46" s="11" t="s">
        <v>1439</v>
      </c>
      <c r="D46" s="11" t="s">
        <v>1440</v>
      </c>
    </row>
    <row r="47" customFormat="false" ht="30.75" hidden="false" customHeight="true" outlineLevel="0" collapsed="false">
      <c r="B47" s="12" t="s">
        <v>2208</v>
      </c>
      <c r="C47" s="12" t="s">
        <v>2209</v>
      </c>
      <c r="D47" s="12" t="s">
        <v>2210</v>
      </c>
    </row>
    <row r="48" customFormat="false" ht="30.75" hidden="false" customHeight="true" outlineLevel="0" collapsed="false">
      <c r="B48" s="12" t="s">
        <v>2211</v>
      </c>
      <c r="C48" s="12" t="s">
        <v>2212</v>
      </c>
      <c r="D48" s="12" t="s">
        <v>2213</v>
      </c>
    </row>
    <row r="49" customFormat="false" ht="30.75" hidden="false" customHeight="true" outlineLevel="0" collapsed="false">
      <c r="B49" s="12" t="s">
        <v>2214</v>
      </c>
      <c r="C49" s="12" t="s">
        <v>2215</v>
      </c>
      <c r="D49" s="12" t="s">
        <v>2216</v>
      </c>
    </row>
    <row r="50" customFormat="false" ht="16.5" hidden="false" customHeight="true" outlineLevel="0" collapsed="false">
      <c r="B50" s="12" t="s">
        <v>2217</v>
      </c>
      <c r="C50" s="12" t="s">
        <v>2218</v>
      </c>
      <c r="D50" s="12" t="s">
        <v>2219</v>
      </c>
    </row>
    <row r="51" customFormat="false" ht="30.75" hidden="false" customHeight="true" outlineLevel="0" collapsed="false">
      <c r="B51" s="12" t="s">
        <v>2220</v>
      </c>
      <c r="C51" s="12" t="s">
        <v>2221</v>
      </c>
      <c r="D51" s="12" t="s">
        <v>2222</v>
      </c>
    </row>
    <row r="52" customFormat="false" ht="16.5" hidden="false" customHeight="true" outlineLevel="0" collapsed="false">
      <c r="B52" s="12" t="s">
        <v>2223</v>
      </c>
      <c r="C52" s="12" t="s">
        <v>2224</v>
      </c>
      <c r="D52" s="12" t="s">
        <v>2219</v>
      </c>
    </row>
    <row r="53" customFormat="false" ht="30.75" hidden="false" customHeight="true" outlineLevel="0" collapsed="false">
      <c r="B53" s="12" t="s">
        <v>1574</v>
      </c>
      <c r="C53" s="12" t="s">
        <v>1575</v>
      </c>
      <c r="D53" s="12" t="s">
        <v>2225</v>
      </c>
    </row>
    <row r="54" customFormat="false" ht="28.5" hidden="false" customHeight="true" outlineLevel="0" collapsed="false">
      <c r="B54" s="16" t="s">
        <v>1453</v>
      </c>
      <c r="C54" s="16"/>
      <c r="D54" s="16"/>
      <c r="E54" s="16"/>
      <c r="F54" s="16"/>
    </row>
    <row r="56" customFormat="false" ht="15.75" hidden="false" customHeight="true" outlineLevel="0" collapsed="false">
      <c r="B56" s="7" t="s">
        <v>1454</v>
      </c>
      <c r="C56" s="8"/>
      <c r="D56" s="8"/>
      <c r="E56" s="8"/>
      <c r="F56" s="8"/>
      <c r="G56" s="8"/>
      <c r="H56" s="8"/>
      <c r="I56" s="8"/>
      <c r="J56" s="8"/>
      <c r="K56" s="8"/>
    </row>
    <row r="57" customFormat="false" ht="17.25" hidden="false" customHeight="true" outlineLevel="0" collapsed="false">
      <c r="B57" s="9" t="s">
        <v>2226</v>
      </c>
      <c r="C57" s="9"/>
      <c r="D57" s="9"/>
      <c r="E57" s="9"/>
      <c r="F57" s="9"/>
    </row>
    <row r="58" customFormat="false" ht="17.25" hidden="false" customHeight="true" outlineLevel="0" collapsed="false">
      <c r="B58" s="9" t="s">
        <v>2227</v>
      </c>
      <c r="C58" s="9"/>
      <c r="D58" s="9"/>
      <c r="E58" s="9"/>
      <c r="F58" s="9"/>
    </row>
    <row r="59" customFormat="false" ht="15" hidden="false" customHeight="true" outlineLevel="0" collapsed="false">
      <c r="B59" s="19" t="s">
        <v>85</v>
      </c>
      <c r="C59" s="41" t="s">
        <v>86</v>
      </c>
    </row>
    <row r="61" customFormat="false" ht="15" hidden="false" customHeight="true" outlineLevel="0" collapsed="false">
      <c r="B61" s="10" t="s">
        <v>2228</v>
      </c>
      <c r="C61" s="75" t="n">
        <v>0.05</v>
      </c>
    </row>
    <row r="62" customFormat="false" ht="15" hidden="false" customHeight="true" outlineLevel="0" collapsed="false">
      <c r="B62" s="10" t="s">
        <v>2229</v>
      </c>
      <c r="C62" s="65" t="n">
        <v>12</v>
      </c>
    </row>
    <row r="63" customFormat="false" ht="15" hidden="false" customHeight="true" outlineLevel="0" collapsed="false">
      <c r="B63" s="10" t="s">
        <v>2230</v>
      </c>
      <c r="C63" s="65" t="n">
        <v>15</v>
      </c>
    </row>
    <row r="64" customFormat="false" ht="15" hidden="false" customHeight="true" outlineLevel="0" collapsed="false">
      <c r="B64" s="10" t="s">
        <v>2231</v>
      </c>
      <c r="C64" s="75" t="n">
        <v>2.31</v>
      </c>
    </row>
    <row r="65" customFormat="false" ht="15" hidden="false" customHeight="true" outlineLevel="0" collapsed="false">
      <c r="B65" s="10" t="s">
        <v>2232</v>
      </c>
      <c r="C65" s="61" t="n">
        <v>21.4</v>
      </c>
    </row>
    <row r="66" customFormat="false" ht="15" hidden="false" customHeight="true" outlineLevel="0" collapsed="false">
      <c r="B66" s="10" t="s">
        <v>2233</v>
      </c>
      <c r="C66" s="61" t="n">
        <v>2.85</v>
      </c>
    </row>
    <row r="68" customFormat="false" ht="15" hidden="false" customHeight="true" outlineLevel="0" collapsed="false">
      <c r="B68" s="10" t="s">
        <v>2234</v>
      </c>
      <c r="C68" s="66" t="n">
        <f aca="false">TINV(C61,C62)</f>
        <v>2.17881282966723</v>
      </c>
    </row>
    <row r="69" customFormat="false" ht="15" hidden="false" customHeight="true" outlineLevel="0" collapsed="false">
      <c r="B69" s="10" t="s">
        <v>2235</v>
      </c>
      <c r="C69" s="66" t="n">
        <f aca="false">TINV(2*C61,C62)</f>
        <v>1.78228755564932</v>
      </c>
    </row>
    <row r="70" customFormat="false" ht="15" hidden="false" customHeight="true" outlineLevel="0" collapsed="false">
      <c r="B70" s="10" t="s">
        <v>2236</v>
      </c>
      <c r="C70" s="66" t="n">
        <f aca="false">NORMSINV(1-C61/2)</f>
        <v>1.95996398454005</v>
      </c>
    </row>
    <row r="71" customFormat="false" ht="15" hidden="false" customHeight="true" outlineLevel="0" collapsed="false">
      <c r="B71" s="10" t="s">
        <v>2237</v>
      </c>
      <c r="C71" s="66" t="n">
        <f aca="false">TDIST(ABS(C64),C62,2)</f>
        <v>0.039476198150094</v>
      </c>
    </row>
    <row r="72" customFormat="false" ht="15" hidden="false" customHeight="true" outlineLevel="0" collapsed="false">
      <c r="B72" s="10" t="s">
        <v>2238</v>
      </c>
      <c r="C72" s="66" t="n">
        <f aca="false">CHIINV(C61,C62)</f>
        <v>21.0260698174831</v>
      </c>
    </row>
    <row r="73" customFormat="false" ht="15" hidden="false" customHeight="true" outlineLevel="0" collapsed="false">
      <c r="B73" s="10" t="s">
        <v>2239</v>
      </c>
      <c r="C73" s="66" t="n">
        <f aca="false">CHIINV(1-C61,C62)</f>
        <v>5.22602948839264</v>
      </c>
    </row>
    <row r="74" customFormat="false" ht="15" hidden="false" customHeight="true" outlineLevel="0" collapsed="false">
      <c r="B74" s="10" t="s">
        <v>2240</v>
      </c>
      <c r="C74" s="66" t="n">
        <f aca="false">CHIDIST(C65,C62)</f>
        <v>0.0448210713236522</v>
      </c>
    </row>
    <row r="75" customFormat="false" ht="15" hidden="false" customHeight="true" outlineLevel="0" collapsed="false">
      <c r="B75" s="10" t="s">
        <v>2241</v>
      </c>
      <c r="C75" s="66" t="n">
        <f aca="false">FINV(C61,C62,C63)</f>
        <v>2.47531297347577</v>
      </c>
    </row>
    <row r="76" customFormat="false" ht="15" hidden="false" customHeight="true" outlineLevel="0" collapsed="false">
      <c r="B76" s="10" t="s">
        <v>2242</v>
      </c>
      <c r="C76" s="66" t="n">
        <f aca="false">FDIST(C66,C62,C63)</f>
        <v>0.0292396101011612</v>
      </c>
    </row>
    <row r="78" customFormat="false" ht="15.75" hidden="false" customHeight="true" outlineLevel="0" collapsed="false">
      <c r="B78" s="7" t="s">
        <v>2243</v>
      </c>
      <c r="C78" s="8"/>
      <c r="D78" s="8"/>
      <c r="E78" s="8"/>
      <c r="F78" s="8"/>
      <c r="G78" s="8"/>
      <c r="H78" s="8"/>
      <c r="I78" s="8"/>
      <c r="J78" s="8"/>
      <c r="K78" s="8"/>
    </row>
    <row r="79" customFormat="false" ht="16.5" hidden="false" customHeight="true" outlineLevel="0" collapsed="false">
      <c r="B79" s="11" t="s">
        <v>2244</v>
      </c>
      <c r="C79" s="11" t="s">
        <v>2245</v>
      </c>
      <c r="D79" s="11" t="s">
        <v>2246</v>
      </c>
      <c r="E79" s="11" t="s">
        <v>2247</v>
      </c>
    </row>
    <row r="80" customFormat="false" ht="15" hidden="false" customHeight="true" outlineLevel="0" collapsed="false">
      <c r="B80" s="27" t="n">
        <v>2</v>
      </c>
      <c r="C80" s="66" t="n">
        <f aca="false">TINV(C61,2)</f>
        <v>4.30265272974946</v>
      </c>
      <c r="D80" s="66" t="n">
        <f aca="false">NORMSINV(1-C61/2)</f>
        <v>1.95996398454005</v>
      </c>
      <c r="E80" s="76" t="n">
        <f aca="false">C80/D80-1</f>
        <v>1.19527132319177</v>
      </c>
    </row>
    <row r="81" customFormat="false" ht="15" hidden="false" customHeight="true" outlineLevel="0" collapsed="false">
      <c r="B81" s="27" t="n">
        <v>5</v>
      </c>
      <c r="C81" s="66" t="n">
        <f aca="false">TINV(C61,5)</f>
        <v>2.57058183563632</v>
      </c>
      <c r="D81" s="66" t="n">
        <f aca="false">NORMSINV(1-C61/2)</f>
        <v>1.95996398454005</v>
      </c>
      <c r="E81" s="76" t="n">
        <f aca="false">C81/D81-1</f>
        <v>0.311545444667728</v>
      </c>
    </row>
    <row r="82" customFormat="false" ht="15" hidden="false" customHeight="true" outlineLevel="0" collapsed="false">
      <c r="B82" s="27" t="n">
        <v>10</v>
      </c>
      <c r="C82" s="66" t="n">
        <f aca="false">TINV(C61,10)</f>
        <v>2.22813885198627</v>
      </c>
      <c r="D82" s="66" t="n">
        <f aca="false">NORMSINV(1-C61/2)</f>
        <v>1.95996398454005</v>
      </c>
      <c r="E82" s="76" t="n">
        <f aca="false">C82/D82-1</f>
        <v>0.136826426180047</v>
      </c>
    </row>
    <row r="83" customFormat="false" ht="15" hidden="false" customHeight="true" outlineLevel="0" collapsed="false">
      <c r="B83" s="27" t="n">
        <v>15</v>
      </c>
      <c r="C83" s="66" t="n">
        <f aca="false">TINV(C61,15)</f>
        <v>2.13144954555978</v>
      </c>
      <c r="D83" s="66" t="n">
        <f aca="false">NORMSINV(1-C61/2)</f>
        <v>1.95996398454005</v>
      </c>
      <c r="E83" s="76" t="n">
        <f aca="false">C83/D83-1</f>
        <v>0.0874942409005359</v>
      </c>
    </row>
    <row r="84" customFormat="false" ht="15" hidden="false" customHeight="true" outlineLevel="0" collapsed="false">
      <c r="B84" s="27" t="n">
        <v>20</v>
      </c>
      <c r="C84" s="66" t="n">
        <f aca="false">TINV(C61,20)</f>
        <v>2.08596344726586</v>
      </c>
      <c r="D84" s="66" t="n">
        <f aca="false">NORMSINV(1-C61/2)</f>
        <v>1.95996398454005</v>
      </c>
      <c r="E84" s="76" t="n">
        <f aca="false">C84/D84-1</f>
        <v>0.0642866214479851</v>
      </c>
    </row>
    <row r="85" customFormat="false" ht="15" hidden="false" customHeight="true" outlineLevel="0" collapsed="false">
      <c r="B85" s="27" t="n">
        <v>30</v>
      </c>
      <c r="C85" s="66" t="n">
        <f aca="false">TINV(C61,30)</f>
        <v>2.04227245630124</v>
      </c>
      <c r="D85" s="66" t="n">
        <f aca="false">NORMSINV(1-C61/2)</f>
        <v>1.95996398454005</v>
      </c>
      <c r="E85" s="76" t="n">
        <f aca="false">C85/D85-1</f>
        <v>0.0419948899114591</v>
      </c>
    </row>
    <row r="86" customFormat="false" ht="15" hidden="false" customHeight="true" outlineLevel="0" collapsed="false">
      <c r="B86" s="27" t="n">
        <v>60</v>
      </c>
      <c r="C86" s="66" t="n">
        <f aca="false">TINV(C61,60)</f>
        <v>2.00029782201426</v>
      </c>
      <c r="D86" s="66" t="n">
        <f aca="false">NORMSINV(1-C61/2)</f>
        <v>1.95996398454005</v>
      </c>
      <c r="E86" s="76" t="n">
        <f aca="false">C86/D86-1</f>
        <v>0.0205788666487525</v>
      </c>
    </row>
    <row r="87" customFormat="false" ht="15" hidden="false" customHeight="true" outlineLevel="0" collapsed="false">
      <c r="B87" s="27" t="n">
        <v>120</v>
      </c>
      <c r="C87" s="66" t="n">
        <f aca="false">TINV(C61,120)</f>
        <v>1.97993040508244</v>
      </c>
      <c r="D87" s="66" t="n">
        <f aca="false">NORMSINV(1-C61/2)</f>
        <v>1.95996398454005</v>
      </c>
      <c r="E87" s="76" t="n">
        <f aca="false">C87/D87-1</f>
        <v>0.0101871364473431</v>
      </c>
    </row>
    <row r="88" customFormat="false" ht="15" hidden="false" customHeight="true" outlineLevel="0" collapsed="false">
      <c r="B88" s="27" t="n">
        <v>1000</v>
      </c>
      <c r="C88" s="66" t="n">
        <f aca="false">TINV(C61,1000)</f>
        <v>1.96233908082641</v>
      </c>
      <c r="D88" s="66" t="n">
        <f aca="false">NORMSINV(1-C61/2)</f>
        <v>1.95996398454005</v>
      </c>
      <c r="E88" s="76" t="n">
        <f aca="false">C88/D88-1</f>
        <v>0.00121180608678917</v>
      </c>
    </row>
    <row r="90" customFormat="false" ht="15.75" hidden="false" customHeight="true" outlineLevel="0" collapsed="false">
      <c r="B90" s="7" t="s">
        <v>1493</v>
      </c>
      <c r="C90" s="8"/>
      <c r="D90" s="8"/>
      <c r="E90" s="8"/>
      <c r="F90" s="8"/>
      <c r="G90" s="8"/>
      <c r="H90" s="8"/>
      <c r="I90" s="8"/>
      <c r="J90" s="8"/>
      <c r="K90" s="8"/>
    </row>
    <row r="91" customFormat="false" ht="15.75" hidden="false" customHeight="true" outlineLevel="0" collapsed="false">
      <c r="B91" s="53" t="s">
        <v>1494</v>
      </c>
      <c r="C91" s="42" t="str">
        <f aca="false">IF(C71&lt;C61,"OBSERVED t IS SIGNIFICANT at the chosen alpha","OBSERVED t IS NOT SIGNIFICANT at the chosen alpha - check the power on E-19 before concluding no effect")</f>
        <v>OBSERVED t IS SIGNIFICANT at the chosen alpha</v>
      </c>
    </row>
    <row r="93" customFormat="false" ht="16.5" hidden="false" customHeight="true" outlineLevel="0" collapsed="false">
      <c r="B93" s="11" t="s">
        <v>1495</v>
      </c>
      <c r="C93" s="11" t="s">
        <v>1496</v>
      </c>
      <c r="D93" s="11" t="s">
        <v>1497</v>
      </c>
    </row>
    <row r="94" customFormat="false" ht="30.75" hidden="false" customHeight="true" outlineLevel="0" collapsed="false">
      <c r="B94" s="12" t="s">
        <v>2248</v>
      </c>
      <c r="C94" s="12" t="s">
        <v>2249</v>
      </c>
      <c r="D94" s="12" t="s">
        <v>2250</v>
      </c>
    </row>
    <row r="95" customFormat="false" ht="44.25" hidden="false" customHeight="true" outlineLevel="0" collapsed="false">
      <c r="B95" s="12" t="s">
        <v>2251</v>
      </c>
      <c r="C95" s="12" t="s">
        <v>2252</v>
      </c>
      <c r="D95" s="12" t="s">
        <v>2253</v>
      </c>
    </row>
    <row r="96" customFormat="false" ht="30.75" hidden="false" customHeight="true" outlineLevel="0" collapsed="false">
      <c r="B96" s="12" t="s">
        <v>2254</v>
      </c>
      <c r="C96" s="12" t="s">
        <v>2255</v>
      </c>
      <c r="D96" s="12" t="s">
        <v>2256</v>
      </c>
    </row>
    <row r="97" customFormat="false" ht="44.25" hidden="false" customHeight="true" outlineLevel="0" collapsed="false">
      <c r="B97" s="12" t="s">
        <v>2257</v>
      </c>
      <c r="C97" s="12" t="s">
        <v>2258</v>
      </c>
      <c r="D97" s="12" t="s">
        <v>2259</v>
      </c>
    </row>
    <row r="99" customFormat="false" ht="15" hidden="false" customHeight="true" outlineLevel="0" collapsed="false">
      <c r="B99" s="55" t="s">
        <v>1507</v>
      </c>
    </row>
    <row r="100" customFormat="false" ht="17.25" hidden="false" customHeight="true" outlineLevel="0" collapsed="false">
      <c r="B100" s="9" t="s">
        <v>2260</v>
      </c>
      <c r="C100" s="9"/>
      <c r="D100" s="9"/>
      <c r="E100" s="9"/>
      <c r="F100" s="9"/>
    </row>
    <row r="101" customFormat="false" ht="17.25" hidden="false" customHeight="true" outlineLevel="0" collapsed="false">
      <c r="B101" s="9" t="s">
        <v>2261</v>
      </c>
      <c r="C101" s="9"/>
      <c r="D101" s="9"/>
      <c r="E101" s="9"/>
      <c r="F101" s="9"/>
    </row>
    <row r="102" customFormat="false" ht="17.25" hidden="false" customHeight="true" outlineLevel="0" collapsed="false">
      <c r="B102" s="9" t="s">
        <v>2262</v>
      </c>
      <c r="C102" s="9"/>
      <c r="D102" s="9"/>
      <c r="E102" s="9"/>
      <c r="F102" s="9"/>
    </row>
    <row r="103" customFormat="false" ht="17.25" hidden="false" customHeight="true" outlineLevel="0" collapsed="false">
      <c r="B103" s="9" t="s">
        <v>2263</v>
      </c>
      <c r="C103" s="9"/>
      <c r="D103" s="9"/>
      <c r="E103" s="9"/>
      <c r="F103" s="9"/>
    </row>
    <row r="104" customFormat="false" ht="17.25" hidden="false" customHeight="true" outlineLevel="0" collapsed="false">
      <c r="B104" s="9" t="s">
        <v>2264</v>
      </c>
      <c r="C104" s="9"/>
      <c r="D104" s="9"/>
      <c r="E104" s="9"/>
      <c r="F104" s="9"/>
    </row>
    <row r="106" customFormat="false" ht="15.75" hidden="false" customHeight="true" outlineLevel="0" collapsed="false">
      <c r="B106" s="7" t="s">
        <v>1513</v>
      </c>
      <c r="C106" s="8"/>
      <c r="D106" s="8"/>
      <c r="E106" s="8"/>
      <c r="F106" s="8"/>
      <c r="G106" s="8"/>
      <c r="H106" s="8"/>
      <c r="I106" s="8"/>
      <c r="J106" s="8"/>
      <c r="K106" s="8"/>
    </row>
    <row r="107" customFormat="false" ht="17.25" hidden="false" customHeight="true" outlineLevel="0" collapsed="false">
      <c r="B107" s="9" t="s">
        <v>1514</v>
      </c>
      <c r="C107" s="9"/>
      <c r="D107" s="9"/>
      <c r="E107" s="9"/>
      <c r="F107" s="9"/>
      <c r="N107" s="56" t="s">
        <v>1515</v>
      </c>
    </row>
    <row r="108" customFormat="false" ht="17.25" hidden="false" customHeight="true" outlineLevel="0" collapsed="false">
      <c r="B108" s="9" t="s">
        <v>2265</v>
      </c>
      <c r="C108" s="9"/>
      <c r="D108" s="9"/>
      <c r="E108" s="9"/>
      <c r="F108" s="9"/>
      <c r="N108" s="57" t="s">
        <v>2266</v>
      </c>
    </row>
    <row r="109" customFormat="false" ht="17.25" hidden="false" customHeight="true" outlineLevel="0" collapsed="false">
      <c r="B109" s="9" t="s">
        <v>2267</v>
      </c>
      <c r="C109" s="9"/>
      <c r="D109" s="9"/>
      <c r="E109" s="9"/>
      <c r="F109" s="9"/>
      <c r="N109" s="57" t="s">
        <v>2268</v>
      </c>
    </row>
    <row r="110" customFormat="false" ht="17.25" hidden="false" customHeight="true" outlineLevel="0" collapsed="false">
      <c r="B110" s="9" t="s">
        <v>2269</v>
      </c>
      <c r="C110" s="9"/>
      <c r="D110" s="9"/>
      <c r="E110" s="9"/>
      <c r="F110" s="9"/>
      <c r="N110" s="57" t="s">
        <v>2270</v>
      </c>
    </row>
    <row r="112" customFormat="false" ht="15.75" hidden="false" customHeight="true" outlineLevel="0" collapsed="false">
      <c r="B112" s="7" t="s">
        <v>1522</v>
      </c>
      <c r="C112" s="8"/>
      <c r="D112" s="8"/>
      <c r="E112" s="8"/>
      <c r="F112" s="8"/>
      <c r="G112" s="8"/>
      <c r="H112" s="8"/>
      <c r="I112" s="8"/>
      <c r="J112" s="8"/>
      <c r="K112" s="8"/>
    </row>
    <row r="113" customFormat="false" ht="16.5" hidden="false" customHeight="true" outlineLevel="0" collapsed="false">
      <c r="B113" s="11" t="s">
        <v>1523</v>
      </c>
      <c r="C113" s="11" t="s">
        <v>1524</v>
      </c>
      <c r="D113" s="11" t="s">
        <v>2271</v>
      </c>
    </row>
    <row r="114" customFormat="false" ht="30.75" hidden="false" customHeight="true" outlineLevel="0" collapsed="false">
      <c r="B114" s="58" t="s">
        <v>2075</v>
      </c>
      <c r="C114" s="58" t="s">
        <v>2272</v>
      </c>
      <c r="D114" s="58" t="s">
        <v>2273</v>
      </c>
    </row>
  </sheetData>
  <mergeCells count="36">
    <mergeCell ref="B2:J2"/>
    <mergeCell ref="D3:E3"/>
    <mergeCell ref="C6:D6"/>
    <mergeCell ref="C7:D7"/>
    <mergeCell ref="C8:D8"/>
    <mergeCell ref="B11:F11"/>
    <mergeCell ref="B12:F14"/>
    <mergeCell ref="B15:F16"/>
    <mergeCell ref="B17:F18"/>
    <mergeCell ref="B19:F19"/>
    <mergeCell ref="B20:F20"/>
    <mergeCell ref="B23:D23"/>
    <mergeCell ref="E23:F23"/>
    <mergeCell ref="B24:D24"/>
    <mergeCell ref="E24:F24"/>
    <mergeCell ref="B25:D25"/>
    <mergeCell ref="E25:F25"/>
    <mergeCell ref="B26:D26"/>
    <mergeCell ref="E26:F26"/>
    <mergeCell ref="B27:F27"/>
    <mergeCell ref="B36:F36"/>
    <mergeCell ref="B38:F38"/>
    <mergeCell ref="B40:F40"/>
    <mergeCell ref="B42:F43"/>
    <mergeCell ref="B54:F54"/>
    <mergeCell ref="B57:F57"/>
    <mergeCell ref="B58:F58"/>
    <mergeCell ref="B100:F100"/>
    <mergeCell ref="B101:F101"/>
    <mergeCell ref="B102:F102"/>
    <mergeCell ref="B103:F103"/>
    <mergeCell ref="B104:F104"/>
    <mergeCell ref="B107:F107"/>
    <mergeCell ref="B108:F108"/>
    <mergeCell ref="B109:F109"/>
    <mergeCell ref="B110:F110"/>
  </mergeCells>
  <hyperlinks>
    <hyperlink ref="B3" location="'N-03 Index DMAIC'!A1" display="← Back to Index"/>
    <hyperlink ref="E30" location="'E-26 One-Way ANOVA'!A1" display="E-26  One-Way ANOVA with Tukey HSD"/>
    <hyperlink ref="E31" location="'E-32 Normality Testing'!A1" display="E-32  Normality Testing and Probability Plots"/>
    <hyperlink ref="E32" location="'E-17 Hypothesis Framework'!A1" display="E-17  The Hypothesis Testing Framework"/>
    <hyperlink ref="B114" location="'E-08 Central Limit Theorem'!A1" display="E-08  Central Limit Theorem (Live Simulation)"/>
    <hyperlink ref="C114" location="'E-10 Binomial Distribution'!A1" display="E-10  Binomial Distribution (Defective Units)"/>
    <hyperlink ref="D114" location="'U-01 Statistical Tables'!A1" display="U-01  Z, t, Chi-Square and F Tabl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2274</v>
      </c>
      <c r="C2" s="3"/>
      <c r="D2" s="3"/>
      <c r="E2" s="3"/>
      <c r="F2" s="3"/>
      <c r="G2" s="3"/>
      <c r="H2" s="3"/>
      <c r="I2" s="3"/>
      <c r="J2" s="3"/>
      <c r="K2" s="46" t="s">
        <v>1389</v>
      </c>
    </row>
    <row r="3" customFormat="false" ht="42" hidden="false" customHeight="true" outlineLevel="0" collapsed="false">
      <c r="B3" s="5" t="s">
        <v>3</v>
      </c>
      <c r="D3" s="6" t="s">
        <v>2275</v>
      </c>
      <c r="E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2276</v>
      </c>
      <c r="D6" s="9"/>
    </row>
    <row r="7" customFormat="false" ht="31.5" hidden="false" customHeight="true" outlineLevel="0" collapsed="false">
      <c r="B7" s="47" t="s">
        <v>1394</v>
      </c>
      <c r="C7" s="9" t="s">
        <v>2277</v>
      </c>
      <c r="D7" s="9"/>
    </row>
    <row r="8" customFormat="false" ht="31.5" hidden="false" customHeight="true" outlineLevel="0" collapsed="false">
      <c r="B8" s="47" t="s">
        <v>1396</v>
      </c>
      <c r="C8" s="9" t="s">
        <v>2278</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0.5" hidden="false" customHeight="true" outlineLevel="0" collapsed="false">
      <c r="B11" s="9" t="s">
        <v>2279</v>
      </c>
      <c r="C11" s="9"/>
      <c r="D11" s="9"/>
      <c r="E11" s="9"/>
      <c r="F11" s="9"/>
    </row>
    <row r="12" customFormat="false" ht="10.5" hidden="false" customHeight="true" outlineLevel="0" collapsed="false">
      <c r="B12" s="9"/>
      <c r="C12" s="9"/>
      <c r="D12" s="9"/>
      <c r="E12" s="9"/>
      <c r="F12" s="9"/>
    </row>
    <row r="13" customFormat="false" ht="10.5" hidden="false" customHeight="true" outlineLevel="0" collapsed="false">
      <c r="B13" s="9"/>
      <c r="C13" s="9"/>
      <c r="D13" s="9"/>
      <c r="E13" s="9"/>
      <c r="F13" s="9"/>
    </row>
    <row r="14" customFormat="false" ht="15" hidden="false" customHeight="true" outlineLevel="0" collapsed="false">
      <c r="B14" s="9" t="s">
        <v>2280</v>
      </c>
      <c r="C14" s="9"/>
      <c r="D14" s="9"/>
      <c r="E14" s="9"/>
      <c r="F14" s="9"/>
    </row>
    <row r="15" customFormat="false" ht="15" hidden="false" customHeight="true" outlineLevel="0" collapsed="false">
      <c r="B15" s="9"/>
      <c r="C15" s="9"/>
      <c r="D15" s="9"/>
      <c r="E15" s="9"/>
      <c r="F15" s="9"/>
    </row>
    <row r="16" customFormat="false" ht="15" hidden="false" customHeight="true" outlineLevel="0" collapsed="false">
      <c r="B16" s="9"/>
      <c r="C16" s="9"/>
      <c r="D16" s="9"/>
      <c r="E16" s="9"/>
      <c r="F16" s="9"/>
    </row>
    <row r="17" customFormat="false" ht="15.75" hidden="false" customHeight="true" outlineLevel="0" collapsed="false">
      <c r="B17" s="9" t="s">
        <v>2281</v>
      </c>
      <c r="C17" s="9"/>
      <c r="D17" s="9"/>
      <c r="E17" s="9"/>
      <c r="F17" s="9"/>
    </row>
    <row r="18" customFormat="false" ht="15.75" hidden="false" customHeight="true" outlineLevel="0" collapsed="false">
      <c r="B18" s="9"/>
      <c r="C18" s="9"/>
      <c r="D18" s="9"/>
      <c r="E18" s="9"/>
      <c r="F18" s="9"/>
    </row>
    <row r="19" customFormat="false" ht="17.25" hidden="false" customHeight="true" outlineLevel="0" collapsed="false">
      <c r="B19" s="9" t="s">
        <v>2282</v>
      </c>
      <c r="C19" s="9"/>
      <c r="D19" s="9"/>
      <c r="E19" s="9"/>
      <c r="F19" s="9"/>
    </row>
    <row r="20" customFormat="false" ht="17.25" hidden="false" customHeight="true" outlineLevel="0" collapsed="false">
      <c r="B20" s="9" t="s">
        <v>2283</v>
      </c>
      <c r="C20" s="9"/>
      <c r="D20" s="9"/>
      <c r="E20" s="9"/>
      <c r="F20" s="9"/>
    </row>
    <row r="22" customFormat="false" ht="15.75" hidden="false" customHeight="true" outlineLevel="0" collapsed="false">
      <c r="B22" s="7" t="s">
        <v>1406</v>
      </c>
      <c r="C22" s="8"/>
      <c r="D22" s="8"/>
      <c r="E22" s="8"/>
      <c r="F22" s="8"/>
      <c r="G22" s="8"/>
      <c r="H22" s="8"/>
      <c r="I22" s="8"/>
      <c r="J22" s="8"/>
      <c r="K22" s="8"/>
    </row>
    <row r="23" customFormat="false" ht="17.25" hidden="false" customHeight="true" outlineLevel="0" collapsed="false">
      <c r="B23" s="48" t="s">
        <v>1407</v>
      </c>
      <c r="C23" s="48"/>
      <c r="E23" s="49" t="s">
        <v>1408</v>
      </c>
      <c r="F23" s="49"/>
    </row>
    <row r="24" customFormat="false" ht="31.5" hidden="false" customHeight="true" outlineLevel="0" collapsed="false">
      <c r="B24" s="23" t="s">
        <v>2284</v>
      </c>
      <c r="C24" s="23"/>
      <c r="E24" s="23" t="s">
        <v>2285</v>
      </c>
      <c r="F24" s="23"/>
    </row>
    <row r="25" customFormat="false" ht="45.75" hidden="false" customHeight="true" outlineLevel="0" collapsed="false">
      <c r="B25" s="23" t="s">
        <v>2286</v>
      </c>
      <c r="C25" s="23"/>
      <c r="E25" s="23" t="s">
        <v>2287</v>
      </c>
      <c r="F25" s="23"/>
    </row>
    <row r="26" customFormat="false" ht="45.75" hidden="false" customHeight="true" outlineLevel="0" collapsed="false">
      <c r="B26" s="23" t="s">
        <v>2288</v>
      </c>
      <c r="C26" s="23"/>
      <c r="E26" s="23" t="s">
        <v>2289</v>
      </c>
      <c r="F26" s="23"/>
    </row>
    <row r="27" customFormat="false" ht="17.25" hidden="false" customHeight="true" outlineLevel="0" collapsed="false">
      <c r="B27" s="23" t="s">
        <v>2290</v>
      </c>
      <c r="C27" s="23"/>
      <c r="D27" s="23"/>
      <c r="E27" s="23"/>
      <c r="F27" s="23"/>
    </row>
    <row r="29" customFormat="false" ht="16.5" hidden="false" customHeight="true" outlineLevel="0" collapsed="false">
      <c r="B29" s="11" t="s">
        <v>1416</v>
      </c>
      <c r="C29" s="11" t="s">
        <v>1417</v>
      </c>
      <c r="D29" s="11" t="s">
        <v>1418</v>
      </c>
      <c r="E29" s="11" t="s">
        <v>1419</v>
      </c>
    </row>
    <row r="30" customFormat="false" ht="30.75" hidden="false" customHeight="true" outlineLevel="0" collapsed="false">
      <c r="B30" s="12" t="s">
        <v>2291</v>
      </c>
      <c r="C30" s="12" t="s">
        <v>2292</v>
      </c>
      <c r="D30" s="12" t="s">
        <v>2293</v>
      </c>
      <c r="E30" s="50" t="s">
        <v>1546</v>
      </c>
    </row>
    <row r="31" customFormat="false" ht="30.75" hidden="false" customHeight="true" outlineLevel="0" collapsed="false">
      <c r="B31" s="12" t="s">
        <v>2294</v>
      </c>
      <c r="C31" s="12" t="s">
        <v>2295</v>
      </c>
      <c r="D31" s="12" t="s">
        <v>2296</v>
      </c>
      <c r="E31" s="50" t="s">
        <v>1072</v>
      </c>
    </row>
    <row r="32" customFormat="false" ht="30.75" hidden="false" customHeight="true" outlineLevel="0" collapsed="false">
      <c r="B32" s="12" t="s">
        <v>2297</v>
      </c>
      <c r="C32" s="12" t="s">
        <v>2298</v>
      </c>
      <c r="D32" s="12" t="s">
        <v>2299</v>
      </c>
      <c r="E32" s="50" t="s">
        <v>2300</v>
      </c>
    </row>
    <row r="34" customFormat="false" ht="15.75" hidden="false" customHeight="true" outlineLevel="0" collapsed="false">
      <c r="B34" s="7" t="s">
        <v>1429</v>
      </c>
      <c r="C34" s="8"/>
      <c r="D34" s="8"/>
      <c r="E34" s="8"/>
      <c r="F34" s="8"/>
      <c r="G34" s="8"/>
      <c r="H34" s="8"/>
      <c r="I34" s="8"/>
      <c r="J34" s="8"/>
      <c r="K34" s="8"/>
    </row>
    <row r="35" customFormat="false" ht="17.25" hidden="false" customHeight="true" outlineLevel="0" collapsed="false">
      <c r="B35" s="51" t="s">
        <v>2301</v>
      </c>
      <c r="C35" s="51"/>
      <c r="D35" s="51"/>
      <c r="E35" s="51"/>
      <c r="F35" s="51"/>
    </row>
    <row r="36" customFormat="false" ht="17.25" hidden="false" customHeight="true" outlineLevel="0" collapsed="false">
      <c r="B36" s="52" t="s">
        <v>2302</v>
      </c>
      <c r="C36" s="52"/>
      <c r="D36" s="52"/>
      <c r="E36" s="52"/>
      <c r="F36" s="52"/>
    </row>
    <row r="37" customFormat="false" ht="17.25" hidden="false" customHeight="true" outlineLevel="0" collapsed="false">
      <c r="B37" s="52" t="s">
        <v>2303</v>
      </c>
      <c r="C37" s="52"/>
      <c r="D37" s="52"/>
      <c r="E37" s="52"/>
      <c r="F37" s="52"/>
    </row>
    <row r="38" customFormat="false" ht="15" hidden="false" customHeight="true" outlineLevel="0" collapsed="false">
      <c r="B38" s="47" t="s">
        <v>2304</v>
      </c>
    </row>
    <row r="39" customFormat="false" ht="15" hidden="false" customHeight="true" outlineLevel="0" collapsed="false">
      <c r="B39" s="59" t="s">
        <v>2305</v>
      </c>
    </row>
    <row r="40" customFormat="false" ht="15" hidden="false" customHeight="true" outlineLevel="0" collapsed="false">
      <c r="B40" s="59" t="s">
        <v>2306</v>
      </c>
    </row>
    <row r="41" customFormat="false" ht="15" hidden="false" customHeight="true" outlineLevel="0" collapsed="false">
      <c r="B41" s="59" t="s">
        <v>2307</v>
      </c>
    </row>
    <row r="42" customFormat="false" ht="17.25" hidden="false" customHeight="true" outlineLevel="0" collapsed="false">
      <c r="B42" s="51" t="s">
        <v>2308</v>
      </c>
      <c r="C42" s="51"/>
      <c r="D42" s="51"/>
      <c r="E42" s="51"/>
      <c r="F42" s="51"/>
    </row>
    <row r="43" customFormat="false" ht="15" hidden="false" customHeight="true" outlineLevel="0" collapsed="false">
      <c r="B43" s="59" t="s">
        <v>2309</v>
      </c>
    </row>
    <row r="45" customFormat="false" ht="15.75" hidden="false" customHeight="true" outlineLevel="0" collapsed="false">
      <c r="B45" s="7" t="s">
        <v>1437</v>
      </c>
      <c r="C45" s="8"/>
      <c r="D45" s="8"/>
      <c r="E45" s="8"/>
      <c r="F45" s="8"/>
      <c r="G45" s="8"/>
      <c r="H45" s="8"/>
      <c r="I45" s="8"/>
      <c r="J45" s="8"/>
      <c r="K45" s="8"/>
    </row>
    <row r="46" customFormat="false" ht="16.5" hidden="false" customHeight="true" outlineLevel="0" collapsed="false">
      <c r="B46" s="11" t="s">
        <v>1438</v>
      </c>
      <c r="C46" s="11" t="s">
        <v>1439</v>
      </c>
      <c r="D46" s="11" t="s">
        <v>1440</v>
      </c>
    </row>
    <row r="47" customFormat="false" ht="30.75" hidden="false" customHeight="true" outlineLevel="0" collapsed="false">
      <c r="B47" s="12" t="s">
        <v>2310</v>
      </c>
      <c r="C47" s="12" t="s">
        <v>2311</v>
      </c>
      <c r="D47" s="12" t="s">
        <v>2312</v>
      </c>
    </row>
    <row r="48" customFormat="false" ht="30.75" hidden="false" customHeight="true" outlineLevel="0" collapsed="false">
      <c r="B48" s="12" t="s">
        <v>2313</v>
      </c>
      <c r="C48" s="12" t="s">
        <v>2314</v>
      </c>
      <c r="D48" s="12" t="s">
        <v>2315</v>
      </c>
    </row>
    <row r="49" customFormat="false" ht="16.5" hidden="false" customHeight="true" outlineLevel="0" collapsed="false">
      <c r="B49" s="12" t="s">
        <v>2316</v>
      </c>
      <c r="C49" s="12" t="s">
        <v>2317</v>
      </c>
      <c r="D49" s="12" t="s">
        <v>2318</v>
      </c>
    </row>
    <row r="50" customFormat="false" ht="16.5" hidden="false" customHeight="true" outlineLevel="0" collapsed="false">
      <c r="B50" s="12" t="s">
        <v>1571</v>
      </c>
      <c r="C50" s="12" t="s">
        <v>2319</v>
      </c>
      <c r="D50" s="12" t="s">
        <v>2320</v>
      </c>
    </row>
    <row r="51" customFormat="false" ht="30.75" hidden="false" customHeight="true" outlineLevel="0" collapsed="false">
      <c r="B51" s="12" t="s">
        <v>2321</v>
      </c>
      <c r="C51" s="12" t="s">
        <v>2322</v>
      </c>
      <c r="D51" s="12" t="s">
        <v>2323</v>
      </c>
    </row>
    <row r="52" customFormat="false" ht="28.5" hidden="false" customHeight="true" outlineLevel="0" collapsed="false">
      <c r="B52" s="16" t="s">
        <v>1453</v>
      </c>
      <c r="C52" s="16"/>
      <c r="D52" s="16"/>
      <c r="E52" s="16"/>
      <c r="F52" s="16"/>
    </row>
    <row r="54" customFormat="false" ht="15.75" hidden="false" customHeight="true" outlineLevel="0" collapsed="false">
      <c r="B54" s="7" t="s">
        <v>1454</v>
      </c>
      <c r="C54" s="8"/>
      <c r="D54" s="8"/>
      <c r="E54" s="8"/>
      <c r="F54" s="8"/>
      <c r="G54" s="8"/>
      <c r="H54" s="8"/>
      <c r="I54" s="8"/>
      <c r="J54" s="8"/>
      <c r="K54" s="8"/>
    </row>
    <row r="55" customFormat="false" ht="15.75" hidden="false" customHeight="true" outlineLevel="0" collapsed="false">
      <c r="B55" s="9" t="s">
        <v>2324</v>
      </c>
      <c r="C55" s="9"/>
      <c r="D55" s="9"/>
      <c r="E55" s="9"/>
      <c r="F55" s="9"/>
    </row>
    <row r="56" customFormat="false" ht="15.75" hidden="false" customHeight="true" outlineLevel="0" collapsed="false">
      <c r="B56" s="9"/>
      <c r="C56" s="9"/>
      <c r="D56" s="9"/>
      <c r="E56" s="9"/>
      <c r="F56" s="9"/>
    </row>
    <row r="57" customFormat="false" ht="15" hidden="false" customHeight="true" outlineLevel="0" collapsed="false">
      <c r="B57" s="19" t="s">
        <v>85</v>
      </c>
      <c r="C57" s="41" t="s">
        <v>86</v>
      </c>
    </row>
    <row r="59" customFormat="false" ht="15" hidden="false" customHeight="true" outlineLevel="0" collapsed="false">
      <c r="B59" s="10" t="s">
        <v>1585</v>
      </c>
      <c r="C59" s="65" t="n">
        <v>200</v>
      </c>
    </row>
    <row r="60" customFormat="false" ht="15" hidden="false" customHeight="true" outlineLevel="0" collapsed="false">
      <c r="B60" s="10" t="s">
        <v>2325</v>
      </c>
      <c r="C60" s="75" t="n">
        <v>0.015</v>
      </c>
    </row>
    <row r="61" customFormat="false" ht="15" hidden="false" customHeight="true" outlineLevel="0" collapsed="false">
      <c r="B61" s="10" t="s">
        <v>2326</v>
      </c>
      <c r="C61" s="65" t="n">
        <v>5</v>
      </c>
    </row>
    <row r="62" customFormat="false" ht="15" hidden="false" customHeight="true" outlineLevel="0" collapsed="false">
      <c r="B62" s="10" t="s">
        <v>2327</v>
      </c>
      <c r="C62" s="65" t="n">
        <v>3</v>
      </c>
    </row>
    <row r="64" customFormat="false" ht="15" hidden="false" customHeight="true" outlineLevel="0" collapsed="false">
      <c r="B64" s="10" t="s">
        <v>2328</v>
      </c>
      <c r="C64" s="77" t="n">
        <f aca="false">BINOMDIST(C61,C59,C60,FALSE())</f>
        <v>0.101067274956071</v>
      </c>
    </row>
    <row r="65" customFormat="false" ht="15" hidden="false" customHeight="true" outlineLevel="0" collapsed="false">
      <c r="B65" s="10" t="s">
        <v>2329</v>
      </c>
      <c r="C65" s="77" t="n">
        <f aca="false">BINOMDIST(C61,C59,C60,TRUE())</f>
        <v>0.917608302288006</v>
      </c>
    </row>
    <row r="66" customFormat="false" ht="15" hidden="false" customHeight="true" outlineLevel="0" collapsed="false">
      <c r="B66" s="10" t="s">
        <v>2330</v>
      </c>
      <c r="C66" s="77" t="n">
        <f aca="false">1-BINOMDIST(C61,C59,C60,TRUE())</f>
        <v>0.0823916977119941</v>
      </c>
    </row>
    <row r="67" customFormat="false" ht="15" hidden="false" customHeight="true" outlineLevel="0" collapsed="false">
      <c r="B67" s="10" t="s">
        <v>2331</v>
      </c>
      <c r="C67" s="64" t="n">
        <f aca="false">C59*C60</f>
        <v>3</v>
      </c>
    </row>
    <row r="68" customFormat="false" ht="15" hidden="false" customHeight="true" outlineLevel="0" collapsed="false">
      <c r="B68" s="10" t="s">
        <v>2332</v>
      </c>
      <c r="C68" s="63" t="n">
        <f aca="false">C59*C60*(1-C60)</f>
        <v>2.955</v>
      </c>
    </row>
    <row r="69" customFormat="false" ht="15" hidden="false" customHeight="true" outlineLevel="0" collapsed="false">
      <c r="B69" s="10" t="s">
        <v>1477</v>
      </c>
      <c r="C69" s="63" t="n">
        <f aca="false">SQRT(C68)</f>
        <v>1.71901134376711</v>
      </c>
    </row>
    <row r="70" customFormat="false" ht="15" hidden="false" customHeight="true" outlineLevel="0" collapsed="false">
      <c r="B70" s="10" t="s">
        <v>2333</v>
      </c>
      <c r="C70" s="66" t="n">
        <f aca="false">BINOMDIST(C62,C59,C60,TRUE())</f>
        <v>0.647236153468448</v>
      </c>
    </row>
    <row r="71" customFormat="false" ht="15" hidden="false" customHeight="true" outlineLevel="0" collapsed="false">
      <c r="B71" s="10" t="s">
        <v>2334</v>
      </c>
      <c r="C71" s="76" t="n">
        <f aca="false">C70</f>
        <v>0.647236153468448</v>
      </c>
    </row>
    <row r="72" customFormat="false" ht="15" hidden="false" customHeight="true" outlineLevel="0" collapsed="false">
      <c r="B72" s="10" t="s">
        <v>2335</v>
      </c>
      <c r="C72" s="41" t="str">
        <f aca="false">IF(AND(C59*C60&gt;=5,C59*(1-C60)&gt;=5),"Yes","No - use the exact binomial")</f>
        <v>No - use the exact binomial</v>
      </c>
    </row>
    <row r="74" customFormat="false" ht="18" hidden="false" customHeight="true" outlineLevel="0" collapsed="false">
      <c r="B74" s="7" t="s">
        <v>2336</v>
      </c>
      <c r="C74" s="8"/>
      <c r="D74" s="8"/>
      <c r="E74" s="8"/>
      <c r="F74" s="8"/>
      <c r="G74" s="8"/>
      <c r="H74" s="8"/>
      <c r="I74" s="8"/>
      <c r="J74" s="8"/>
      <c r="K74" s="8"/>
    </row>
    <row r="75" customFormat="false" ht="27.75" hidden="false" customHeight="true" outlineLevel="0" collapsed="false">
      <c r="B75" s="11" t="s">
        <v>2337</v>
      </c>
      <c r="C75" s="11" t="s">
        <v>2338</v>
      </c>
      <c r="D75" s="11" t="s">
        <v>2339</v>
      </c>
    </row>
    <row r="76" customFormat="false" ht="15" hidden="false" customHeight="true" outlineLevel="0" collapsed="false">
      <c r="B76" s="27" t="n">
        <v>0</v>
      </c>
      <c r="C76" s="66" t="n">
        <f aca="false">BINOMDIST(B76,C59,C60,FALSE())</f>
        <v>0.0486682913784901</v>
      </c>
      <c r="D76" s="66" t="n">
        <f aca="false">BINOMDIST(B76,C59,C60,TRUE())</f>
        <v>0.0486682913784901</v>
      </c>
    </row>
    <row r="77" customFormat="false" ht="15" hidden="false" customHeight="true" outlineLevel="0" collapsed="false">
      <c r="B77" s="27" t="n">
        <v>1</v>
      </c>
      <c r="C77" s="66" t="n">
        <f aca="false">BINOMDIST(B77,C59,C60,FALSE())</f>
        <v>0.148228298614691</v>
      </c>
      <c r="D77" s="66" t="n">
        <f aca="false">BINOMDIST(B77,C59,C60,TRUE())</f>
        <v>0.196896589993181</v>
      </c>
    </row>
    <row r="78" customFormat="false" ht="15" hidden="false" customHeight="true" outlineLevel="0" collapsed="false">
      <c r="B78" s="27" t="n">
        <v>2</v>
      </c>
      <c r="C78" s="66" t="n">
        <f aca="false">BINOMDIST(B78,C59,C60,FALSE())</f>
        <v>0.224599731657285</v>
      </c>
      <c r="D78" s="66" t="n">
        <f aca="false">BINOMDIST(B78,C59,C60,TRUE())</f>
        <v>0.421496321650466</v>
      </c>
    </row>
    <row r="79" customFormat="false" ht="15" hidden="false" customHeight="true" outlineLevel="0" collapsed="false">
      <c r="B79" s="27" t="n">
        <v>3</v>
      </c>
      <c r="C79" s="66" t="n">
        <f aca="false">BINOMDIST(B79,C59,C60,FALSE())</f>
        <v>0.225739831817982</v>
      </c>
      <c r="D79" s="66" t="n">
        <f aca="false">BINOMDIST(B79,C59,C60,TRUE())</f>
        <v>0.647236153468448</v>
      </c>
    </row>
    <row r="80" customFormat="false" ht="15" hidden="false" customHeight="true" outlineLevel="0" collapsed="false">
      <c r="B80" s="27" t="n">
        <v>4</v>
      </c>
      <c r="C80" s="66" t="n">
        <f aca="false">BINOMDIST(B80,C59,C60,FALSE())</f>
        <v>0.169304873863487</v>
      </c>
      <c r="D80" s="66" t="n">
        <f aca="false">BINOMDIST(B80,C59,C60,TRUE())</f>
        <v>0.816541027331935</v>
      </c>
    </row>
    <row r="81" customFormat="false" ht="15" hidden="false" customHeight="true" outlineLevel="0" collapsed="false">
      <c r="B81" s="27" t="n">
        <v>5</v>
      </c>
      <c r="C81" s="66" t="n">
        <f aca="false">BINOMDIST(B81,C59,C60,FALSE())</f>
        <v>0.101067274956071</v>
      </c>
      <c r="D81" s="66" t="n">
        <f aca="false">BINOMDIST(B81,C59,C60,TRUE())</f>
        <v>0.917608302288006</v>
      </c>
    </row>
    <row r="82" customFormat="false" ht="15" hidden="false" customHeight="true" outlineLevel="0" collapsed="false">
      <c r="B82" s="27" t="n">
        <v>6</v>
      </c>
      <c r="C82" s="66" t="n">
        <f aca="false">BINOMDIST(B82,C59,C60,FALSE())</f>
        <v>0.0500206056254667</v>
      </c>
      <c r="D82" s="66" t="n">
        <f aca="false">BINOMDIST(B82,C59,C60,TRUE())</f>
        <v>0.967628907913473</v>
      </c>
    </row>
    <row r="83" customFormat="false" ht="15" hidden="false" customHeight="true" outlineLevel="0" collapsed="false">
      <c r="B83" s="27" t="n">
        <v>7</v>
      </c>
      <c r="C83" s="66" t="n">
        <f aca="false">BINOMDIST(B83,C59,C60,FALSE())</f>
        <v>0.0211109445061796</v>
      </c>
      <c r="D83" s="66" t="n">
        <f aca="false">BINOMDIST(B83,C59,C60,TRUE())</f>
        <v>0.988739852419652</v>
      </c>
    </row>
    <row r="84" customFormat="false" ht="15" hidden="false" customHeight="true" outlineLevel="0" collapsed="false">
      <c r="B84" s="27" t="n">
        <v>8</v>
      </c>
      <c r="C84" s="66" t="n">
        <f aca="false">BINOMDIST(B84,C59,C60,FALSE())</f>
        <v>0.00775586095753678</v>
      </c>
      <c r="D84" s="66" t="n">
        <f aca="false">BINOMDIST(B84,C59,C60,TRUE())</f>
        <v>0.996495713377189</v>
      </c>
    </row>
    <row r="85" customFormat="false" ht="15" hidden="false" customHeight="true" outlineLevel="0" collapsed="false">
      <c r="B85" s="27" t="n">
        <v>9</v>
      </c>
      <c r="C85" s="66" t="n">
        <f aca="false">BINOMDIST(B85,C59,C60,FALSE())</f>
        <v>0.00251967056488505</v>
      </c>
      <c r="D85" s="66" t="n">
        <f aca="false">BINOMDIST(B85,C59,C60,TRUE())</f>
        <v>0.999015383942074</v>
      </c>
    </row>
    <row r="86" customFormat="false" ht="15" hidden="false" customHeight="true" outlineLevel="0" collapsed="false">
      <c r="B86" s="27" t="n">
        <v>10</v>
      </c>
      <c r="C86" s="66" t="n">
        <f aca="false">BINOMDIST(B86,C59,C60,FALSE())</f>
        <v>0.000732878798821894</v>
      </c>
      <c r="D86" s="66" t="n">
        <f aca="false">BINOMDIST(B86,C59,C60,TRUE())</f>
        <v>0.999748262740896</v>
      </c>
    </row>
    <row r="87" customFormat="false" ht="15" hidden="false" customHeight="true" outlineLevel="0" collapsed="false">
      <c r="B87" s="27" t="n">
        <v>11</v>
      </c>
      <c r="C87" s="66" t="n">
        <f aca="false">BINOMDIST(B87,C59,C60,FALSE())</f>
        <v>0.000192773841868242</v>
      </c>
      <c r="D87" s="66" t="n">
        <f aca="false">BINOMDIST(B87,C59,C60,TRUE())</f>
        <v>0.999941036582764</v>
      </c>
    </row>
    <row r="88" customFormat="false" ht="15" hidden="false" customHeight="true" outlineLevel="0" collapsed="false">
      <c r="B88" s="27" t="n">
        <v>12</v>
      </c>
      <c r="C88" s="66" t="n">
        <f aca="false">BINOMDIST(B88,C59,C60,FALSE())</f>
        <v>4.62363656257585E-005</v>
      </c>
      <c r="D88" s="66" t="n">
        <f aca="false">BINOMDIST(B88,C59,C60,TRUE())</f>
        <v>0.99998727294839</v>
      </c>
    </row>
    <row r="89" customFormat="false" ht="15" hidden="false" customHeight="true" outlineLevel="0" collapsed="false">
      <c r="B89" s="27" t="n">
        <v>13</v>
      </c>
      <c r="C89" s="66" t="n">
        <f aca="false">BINOMDIST(B89,C59,C60,FALSE())</f>
        <v>1.01824717738882E-005</v>
      </c>
      <c r="D89" s="66" t="n">
        <f aca="false">BINOMDIST(B89,C59,C60,TRUE())</f>
        <v>0.999997455420164</v>
      </c>
    </row>
    <row r="90" customFormat="false" ht="15" hidden="false" customHeight="true" outlineLevel="0" collapsed="false">
      <c r="B90" s="27" t="n">
        <v>14</v>
      </c>
      <c r="C90" s="66" t="n">
        <f aca="false">BINOMDIST(B90,C59,C60,FALSE())</f>
        <v>2.07119893587792E-006</v>
      </c>
      <c r="D90" s="66" t="n">
        <f aca="false">BINOMDIST(B90,C59,C60,TRUE())</f>
        <v>0.9999995266191</v>
      </c>
    </row>
    <row r="91" customFormat="false" ht="15" hidden="false" customHeight="true" outlineLevel="0" collapsed="false">
      <c r="B91" s="27" t="n">
        <v>15</v>
      </c>
      <c r="C91" s="66" t="n">
        <f aca="false">BINOMDIST(B91,C59,C60,FALSE())</f>
        <v>3.91109646774917E-007</v>
      </c>
      <c r="D91" s="66" t="n">
        <f aca="false">BINOMDIST(B91,C59,C60,TRUE())</f>
        <v>0.999999917728746</v>
      </c>
    </row>
    <row r="93" customFormat="false" ht="15.75" hidden="false" customHeight="true" outlineLevel="0" collapsed="false">
      <c r="B93" s="7" t="s">
        <v>1493</v>
      </c>
      <c r="C93" s="8"/>
      <c r="D93" s="8"/>
      <c r="E93" s="8"/>
      <c r="F93" s="8"/>
      <c r="G93" s="8"/>
      <c r="H93" s="8"/>
      <c r="I93" s="8"/>
      <c r="J93" s="8"/>
      <c r="K93" s="8"/>
    </row>
    <row r="94" customFormat="false" ht="33.75" hidden="false" customHeight="true" outlineLevel="0" collapsed="false">
      <c r="B94" s="53" t="s">
        <v>1494</v>
      </c>
      <c r="C94" s="54" t="str">
        <f aca="false">IF(C70&gt;=0.1,"HIGH CONSUMER RISK - this sampling plan accepts a lot at this defect rate more than one time in ten. Increase n or lower the acceptance number.",IF(C70&gt;=0.05,"MODERATE CONSUMER RISK - acceptable only if the defect is not safety related","LOW CONSUMER RISK - the plan discriminates adequately at this defect rate"))</f>
        <v>HIGH CONSUMER RISK - this sampling plan accepts a lot at this defect rate more than one time in ten. Increase n or lower the acceptance number.</v>
      </c>
      <c r="D94" s="54"/>
      <c r="E94" s="54"/>
    </row>
    <row r="96" customFormat="false" ht="17.25" hidden="false" customHeight="true" outlineLevel="0" collapsed="false">
      <c r="B96" s="11" t="s">
        <v>1495</v>
      </c>
      <c r="C96" s="11" t="s">
        <v>1496</v>
      </c>
      <c r="D96" s="11" t="s">
        <v>1497</v>
      </c>
      <c r="E96" s="11"/>
    </row>
    <row r="97" customFormat="false" ht="17.25" hidden="false" customHeight="true" outlineLevel="0" collapsed="false">
      <c r="B97" s="12" t="s">
        <v>2340</v>
      </c>
      <c r="C97" s="12" t="s">
        <v>2341</v>
      </c>
      <c r="D97" s="12" t="s">
        <v>2342</v>
      </c>
      <c r="E97" s="12"/>
    </row>
    <row r="98" customFormat="false" ht="17.25" hidden="false" customHeight="true" outlineLevel="0" collapsed="false">
      <c r="B98" s="12" t="s">
        <v>2343</v>
      </c>
      <c r="C98" s="12" t="s">
        <v>2344</v>
      </c>
      <c r="D98" s="12" t="s">
        <v>2345</v>
      </c>
      <c r="E98" s="12"/>
    </row>
    <row r="99" customFormat="false" ht="17.25" hidden="false" customHeight="true" outlineLevel="0" collapsed="false">
      <c r="B99" s="12" t="s">
        <v>2148</v>
      </c>
      <c r="C99" s="12" t="s">
        <v>2346</v>
      </c>
      <c r="D99" s="12" t="s">
        <v>2347</v>
      </c>
      <c r="E99" s="12"/>
    </row>
    <row r="100" customFormat="false" ht="31.5" hidden="false" customHeight="true" outlineLevel="0" collapsed="false">
      <c r="B100" s="12" t="s">
        <v>2348</v>
      </c>
      <c r="C100" s="12" t="s">
        <v>2349</v>
      </c>
      <c r="D100" s="12" t="s">
        <v>2350</v>
      </c>
      <c r="E100" s="12"/>
    </row>
    <row r="102" customFormat="false" ht="15" hidden="false" customHeight="true" outlineLevel="0" collapsed="false">
      <c r="B102" s="55" t="s">
        <v>1507</v>
      </c>
    </row>
    <row r="103" customFormat="false" ht="17.25" hidden="false" customHeight="true" outlineLevel="0" collapsed="false">
      <c r="B103" s="9" t="s">
        <v>2351</v>
      </c>
      <c r="C103" s="9"/>
      <c r="D103" s="9"/>
      <c r="E103" s="9"/>
      <c r="F103" s="9"/>
    </row>
    <row r="104" customFormat="false" ht="31.5" hidden="false" customHeight="true" outlineLevel="0" collapsed="false">
      <c r="B104" s="9" t="s">
        <v>2352</v>
      </c>
      <c r="C104" s="9"/>
      <c r="D104" s="9"/>
      <c r="E104" s="9"/>
      <c r="F104" s="9"/>
    </row>
    <row r="105" customFormat="false" ht="17.25" hidden="false" customHeight="true" outlineLevel="0" collapsed="false">
      <c r="B105" s="9" t="s">
        <v>2353</v>
      </c>
      <c r="C105" s="9"/>
      <c r="D105" s="9"/>
      <c r="E105" s="9"/>
      <c r="F105" s="9"/>
    </row>
    <row r="106" customFormat="false" ht="17.25" hidden="false" customHeight="true" outlineLevel="0" collapsed="false">
      <c r="B106" s="9" t="s">
        <v>2354</v>
      </c>
      <c r="C106" s="9"/>
      <c r="D106" s="9"/>
      <c r="E106" s="9"/>
      <c r="F106" s="9"/>
    </row>
    <row r="107" customFormat="false" ht="17.25" hidden="false" customHeight="true" outlineLevel="0" collapsed="false">
      <c r="B107" s="9" t="s">
        <v>2355</v>
      </c>
      <c r="C107" s="9"/>
      <c r="D107" s="9"/>
      <c r="E107" s="9"/>
      <c r="F107" s="9"/>
    </row>
    <row r="109" customFormat="false" ht="15.75" hidden="false" customHeight="true" outlineLevel="0" collapsed="false">
      <c r="B109" s="7" t="s">
        <v>1513</v>
      </c>
      <c r="C109" s="8"/>
      <c r="D109" s="8"/>
      <c r="E109" s="8"/>
      <c r="F109" s="8"/>
      <c r="G109" s="8"/>
      <c r="H109" s="8"/>
      <c r="I109" s="8"/>
      <c r="J109" s="8"/>
      <c r="K109" s="8"/>
    </row>
    <row r="110" customFormat="false" ht="17.25" hidden="false" customHeight="true" outlineLevel="0" collapsed="false">
      <c r="B110" s="9" t="s">
        <v>1514</v>
      </c>
      <c r="C110" s="9"/>
      <c r="D110" s="9"/>
      <c r="E110" s="9"/>
      <c r="N110" s="56" t="s">
        <v>1515</v>
      </c>
    </row>
    <row r="111" customFormat="false" ht="31.5" hidden="false" customHeight="true" outlineLevel="0" collapsed="false">
      <c r="B111" s="9" t="s">
        <v>2356</v>
      </c>
      <c r="C111" s="9"/>
      <c r="D111" s="9"/>
      <c r="E111" s="9"/>
      <c r="N111" s="57" t="s">
        <v>2357</v>
      </c>
    </row>
    <row r="112" customFormat="false" ht="17.25" hidden="false" customHeight="true" outlineLevel="0" collapsed="false">
      <c r="B112" s="9" t="s">
        <v>2358</v>
      </c>
      <c r="C112" s="9"/>
      <c r="D112" s="9"/>
      <c r="E112" s="9"/>
      <c r="N112" s="57" t="s">
        <v>2359</v>
      </c>
    </row>
    <row r="113" customFormat="false" ht="17.25" hidden="false" customHeight="true" outlineLevel="0" collapsed="false">
      <c r="B113" s="9" t="s">
        <v>2360</v>
      </c>
      <c r="C113" s="9"/>
      <c r="D113" s="9"/>
      <c r="E113" s="9"/>
      <c r="N113" s="57" t="s">
        <v>2361</v>
      </c>
    </row>
    <row r="115" customFormat="false" ht="15.75" hidden="false" customHeight="true" outlineLevel="0" collapsed="false">
      <c r="B115" s="7" t="s">
        <v>1522</v>
      </c>
      <c r="C115" s="8"/>
      <c r="D115" s="8"/>
      <c r="E115" s="8"/>
      <c r="F115" s="8"/>
      <c r="G115" s="8"/>
      <c r="H115" s="8"/>
      <c r="I115" s="8"/>
      <c r="J115" s="8"/>
      <c r="K115" s="8"/>
    </row>
    <row r="116" customFormat="false" ht="16.5" hidden="false" customHeight="true" outlineLevel="0" collapsed="false">
      <c r="B116" s="11" t="s">
        <v>1523</v>
      </c>
      <c r="C116" s="11" t="s">
        <v>1524</v>
      </c>
      <c r="D116" s="11" t="s">
        <v>1615</v>
      </c>
    </row>
    <row r="117" customFormat="false" ht="30.75" hidden="false" customHeight="true" outlineLevel="0" collapsed="false">
      <c r="B117" s="58" t="s">
        <v>2171</v>
      </c>
      <c r="C117" s="58" t="s">
        <v>1093</v>
      </c>
      <c r="D117" s="58" t="s">
        <v>1072</v>
      </c>
    </row>
  </sheetData>
  <mergeCells count="40">
    <mergeCell ref="B2:J2"/>
    <mergeCell ref="D3:E3"/>
    <mergeCell ref="C6:D6"/>
    <mergeCell ref="C7:D7"/>
    <mergeCell ref="C8:D8"/>
    <mergeCell ref="B11:F13"/>
    <mergeCell ref="B14:F16"/>
    <mergeCell ref="B17:F18"/>
    <mergeCell ref="B19:F19"/>
    <mergeCell ref="B20:F20"/>
    <mergeCell ref="B23:C23"/>
    <mergeCell ref="E23:F23"/>
    <mergeCell ref="B24:C24"/>
    <mergeCell ref="E24:F24"/>
    <mergeCell ref="B25:C25"/>
    <mergeCell ref="E25:F25"/>
    <mergeCell ref="B26:C26"/>
    <mergeCell ref="E26:F26"/>
    <mergeCell ref="B27:F27"/>
    <mergeCell ref="B35:F35"/>
    <mergeCell ref="B36:F36"/>
    <mergeCell ref="B37:F37"/>
    <mergeCell ref="B42:F42"/>
    <mergeCell ref="B52:F52"/>
    <mergeCell ref="B55:F56"/>
    <mergeCell ref="C94:E94"/>
    <mergeCell ref="D96:E96"/>
    <mergeCell ref="D97:E97"/>
    <mergeCell ref="D98:E98"/>
    <mergeCell ref="D99:E99"/>
    <mergeCell ref="D100:E100"/>
    <mergeCell ref="B103:F103"/>
    <mergeCell ref="B104:F104"/>
    <mergeCell ref="B105:F105"/>
    <mergeCell ref="B106:F106"/>
    <mergeCell ref="B107:F107"/>
    <mergeCell ref="B110:E110"/>
    <mergeCell ref="B111:E111"/>
    <mergeCell ref="B112:E112"/>
    <mergeCell ref="B113:E113"/>
  </mergeCells>
  <hyperlinks>
    <hyperlink ref="B3" location="'N-03 Index DMAIC'!A1" display="← Back to Index"/>
    <hyperlink ref="E30" location="'E-05 Sampling Subgroups'!A1" display="E-05  Sampling Strategies and Rational Subgrouping"/>
    <hyperlink ref="E31" location="'E-52 p and np Charts'!A1" display="E-52  p and np Charts"/>
    <hyperlink ref="E32" location="'E-54 Laney p and u Charts'!A1" display="E-54  Laney p' and u' Charts (Overdispersion)"/>
    <hyperlink ref="B117" location="'E-09 t Chi2 F Distributions'!A1" display="E-09  The t, Chi-Square and F Distributions"/>
    <hyperlink ref="C117" location="'E-11 Poisson Distribution'!A1" display="E-11  Poisson Distribution (Defects per Unit)"/>
    <hyperlink ref="D117" location="'E-52 p and np Charts'!A1" display="E-52  p and np Char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2362</v>
      </c>
      <c r="C2" s="3"/>
      <c r="D2" s="3"/>
      <c r="E2" s="3"/>
      <c r="F2" s="3"/>
      <c r="G2" s="3"/>
      <c r="H2" s="3"/>
      <c r="I2" s="3"/>
      <c r="J2" s="3"/>
      <c r="K2" s="46" t="s">
        <v>1389</v>
      </c>
    </row>
    <row r="3" customFormat="false" ht="28.5" hidden="false" customHeight="true" outlineLevel="0" collapsed="false">
      <c r="B3" s="5" t="s">
        <v>3</v>
      </c>
      <c r="D3" s="6" t="s">
        <v>2363</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2364</v>
      </c>
      <c r="D6" s="9"/>
    </row>
    <row r="7" customFormat="false" ht="31.5" hidden="false" customHeight="true" outlineLevel="0" collapsed="false">
      <c r="B7" s="47" t="s">
        <v>1394</v>
      </c>
      <c r="C7" s="9" t="s">
        <v>2365</v>
      </c>
      <c r="D7" s="9"/>
    </row>
    <row r="8" customFormat="false" ht="31.5" hidden="false" customHeight="true" outlineLevel="0" collapsed="false">
      <c r="B8" s="47" t="s">
        <v>1396</v>
      </c>
      <c r="C8" s="9" t="s">
        <v>2366</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0.5" hidden="false" customHeight="true" outlineLevel="0" collapsed="false">
      <c r="B11" s="9" t="s">
        <v>2367</v>
      </c>
      <c r="C11" s="9"/>
      <c r="D11" s="9"/>
      <c r="E11" s="9"/>
      <c r="F11" s="9"/>
    </row>
    <row r="12" customFormat="false" ht="10.5" hidden="false" customHeight="true" outlineLevel="0" collapsed="false">
      <c r="B12" s="9"/>
      <c r="C12" s="9"/>
      <c r="D12" s="9"/>
      <c r="E12" s="9"/>
      <c r="F12" s="9"/>
    </row>
    <row r="13" customFormat="false" ht="10.5" hidden="false" customHeight="true" outlineLevel="0" collapsed="false">
      <c r="B13" s="9"/>
      <c r="C13" s="9"/>
      <c r="D13" s="9"/>
      <c r="E13" s="9"/>
      <c r="F13" s="9"/>
    </row>
    <row r="14" customFormat="false" ht="15" hidden="false" customHeight="true" outlineLevel="0" collapsed="false">
      <c r="B14" s="9" t="s">
        <v>2368</v>
      </c>
      <c r="C14" s="9"/>
      <c r="D14" s="9"/>
      <c r="E14" s="9"/>
      <c r="F14" s="9"/>
    </row>
    <row r="15" customFormat="false" ht="15" hidden="false" customHeight="true" outlineLevel="0" collapsed="false">
      <c r="B15" s="9"/>
      <c r="C15" s="9"/>
      <c r="D15" s="9"/>
      <c r="E15" s="9"/>
      <c r="F15" s="9"/>
    </row>
    <row r="16" customFormat="false" ht="15" hidden="false" customHeight="true" outlineLevel="0" collapsed="false">
      <c r="B16" s="9"/>
      <c r="C16" s="9"/>
      <c r="D16" s="9"/>
      <c r="E16" s="9"/>
      <c r="F16" s="9"/>
    </row>
    <row r="17" customFormat="false" ht="15.75" hidden="false" customHeight="true" outlineLevel="0" collapsed="false">
      <c r="B17" s="9" t="s">
        <v>2369</v>
      </c>
      <c r="C17" s="9"/>
      <c r="D17" s="9"/>
      <c r="E17" s="9"/>
      <c r="F17" s="9"/>
    </row>
    <row r="18" customFormat="false" ht="15.75" hidden="false" customHeight="true" outlineLevel="0" collapsed="false">
      <c r="B18" s="9"/>
      <c r="C18" s="9"/>
      <c r="D18" s="9"/>
      <c r="E18" s="9"/>
      <c r="F18" s="9"/>
    </row>
    <row r="19" customFormat="false" ht="15.75" hidden="false" customHeight="true" outlineLevel="0" collapsed="false">
      <c r="B19" s="9" t="s">
        <v>2370</v>
      </c>
      <c r="C19" s="9"/>
      <c r="D19" s="9"/>
      <c r="E19" s="9"/>
      <c r="F19" s="9"/>
    </row>
    <row r="20" customFormat="false" ht="15.75" hidden="false" customHeight="true" outlineLevel="0" collapsed="false">
      <c r="B20" s="9"/>
      <c r="C20" s="9"/>
      <c r="D20" s="9"/>
      <c r="E20" s="9"/>
      <c r="F20" s="9"/>
    </row>
    <row r="22" customFormat="false" ht="15.75" hidden="false" customHeight="true" outlineLevel="0" collapsed="false">
      <c r="B22" s="7" t="s">
        <v>1406</v>
      </c>
      <c r="C22" s="8"/>
      <c r="D22" s="8"/>
      <c r="E22" s="8"/>
      <c r="F22" s="8"/>
      <c r="G22" s="8"/>
      <c r="H22" s="8"/>
      <c r="I22" s="8"/>
      <c r="J22" s="8"/>
      <c r="K22" s="8"/>
    </row>
    <row r="23" customFormat="false" ht="17.25" hidden="false" customHeight="true" outlineLevel="0" collapsed="false">
      <c r="B23" s="48" t="s">
        <v>1407</v>
      </c>
      <c r="C23" s="48"/>
      <c r="D23" s="48"/>
      <c r="E23" s="49" t="s">
        <v>1408</v>
      </c>
      <c r="F23" s="49"/>
    </row>
    <row r="24" customFormat="false" ht="31.5" hidden="false" customHeight="true" outlineLevel="0" collapsed="false">
      <c r="B24" s="23" t="s">
        <v>2371</v>
      </c>
      <c r="C24" s="23"/>
      <c r="D24" s="23"/>
      <c r="E24" s="23" t="s">
        <v>2372</v>
      </c>
      <c r="F24" s="23"/>
    </row>
    <row r="25" customFormat="false" ht="31.5" hidden="false" customHeight="true" outlineLevel="0" collapsed="false">
      <c r="B25" s="23" t="s">
        <v>2373</v>
      </c>
      <c r="C25" s="23"/>
      <c r="D25" s="23"/>
      <c r="E25" s="23" t="s">
        <v>2374</v>
      </c>
      <c r="F25" s="23"/>
    </row>
    <row r="26" customFormat="false" ht="31.5" hidden="false" customHeight="true" outlineLevel="0" collapsed="false">
      <c r="B26" s="23" t="s">
        <v>2375</v>
      </c>
      <c r="C26" s="23"/>
      <c r="D26" s="23"/>
      <c r="E26" s="23" t="s">
        <v>2376</v>
      </c>
      <c r="F26" s="23"/>
    </row>
    <row r="27" customFormat="false" ht="17.25" hidden="false" customHeight="true" outlineLevel="0" collapsed="false">
      <c r="B27" s="23" t="s">
        <v>2377</v>
      </c>
      <c r="C27" s="23"/>
      <c r="D27" s="23"/>
      <c r="E27" s="23"/>
      <c r="F27" s="23"/>
    </row>
    <row r="29" customFormat="false" ht="16.5" hidden="false" customHeight="true" outlineLevel="0" collapsed="false">
      <c r="B29" s="11" t="s">
        <v>1416</v>
      </c>
      <c r="C29" s="11" t="s">
        <v>1417</v>
      </c>
      <c r="D29" s="11" t="s">
        <v>1418</v>
      </c>
      <c r="E29" s="11" t="s">
        <v>1419</v>
      </c>
    </row>
    <row r="30" customFormat="false" ht="44.25" hidden="false" customHeight="true" outlineLevel="0" collapsed="false">
      <c r="B30" s="12" t="s">
        <v>2378</v>
      </c>
      <c r="C30" s="12" t="s">
        <v>2379</v>
      </c>
      <c r="D30" s="12" t="s">
        <v>2380</v>
      </c>
      <c r="E30" s="50" t="s">
        <v>2300</v>
      </c>
    </row>
    <row r="31" customFormat="false" ht="30.75" hidden="false" customHeight="true" outlineLevel="0" collapsed="false">
      <c r="B31" s="12" t="s">
        <v>2381</v>
      </c>
      <c r="C31" s="12" t="s">
        <v>2382</v>
      </c>
      <c r="D31" s="12" t="s">
        <v>2383</v>
      </c>
      <c r="E31" s="50" t="s">
        <v>1095</v>
      </c>
    </row>
    <row r="32" customFormat="false" ht="44.25" hidden="false" customHeight="true" outlineLevel="0" collapsed="false">
      <c r="B32" s="12" t="s">
        <v>2384</v>
      </c>
      <c r="C32" s="12" t="s">
        <v>2385</v>
      </c>
      <c r="D32" s="12" t="s">
        <v>2386</v>
      </c>
      <c r="E32" s="50" t="s">
        <v>1095</v>
      </c>
    </row>
    <row r="34" customFormat="false" ht="15.75" hidden="false" customHeight="true" outlineLevel="0" collapsed="false">
      <c r="B34" s="7" t="s">
        <v>1429</v>
      </c>
      <c r="C34" s="8"/>
      <c r="D34" s="8"/>
      <c r="E34" s="8"/>
      <c r="F34" s="8"/>
      <c r="G34" s="8"/>
      <c r="H34" s="8"/>
      <c r="I34" s="8"/>
      <c r="J34" s="8"/>
      <c r="K34" s="8"/>
    </row>
    <row r="35" customFormat="false" ht="17.25" hidden="false" customHeight="true" outlineLevel="0" collapsed="false">
      <c r="B35" s="51" t="s">
        <v>2387</v>
      </c>
      <c r="C35" s="51"/>
      <c r="D35" s="51"/>
      <c r="E35" s="51"/>
      <c r="F35" s="51"/>
    </row>
    <row r="36" customFormat="false" ht="17.25" hidden="false" customHeight="true" outlineLevel="0" collapsed="false">
      <c r="B36" s="52" t="s">
        <v>2388</v>
      </c>
      <c r="C36" s="52"/>
      <c r="D36" s="52"/>
      <c r="E36" s="52"/>
      <c r="F36" s="52"/>
    </row>
    <row r="37" customFormat="false" ht="15" hidden="false" customHeight="true" outlineLevel="0" collapsed="false">
      <c r="B37" s="47" t="s">
        <v>2389</v>
      </c>
    </row>
    <row r="38" customFormat="false" ht="15" hidden="false" customHeight="true" outlineLevel="0" collapsed="false">
      <c r="B38" s="59" t="s">
        <v>2390</v>
      </c>
    </row>
    <row r="39" customFormat="false" ht="17.25" hidden="false" customHeight="true" outlineLevel="0" collapsed="false">
      <c r="B39" s="51" t="s">
        <v>2391</v>
      </c>
      <c r="C39" s="51"/>
      <c r="D39" s="51"/>
      <c r="E39" s="51"/>
      <c r="F39" s="51"/>
    </row>
    <row r="40" customFormat="false" ht="15" hidden="false" customHeight="true" outlineLevel="0" collapsed="false">
      <c r="B40" s="59" t="s">
        <v>2392</v>
      </c>
    </row>
    <row r="41" customFormat="false" ht="17.25" hidden="false" customHeight="true" outlineLevel="0" collapsed="false">
      <c r="B41" s="52" t="s">
        <v>2393</v>
      </c>
      <c r="C41" s="52"/>
      <c r="D41" s="52"/>
      <c r="E41" s="52"/>
      <c r="F41" s="52"/>
    </row>
    <row r="42" customFormat="false" ht="15" hidden="false" customHeight="true" outlineLevel="0" collapsed="false">
      <c r="B42" s="59" t="s">
        <v>2394</v>
      </c>
    </row>
    <row r="43" customFormat="false" ht="15" hidden="false" customHeight="true" outlineLevel="0" collapsed="false">
      <c r="B43" s="47" t="s">
        <v>2395</v>
      </c>
    </row>
    <row r="44" customFormat="false" ht="17.25" hidden="false" customHeight="true" outlineLevel="0" collapsed="false">
      <c r="B44" s="52" t="s">
        <v>2396</v>
      </c>
      <c r="C44" s="52"/>
      <c r="D44" s="52"/>
      <c r="E44" s="52"/>
      <c r="F44" s="52"/>
    </row>
    <row r="46" customFormat="false" ht="15.75" hidden="false" customHeight="true" outlineLevel="0" collapsed="false">
      <c r="B46" s="7" t="s">
        <v>1437</v>
      </c>
      <c r="C46" s="8"/>
      <c r="D46" s="8"/>
      <c r="E46" s="8"/>
      <c r="F46" s="8"/>
      <c r="G46" s="8"/>
      <c r="H46" s="8"/>
      <c r="I46" s="8"/>
      <c r="J46" s="8"/>
      <c r="K46" s="8"/>
    </row>
    <row r="47" customFormat="false" ht="16.5" hidden="false" customHeight="true" outlineLevel="0" collapsed="false">
      <c r="B47" s="11" t="s">
        <v>1438</v>
      </c>
      <c r="C47" s="11" t="s">
        <v>1439</v>
      </c>
      <c r="D47" s="11" t="s">
        <v>1440</v>
      </c>
    </row>
    <row r="48" customFormat="false" ht="30.75" hidden="false" customHeight="true" outlineLevel="0" collapsed="false">
      <c r="B48" s="12" t="s">
        <v>2397</v>
      </c>
      <c r="C48" s="12" t="s">
        <v>2398</v>
      </c>
      <c r="D48" s="12" t="s">
        <v>2312</v>
      </c>
    </row>
    <row r="49" customFormat="false" ht="30.75" hidden="false" customHeight="true" outlineLevel="0" collapsed="false">
      <c r="B49" s="12" t="s">
        <v>2399</v>
      </c>
      <c r="C49" s="12" t="s">
        <v>2400</v>
      </c>
      <c r="D49" s="12" t="s">
        <v>2401</v>
      </c>
    </row>
    <row r="50" customFormat="false" ht="30.75" hidden="false" customHeight="true" outlineLevel="0" collapsed="false">
      <c r="B50" s="12" t="s">
        <v>2402</v>
      </c>
      <c r="C50" s="12" t="s">
        <v>2403</v>
      </c>
      <c r="D50" s="12" t="s">
        <v>2404</v>
      </c>
    </row>
    <row r="51" customFormat="false" ht="30.75" hidden="false" customHeight="true" outlineLevel="0" collapsed="false">
      <c r="B51" s="12" t="s">
        <v>1834</v>
      </c>
      <c r="C51" s="12" t="s">
        <v>1835</v>
      </c>
      <c r="D51" s="12" t="s">
        <v>2405</v>
      </c>
    </row>
    <row r="52" customFormat="false" ht="30.75" hidden="false" customHeight="true" outlineLevel="0" collapsed="false">
      <c r="B52" s="12" t="s">
        <v>1571</v>
      </c>
      <c r="C52" s="12" t="s">
        <v>1572</v>
      </c>
      <c r="D52" s="12" t="s">
        <v>2406</v>
      </c>
    </row>
    <row r="53" customFormat="false" ht="28.5" hidden="false" customHeight="true" outlineLevel="0" collapsed="false">
      <c r="B53" s="16" t="s">
        <v>1453</v>
      </c>
      <c r="C53" s="16"/>
      <c r="D53" s="16"/>
      <c r="E53" s="16"/>
      <c r="F53" s="16"/>
    </row>
    <row r="55" customFormat="false" ht="15.75" hidden="false" customHeight="true" outlineLevel="0" collapsed="false">
      <c r="B55" s="7" t="s">
        <v>1454</v>
      </c>
      <c r="C55" s="8"/>
      <c r="D55" s="8"/>
      <c r="E55" s="8"/>
      <c r="F55" s="8"/>
      <c r="G55" s="8"/>
      <c r="H55" s="8"/>
      <c r="I55" s="8"/>
      <c r="J55" s="8"/>
      <c r="K55" s="8"/>
    </row>
    <row r="56" customFormat="false" ht="15.75" hidden="false" customHeight="true" outlineLevel="0" collapsed="false">
      <c r="B56" s="9" t="s">
        <v>2407</v>
      </c>
      <c r="C56" s="9"/>
      <c r="D56" s="9"/>
      <c r="E56" s="9"/>
      <c r="F56" s="9"/>
    </row>
    <row r="57" customFormat="false" ht="15.75" hidden="false" customHeight="true" outlineLevel="0" collapsed="false">
      <c r="B57" s="9"/>
      <c r="C57" s="9"/>
      <c r="D57" s="9"/>
      <c r="E57" s="9"/>
      <c r="F57" s="9"/>
    </row>
    <row r="58" customFormat="false" ht="15" hidden="false" customHeight="true" outlineLevel="0" collapsed="false">
      <c r="B58" s="19" t="s">
        <v>85</v>
      </c>
      <c r="C58" s="41" t="s">
        <v>86</v>
      </c>
    </row>
    <row r="60" customFormat="false" ht="15" hidden="false" customHeight="true" outlineLevel="0" collapsed="false">
      <c r="B60" s="10" t="s">
        <v>2408</v>
      </c>
      <c r="C60" s="60" t="n">
        <v>12</v>
      </c>
    </row>
    <row r="61" customFormat="false" ht="15" hidden="false" customHeight="true" outlineLevel="0" collapsed="false">
      <c r="B61" s="10" t="s">
        <v>2409</v>
      </c>
      <c r="C61" s="65" t="n">
        <v>18</v>
      </c>
    </row>
    <row r="63" customFormat="false" ht="15" hidden="false" customHeight="true" outlineLevel="0" collapsed="false">
      <c r="B63" s="10" t="s">
        <v>2328</v>
      </c>
      <c r="C63" s="77" t="n">
        <f aca="false">POISSON(C61,C60,FALSE())</f>
        <v>0.0255498071105784</v>
      </c>
    </row>
    <row r="64" customFormat="false" ht="15" hidden="false" customHeight="true" outlineLevel="0" collapsed="false">
      <c r="B64" s="10" t="s">
        <v>2329</v>
      </c>
      <c r="C64" s="77" t="n">
        <f aca="false">POISSON(C61,C60,TRUE())</f>
        <v>0.962583510336608</v>
      </c>
    </row>
    <row r="65" customFormat="false" ht="15" hidden="false" customHeight="true" outlineLevel="0" collapsed="false">
      <c r="B65" s="10" t="s">
        <v>2410</v>
      </c>
      <c r="C65" s="77" t="n">
        <f aca="false">1-POISSON(C61-1,C60,TRUE())</f>
        <v>0.0629662967739705</v>
      </c>
    </row>
    <row r="66" customFormat="false" ht="15" hidden="false" customHeight="true" outlineLevel="0" collapsed="false">
      <c r="B66" s="10" t="s">
        <v>2411</v>
      </c>
      <c r="C66" s="63" t="n">
        <f aca="false">SQRT(C60)</f>
        <v>3.46410161513775</v>
      </c>
    </row>
    <row r="67" customFormat="false" ht="15" hidden="false" customHeight="true" outlineLevel="0" collapsed="false">
      <c r="B67" s="10" t="s">
        <v>2412</v>
      </c>
      <c r="C67" s="64" t="n">
        <f aca="false">C60+3*SQRT(C60)</f>
        <v>22.3923048454133</v>
      </c>
    </row>
    <row r="68" customFormat="false" ht="15" hidden="false" customHeight="true" outlineLevel="0" collapsed="false">
      <c r="B68" s="10" t="s">
        <v>2413</v>
      </c>
      <c r="C68" s="64" t="n">
        <f aca="false">MAX(0,C60-3*SQRT(C60))</f>
        <v>1.60769515458674</v>
      </c>
    </row>
    <row r="70" customFormat="false" ht="15.75" hidden="false" customHeight="true" outlineLevel="0" collapsed="false">
      <c r="B70" s="7" t="s">
        <v>2414</v>
      </c>
      <c r="C70" s="8"/>
      <c r="D70" s="8"/>
      <c r="E70" s="8"/>
      <c r="F70" s="8"/>
      <c r="G70" s="8"/>
      <c r="H70" s="8"/>
      <c r="I70" s="8"/>
      <c r="J70" s="8"/>
      <c r="K70" s="8"/>
    </row>
    <row r="71" customFormat="false" ht="15" hidden="false" customHeight="true" outlineLevel="0" collapsed="false">
      <c r="B71" s="10" t="s">
        <v>2415</v>
      </c>
      <c r="C71" s="65" t="n">
        <v>96</v>
      </c>
    </row>
    <row r="72" customFormat="false" ht="15" hidden="false" customHeight="true" outlineLevel="0" collapsed="false">
      <c r="B72" s="10" t="s">
        <v>2416</v>
      </c>
      <c r="C72" s="65" t="n">
        <v>8</v>
      </c>
    </row>
    <row r="73" customFormat="false" ht="15" hidden="false" customHeight="true" outlineLevel="0" collapsed="false">
      <c r="B73" s="10" t="s">
        <v>2417</v>
      </c>
      <c r="C73" s="65" t="n">
        <v>60</v>
      </c>
    </row>
    <row r="74" customFormat="false" ht="15" hidden="false" customHeight="true" outlineLevel="0" collapsed="false">
      <c r="B74" s="10" t="s">
        <v>2418</v>
      </c>
      <c r="C74" s="65" t="n">
        <v>8</v>
      </c>
    </row>
    <row r="75" customFormat="false" ht="15" hidden="false" customHeight="true" outlineLevel="0" collapsed="false">
      <c r="B75" s="10" t="s">
        <v>2228</v>
      </c>
      <c r="C75" s="61" t="n">
        <v>0.05</v>
      </c>
    </row>
    <row r="76" customFormat="false" ht="15" hidden="false" customHeight="true" outlineLevel="0" collapsed="false">
      <c r="B76" s="10" t="s">
        <v>2419</v>
      </c>
      <c r="C76" s="63" t="n">
        <f aca="false">C71/C72</f>
        <v>12</v>
      </c>
    </row>
    <row r="77" customFormat="false" ht="15" hidden="false" customHeight="true" outlineLevel="0" collapsed="false">
      <c r="B77" s="10" t="s">
        <v>2420</v>
      </c>
      <c r="C77" s="63" t="n">
        <f aca="false">C73/C74</f>
        <v>7.5</v>
      </c>
    </row>
    <row r="78" customFormat="false" ht="15" hidden="false" customHeight="true" outlineLevel="0" collapsed="false">
      <c r="B78" s="10" t="s">
        <v>2421</v>
      </c>
      <c r="C78" s="64" t="n">
        <f aca="false">IFERROR(C76/C77,0)</f>
        <v>1.6</v>
      </c>
    </row>
    <row r="79" customFormat="false" ht="15" hidden="false" customHeight="true" outlineLevel="0" collapsed="false">
      <c r="B79" s="10" t="s">
        <v>2422</v>
      </c>
      <c r="C79" s="63" t="n">
        <f aca="false">IFERROR((C76-C77)/SQRT(C71/C72^2+C73/C74^2),0)</f>
        <v>2.88230676849157</v>
      </c>
    </row>
    <row r="80" customFormat="false" ht="15" hidden="false" customHeight="true" outlineLevel="0" collapsed="false">
      <c r="B80" s="10" t="s">
        <v>2423</v>
      </c>
      <c r="C80" s="77" t="n">
        <f aca="false">2*(1-NORMSDIST(ABS(C79)))</f>
        <v>0.00394775185690355</v>
      </c>
    </row>
    <row r="82" customFormat="false" ht="18" hidden="false" customHeight="true" outlineLevel="0" collapsed="false">
      <c r="B82" s="7" t="s">
        <v>2336</v>
      </c>
      <c r="C82" s="8"/>
      <c r="D82" s="8"/>
      <c r="E82" s="8"/>
      <c r="F82" s="8"/>
      <c r="G82" s="8"/>
      <c r="H82" s="8"/>
      <c r="I82" s="8"/>
      <c r="J82" s="8"/>
      <c r="K82" s="8"/>
    </row>
    <row r="83" customFormat="false" ht="27.75" hidden="false" customHeight="true" outlineLevel="0" collapsed="false">
      <c r="B83" s="11" t="s">
        <v>2337</v>
      </c>
      <c r="C83" s="11" t="s">
        <v>2338</v>
      </c>
      <c r="D83" s="11" t="s">
        <v>2339</v>
      </c>
    </row>
    <row r="84" customFormat="false" ht="15" hidden="false" customHeight="true" outlineLevel="0" collapsed="false">
      <c r="B84" s="27" t="n">
        <v>0</v>
      </c>
      <c r="C84" s="66" t="n">
        <f aca="false">POISSON(B84,C60,FALSE())</f>
        <v>6.14421235332821E-006</v>
      </c>
      <c r="D84" s="66" t="n">
        <f aca="false">POISSON(B84,C60,TRUE())</f>
        <v>6.14421235332821E-006</v>
      </c>
    </row>
    <row r="85" customFormat="false" ht="15" hidden="false" customHeight="true" outlineLevel="0" collapsed="false">
      <c r="B85" s="27" t="n">
        <v>1</v>
      </c>
      <c r="C85" s="66" t="n">
        <f aca="false">POISSON(B85,C60,FALSE())</f>
        <v>7.37305482399385E-005</v>
      </c>
      <c r="D85" s="66" t="n">
        <f aca="false">POISSON(B85,C60,TRUE())</f>
        <v>7.98747605932667E-005</v>
      </c>
    </row>
    <row r="86" customFormat="false" ht="15" hidden="false" customHeight="true" outlineLevel="0" collapsed="false">
      <c r="B86" s="27" t="n">
        <v>2</v>
      </c>
      <c r="C86" s="66" t="n">
        <f aca="false">POISSON(B86,C60,FALSE())</f>
        <v>0.000442383289439631</v>
      </c>
      <c r="D86" s="66" t="n">
        <f aca="false">POISSON(B86,C60,TRUE())</f>
        <v>0.000522258050032898</v>
      </c>
    </row>
    <row r="87" customFormat="false" ht="15" hidden="false" customHeight="true" outlineLevel="0" collapsed="false">
      <c r="B87" s="27" t="n">
        <v>3</v>
      </c>
      <c r="C87" s="66" t="n">
        <f aca="false">POISSON(B87,C60,FALSE())</f>
        <v>0.00176953315775852</v>
      </c>
      <c r="D87" s="66" t="n">
        <f aca="false">POISSON(B87,C60,TRUE())</f>
        <v>0.00229179120779142</v>
      </c>
    </row>
    <row r="88" customFormat="false" ht="15" hidden="false" customHeight="true" outlineLevel="0" collapsed="false">
      <c r="B88" s="27" t="n">
        <v>4</v>
      </c>
      <c r="C88" s="66" t="n">
        <f aca="false">POISSON(B88,C60,FALSE())</f>
        <v>0.00530859947327557</v>
      </c>
      <c r="D88" s="66" t="n">
        <f aca="false">POISSON(B88,C60,TRUE())</f>
        <v>0.007600390681067</v>
      </c>
    </row>
    <row r="89" customFormat="false" ht="15" hidden="false" customHeight="true" outlineLevel="0" collapsed="false">
      <c r="B89" s="27" t="n">
        <v>5</v>
      </c>
      <c r="C89" s="66" t="n">
        <f aca="false">POISSON(B89,C60,FALSE())</f>
        <v>0.0127406387358614</v>
      </c>
      <c r="D89" s="66" t="n">
        <f aca="false">POISSON(B89,C60,TRUE())</f>
        <v>0.0203410294169284</v>
      </c>
    </row>
    <row r="90" customFormat="false" ht="15" hidden="false" customHeight="true" outlineLevel="0" collapsed="false">
      <c r="B90" s="27" t="n">
        <v>6</v>
      </c>
      <c r="C90" s="66" t="n">
        <f aca="false">POISSON(B90,C60,FALSE())</f>
        <v>0.0254812774717228</v>
      </c>
      <c r="D90" s="66" t="n">
        <f aca="false">POISSON(B90,C60,TRUE())</f>
        <v>0.0458223068886511</v>
      </c>
    </row>
    <row r="91" customFormat="false" ht="15" hidden="false" customHeight="true" outlineLevel="0" collapsed="false">
      <c r="B91" s="27" t="n">
        <v>7</v>
      </c>
      <c r="C91" s="66" t="n">
        <f aca="false">POISSON(B91,C60,FALSE())</f>
        <v>0.0436821899515247</v>
      </c>
      <c r="D91" s="66" t="n">
        <f aca="false">POISSON(B91,C60,TRUE())</f>
        <v>0.0895044968401758</v>
      </c>
    </row>
    <row r="92" customFormat="false" ht="15" hidden="false" customHeight="true" outlineLevel="0" collapsed="false">
      <c r="B92" s="27" t="n">
        <v>8</v>
      </c>
      <c r="C92" s="66" t="n">
        <f aca="false">POISSON(B92,C60,FALSE())</f>
        <v>0.0655232849272871</v>
      </c>
      <c r="D92" s="66" t="n">
        <f aca="false">POISSON(B92,C60,TRUE())</f>
        <v>0.155027781767463</v>
      </c>
    </row>
    <row r="93" customFormat="false" ht="15" hidden="false" customHeight="true" outlineLevel="0" collapsed="false">
      <c r="B93" s="27" t="n">
        <v>9</v>
      </c>
      <c r="C93" s="66" t="n">
        <f aca="false">POISSON(B93,C60,FALSE())</f>
        <v>0.0873643799030494</v>
      </c>
      <c r="D93" s="66" t="n">
        <f aca="false">POISSON(B93,C60,TRUE())</f>
        <v>0.242392161670512</v>
      </c>
    </row>
    <row r="94" customFormat="false" ht="15" hidden="false" customHeight="true" outlineLevel="0" collapsed="false">
      <c r="B94" s="27" t="n">
        <v>10</v>
      </c>
      <c r="C94" s="66" t="n">
        <f aca="false">POISSON(B94,C60,FALSE())</f>
        <v>0.104837255883659</v>
      </c>
      <c r="D94" s="66" t="n">
        <f aca="false">POISSON(B94,C60,TRUE())</f>
        <v>0.347229417554172</v>
      </c>
    </row>
    <row r="95" customFormat="false" ht="15" hidden="false" customHeight="true" outlineLevel="0" collapsed="false">
      <c r="B95" s="27" t="n">
        <v>11</v>
      </c>
      <c r="C95" s="66" t="n">
        <f aca="false">POISSON(B95,C60,FALSE())</f>
        <v>0.114367915509446</v>
      </c>
      <c r="D95" s="66" t="n">
        <f aca="false">POISSON(B95,C60,TRUE())</f>
        <v>0.461597333063618</v>
      </c>
    </row>
    <row r="96" customFormat="false" ht="15" hidden="false" customHeight="true" outlineLevel="0" collapsed="false">
      <c r="B96" s="27" t="n">
        <v>12</v>
      </c>
      <c r="C96" s="66" t="n">
        <f aca="false">POISSON(B96,C60,FALSE())</f>
        <v>0.114367915509446</v>
      </c>
      <c r="D96" s="66" t="n">
        <f aca="false">POISSON(B96,C60,TRUE())</f>
        <v>0.575965248573065</v>
      </c>
    </row>
    <row r="97" customFormat="false" ht="15" hidden="false" customHeight="true" outlineLevel="0" collapsed="false">
      <c r="B97" s="27" t="n">
        <v>13</v>
      </c>
      <c r="C97" s="66" t="n">
        <f aca="false">POISSON(B97,C60,FALSE())</f>
        <v>0.105570383547181</v>
      </c>
      <c r="D97" s="66" t="n">
        <f aca="false">POISSON(B97,C60,TRUE())</f>
        <v>0.681535632120246</v>
      </c>
    </row>
    <row r="98" customFormat="false" ht="15" hidden="false" customHeight="true" outlineLevel="0" collapsed="false">
      <c r="B98" s="27" t="n">
        <v>14</v>
      </c>
      <c r="C98" s="66" t="n">
        <f aca="false">POISSON(B98,C60,FALSE())</f>
        <v>0.0904889001832983</v>
      </c>
      <c r="D98" s="66" t="n">
        <f aca="false">POISSON(B98,C60,TRUE())</f>
        <v>0.772024532303544</v>
      </c>
    </row>
    <row r="99" customFormat="false" ht="15" hidden="false" customHeight="true" outlineLevel="0" collapsed="false">
      <c r="B99" s="27" t="n">
        <v>15</v>
      </c>
      <c r="C99" s="66" t="n">
        <f aca="false">POISSON(B99,C60,FALSE())</f>
        <v>0.0723911201466387</v>
      </c>
      <c r="D99" s="66" t="n">
        <f aca="false">POISSON(B99,C60,TRUE())</f>
        <v>0.844415652450183</v>
      </c>
    </row>
    <row r="100" customFormat="false" ht="15" hidden="false" customHeight="true" outlineLevel="0" collapsed="false">
      <c r="B100" s="27" t="n">
        <v>16</v>
      </c>
      <c r="C100" s="66" t="n">
        <f aca="false">POISSON(B100,C60,FALSE())</f>
        <v>0.054293340109979</v>
      </c>
      <c r="D100" s="66" t="n">
        <f aca="false">POISSON(B100,C60,TRUE())</f>
        <v>0.898708992560162</v>
      </c>
    </row>
    <row r="101" customFormat="false" ht="15" hidden="false" customHeight="true" outlineLevel="0" collapsed="false">
      <c r="B101" s="27" t="n">
        <v>17</v>
      </c>
      <c r="C101" s="66" t="n">
        <f aca="false">POISSON(B101,C60,FALSE())</f>
        <v>0.0383247106658675</v>
      </c>
      <c r="D101" s="66" t="n">
        <f aca="false">POISSON(B101,C60,TRUE())</f>
        <v>0.93703370322603</v>
      </c>
    </row>
    <row r="102" customFormat="false" ht="15" hidden="false" customHeight="true" outlineLevel="0" collapsed="false">
      <c r="B102" s="27" t="n">
        <v>18</v>
      </c>
      <c r="C102" s="66" t="n">
        <f aca="false">POISSON(B102,C60,FALSE())</f>
        <v>0.0255498071105784</v>
      </c>
      <c r="D102" s="66" t="n">
        <f aca="false">POISSON(B102,C60,TRUE())</f>
        <v>0.962583510336608</v>
      </c>
    </row>
    <row r="103" customFormat="false" ht="15" hidden="false" customHeight="true" outlineLevel="0" collapsed="false">
      <c r="B103" s="27" t="n">
        <v>19</v>
      </c>
      <c r="C103" s="66" t="n">
        <f aca="false">POISSON(B103,C60,FALSE())</f>
        <v>0.0161367202803653</v>
      </c>
      <c r="D103" s="66" t="n">
        <f aca="false">POISSON(B103,C60,TRUE())</f>
        <v>0.978720230616973</v>
      </c>
    </row>
    <row r="104" customFormat="false" ht="15" hidden="false" customHeight="true" outlineLevel="0" collapsed="false">
      <c r="B104" s="27" t="n">
        <v>20</v>
      </c>
      <c r="C104" s="66" t="n">
        <f aca="false">POISSON(B104,C60,FALSE())</f>
        <v>0.00968203216821916</v>
      </c>
      <c r="D104" s="66" t="n">
        <f aca="false">POISSON(B104,C60,TRUE())</f>
        <v>0.988402262785192</v>
      </c>
    </row>
    <row r="105" customFormat="false" ht="15" hidden="false" customHeight="true" outlineLevel="0" collapsed="false">
      <c r="B105" s="27" t="n">
        <v>21</v>
      </c>
      <c r="C105" s="66" t="n">
        <f aca="false">POISSON(B105,C60,FALSE())</f>
        <v>0.00553258981041095</v>
      </c>
      <c r="D105" s="66" t="n">
        <f aca="false">POISSON(B105,C60,TRUE())</f>
        <v>0.993934852595603</v>
      </c>
    </row>
    <row r="106" customFormat="false" ht="15" hidden="false" customHeight="true" outlineLevel="0" collapsed="false">
      <c r="B106" s="27" t="n">
        <v>22</v>
      </c>
      <c r="C106" s="66" t="n">
        <f aca="false">POISSON(B106,C60,FALSE())</f>
        <v>0.00301777626022415</v>
      </c>
      <c r="D106" s="66" t="n">
        <f aca="false">POISSON(B106,C60,TRUE())</f>
        <v>0.996952628855828</v>
      </c>
    </row>
    <row r="107" customFormat="false" ht="15" hidden="false" customHeight="true" outlineLevel="0" collapsed="false">
      <c r="B107" s="27" t="n">
        <v>23</v>
      </c>
      <c r="C107" s="66" t="n">
        <f aca="false">POISSON(B107,C60,FALSE())</f>
        <v>0.00157449196185608</v>
      </c>
      <c r="D107" s="66" t="n">
        <f aca="false">POISSON(B107,C60,TRUE())</f>
        <v>0.998527120817684</v>
      </c>
    </row>
    <row r="108" customFormat="false" ht="15" hidden="false" customHeight="true" outlineLevel="0" collapsed="false">
      <c r="B108" s="27" t="n">
        <v>24</v>
      </c>
      <c r="C108" s="66" t="n">
        <f aca="false">POISSON(B108,C60,FALSE())</f>
        <v>0.00078724598092804</v>
      </c>
      <c r="D108" s="66" t="n">
        <f aca="false">POISSON(B108,C60,TRUE())</f>
        <v>0.999314366798612</v>
      </c>
    </row>
    <row r="109" customFormat="false" ht="15" hidden="false" customHeight="true" outlineLevel="0" collapsed="false">
      <c r="B109" s="27" t="n">
        <v>25</v>
      </c>
      <c r="C109" s="66" t="n">
        <f aca="false">POISSON(B109,C60,FALSE())</f>
        <v>0.000377878070845459</v>
      </c>
      <c r="D109" s="66" t="n">
        <f aca="false">POISSON(B109,C60,TRUE())</f>
        <v>0.999692244869457</v>
      </c>
    </row>
    <row r="111" customFormat="false" ht="15.75" hidden="false" customHeight="true" outlineLevel="0" collapsed="false">
      <c r="B111" s="7" t="s">
        <v>1493</v>
      </c>
      <c r="C111" s="8"/>
      <c r="D111" s="8"/>
      <c r="E111" s="8"/>
      <c r="F111" s="8"/>
      <c r="G111" s="8"/>
      <c r="H111" s="8"/>
      <c r="I111" s="8"/>
      <c r="J111" s="8"/>
      <c r="K111" s="8"/>
    </row>
    <row r="112" customFormat="false" ht="33.75" hidden="false" customHeight="true" outlineLevel="0" collapsed="false">
      <c r="B112" s="53" t="s">
        <v>1494</v>
      </c>
      <c r="C112" s="54" t="str">
        <f aca="false">IF(C80&lt;C75,"RATES DIFFER SIGNIFICANTLY - shift A and shift B are not stopping at the same rate. Stratify further on H-09 before assuming it is the people.","NO EVIDENCE OF A DIFFERENCE - the gap between the two shift rates is within Poisson noise")</f>
        <v>RATES DIFFER SIGNIFICANTLY - shift A and shift B are not stopping at the same rate. Stratify further on H-09 before assuming it is the people.</v>
      </c>
      <c r="D112" s="54"/>
      <c r="E112" s="54"/>
    </row>
    <row r="114" customFormat="false" ht="16.5" hidden="false" customHeight="true" outlineLevel="0" collapsed="false">
      <c r="B114" s="11" t="s">
        <v>1495</v>
      </c>
      <c r="C114" s="11" t="s">
        <v>1496</v>
      </c>
      <c r="D114" s="11" t="s">
        <v>1497</v>
      </c>
    </row>
    <row r="115" customFormat="false" ht="30.75" hidden="false" customHeight="true" outlineLevel="0" collapsed="false">
      <c r="B115" s="12" t="s">
        <v>2424</v>
      </c>
      <c r="C115" s="12" t="s">
        <v>2425</v>
      </c>
      <c r="D115" s="12" t="s">
        <v>2426</v>
      </c>
    </row>
    <row r="116" customFormat="false" ht="30.75" hidden="false" customHeight="true" outlineLevel="0" collapsed="false">
      <c r="B116" s="12" t="s">
        <v>2427</v>
      </c>
      <c r="C116" s="12" t="s">
        <v>2428</v>
      </c>
      <c r="D116" s="12" t="s">
        <v>2429</v>
      </c>
    </row>
    <row r="117" customFormat="false" ht="30.75" hidden="false" customHeight="true" outlineLevel="0" collapsed="false">
      <c r="B117" s="12" t="s">
        <v>2430</v>
      </c>
      <c r="C117" s="12" t="s">
        <v>2431</v>
      </c>
      <c r="D117" s="12" t="s">
        <v>2432</v>
      </c>
    </row>
    <row r="118" customFormat="false" ht="30.75" hidden="false" customHeight="true" outlineLevel="0" collapsed="false">
      <c r="B118" s="12" t="s">
        <v>2433</v>
      </c>
      <c r="C118" s="12" t="s">
        <v>2434</v>
      </c>
      <c r="D118" s="12" t="s">
        <v>2435</v>
      </c>
    </row>
    <row r="120" customFormat="false" ht="15" hidden="false" customHeight="true" outlineLevel="0" collapsed="false">
      <c r="B120" s="55" t="s">
        <v>1507</v>
      </c>
    </row>
    <row r="121" customFormat="false" ht="17.25" hidden="false" customHeight="true" outlineLevel="0" collapsed="false">
      <c r="B121" s="9" t="s">
        <v>2436</v>
      </c>
      <c r="C121" s="9"/>
      <c r="D121" s="9"/>
      <c r="E121" s="9"/>
      <c r="F121" s="9"/>
    </row>
    <row r="122" customFormat="false" ht="17.25" hidden="false" customHeight="true" outlineLevel="0" collapsed="false">
      <c r="B122" s="9" t="s">
        <v>2437</v>
      </c>
      <c r="C122" s="9"/>
      <c r="D122" s="9"/>
      <c r="E122" s="9"/>
      <c r="F122" s="9"/>
    </row>
    <row r="123" customFormat="false" ht="31.5" hidden="false" customHeight="true" outlineLevel="0" collapsed="false">
      <c r="B123" s="9" t="s">
        <v>2438</v>
      </c>
      <c r="C123" s="9"/>
      <c r="D123" s="9"/>
      <c r="E123" s="9"/>
      <c r="F123" s="9"/>
    </row>
    <row r="124" customFormat="false" ht="31.5" hidden="false" customHeight="true" outlineLevel="0" collapsed="false">
      <c r="B124" s="9" t="s">
        <v>2439</v>
      </c>
      <c r="C124" s="9"/>
      <c r="D124" s="9"/>
      <c r="E124" s="9"/>
      <c r="F124" s="9"/>
    </row>
    <row r="126" customFormat="false" ht="15.75" hidden="false" customHeight="true" outlineLevel="0" collapsed="false">
      <c r="B126" s="7" t="s">
        <v>1513</v>
      </c>
      <c r="C126" s="8"/>
      <c r="D126" s="8"/>
      <c r="E126" s="8"/>
      <c r="F126" s="8"/>
      <c r="G126" s="8"/>
      <c r="H126" s="8"/>
      <c r="I126" s="8"/>
      <c r="J126" s="8"/>
      <c r="K126" s="8"/>
    </row>
    <row r="127" customFormat="false" ht="17.25" hidden="false" customHeight="true" outlineLevel="0" collapsed="false">
      <c r="B127" s="9" t="s">
        <v>1514</v>
      </c>
      <c r="C127" s="9"/>
      <c r="D127" s="9"/>
      <c r="E127" s="9"/>
      <c r="N127" s="56" t="s">
        <v>1515</v>
      </c>
    </row>
    <row r="128" customFormat="false" ht="17.25" hidden="false" customHeight="true" outlineLevel="0" collapsed="false">
      <c r="B128" s="9" t="s">
        <v>2440</v>
      </c>
      <c r="C128" s="9"/>
      <c r="D128" s="9"/>
      <c r="E128" s="9"/>
      <c r="N128" s="57" t="s">
        <v>2441</v>
      </c>
    </row>
    <row r="129" customFormat="false" ht="17.25" hidden="false" customHeight="true" outlineLevel="0" collapsed="false">
      <c r="B129" s="9" t="s">
        <v>2442</v>
      </c>
      <c r="C129" s="9"/>
      <c r="D129" s="9"/>
      <c r="E129" s="9"/>
      <c r="N129" s="57" t="s">
        <v>2443</v>
      </c>
    </row>
    <row r="130" customFormat="false" ht="17.25" hidden="false" customHeight="true" outlineLevel="0" collapsed="false">
      <c r="B130" s="9" t="s">
        <v>2444</v>
      </c>
      <c r="C130" s="9"/>
      <c r="D130" s="9"/>
      <c r="E130" s="9"/>
      <c r="N130" s="57" t="s">
        <v>2445</v>
      </c>
    </row>
    <row r="132" customFormat="false" ht="15.75" hidden="false" customHeight="true" outlineLevel="0" collapsed="false">
      <c r="B132" s="7" t="s">
        <v>1522</v>
      </c>
      <c r="C132" s="8"/>
      <c r="D132" s="8"/>
      <c r="E132" s="8"/>
      <c r="F132" s="8"/>
      <c r="G132" s="8"/>
      <c r="H132" s="8"/>
      <c r="I132" s="8"/>
      <c r="J132" s="8"/>
      <c r="K132" s="8"/>
    </row>
    <row r="133" customFormat="false" ht="16.5" hidden="false" customHeight="true" outlineLevel="0" collapsed="false">
      <c r="B133" s="11" t="s">
        <v>1523</v>
      </c>
      <c r="C133" s="11" t="s">
        <v>1524</v>
      </c>
      <c r="D133" s="11" t="s">
        <v>1615</v>
      </c>
    </row>
    <row r="134" customFormat="false" ht="30.75" hidden="false" customHeight="true" outlineLevel="0" collapsed="false">
      <c r="B134" s="58" t="s">
        <v>2272</v>
      </c>
      <c r="C134" s="58" t="s">
        <v>2446</v>
      </c>
      <c r="D134" s="58" t="s">
        <v>1095</v>
      </c>
    </row>
  </sheetData>
  <mergeCells count="34">
    <mergeCell ref="B2:J2"/>
    <mergeCell ref="D3:F3"/>
    <mergeCell ref="C6:D6"/>
    <mergeCell ref="C7:D7"/>
    <mergeCell ref="C8:D8"/>
    <mergeCell ref="B11:F13"/>
    <mergeCell ref="B14:F16"/>
    <mergeCell ref="B17:F18"/>
    <mergeCell ref="B19:F20"/>
    <mergeCell ref="B23:D23"/>
    <mergeCell ref="E23:F23"/>
    <mergeCell ref="B24:D24"/>
    <mergeCell ref="E24:F24"/>
    <mergeCell ref="B25:D25"/>
    <mergeCell ref="E25:F25"/>
    <mergeCell ref="B26:D26"/>
    <mergeCell ref="E26:F26"/>
    <mergeCell ref="B27:F27"/>
    <mergeCell ref="B35:F35"/>
    <mergeCell ref="B36:F36"/>
    <mergeCell ref="B39:F39"/>
    <mergeCell ref="B41:F41"/>
    <mergeCell ref="B44:F44"/>
    <mergeCell ref="B53:F53"/>
    <mergeCell ref="B56:F57"/>
    <mergeCell ref="C112:E112"/>
    <mergeCell ref="B121:F121"/>
    <mergeCell ref="B122:F122"/>
    <mergeCell ref="B123:F123"/>
    <mergeCell ref="B124:F124"/>
    <mergeCell ref="B127:E127"/>
    <mergeCell ref="B128:E128"/>
    <mergeCell ref="B129:E129"/>
    <mergeCell ref="B130:E130"/>
  </mergeCells>
  <hyperlinks>
    <hyperlink ref="B3" location="'N-03 Index DMAIC'!A1" display="← Back to Index"/>
    <hyperlink ref="E30" location="'E-54 Laney p and u Charts'!A1" display="E-54  Laney p' and u' Charts (Overdispersion)"/>
    <hyperlink ref="E31" location="'E-53 c and u Charts'!A1" display="E-53  c and u Charts"/>
    <hyperlink ref="E32" location="'E-53 c and u Charts'!A1" display="E-53  c and u Charts"/>
    <hyperlink ref="B134" location="'E-10 Binomial Distribution'!A1" display="E-10  Binomial Distribution (Defective Units)"/>
    <hyperlink ref="C134" location="'E-12 Weibull Expon Lognorm'!A1" display="E-12  Weibull, Exponential and Lognormal"/>
    <hyperlink ref="D134" location="'E-53 c and u Charts'!A1" display="E-53  c and u Char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2447</v>
      </c>
      <c r="C2" s="3"/>
      <c r="D2" s="3"/>
      <c r="E2" s="3"/>
      <c r="F2" s="3"/>
      <c r="G2" s="3"/>
      <c r="H2" s="3"/>
      <c r="I2" s="3"/>
      <c r="J2" s="3"/>
      <c r="K2" s="46" t="s">
        <v>1389</v>
      </c>
    </row>
    <row r="3" customFormat="false" ht="42" hidden="false" customHeight="true" outlineLevel="0" collapsed="false">
      <c r="B3" s="5" t="s">
        <v>3</v>
      </c>
      <c r="D3" s="6" t="s">
        <v>2448</v>
      </c>
      <c r="E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2449</v>
      </c>
      <c r="D6" s="9"/>
    </row>
    <row r="7" customFormat="false" ht="31.5" hidden="false" customHeight="true" outlineLevel="0" collapsed="false">
      <c r="B7" s="47" t="s">
        <v>1394</v>
      </c>
      <c r="C7" s="9" t="s">
        <v>2450</v>
      </c>
      <c r="D7" s="9"/>
    </row>
    <row r="8" customFormat="false" ht="31.5" hidden="false" customHeight="true" outlineLevel="0" collapsed="false">
      <c r="B8" s="47" t="s">
        <v>1396</v>
      </c>
      <c r="C8" s="9" t="s">
        <v>2451</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2452</v>
      </c>
      <c r="C11" s="9"/>
      <c r="D11" s="9"/>
      <c r="E11" s="9"/>
      <c r="F11" s="9"/>
    </row>
    <row r="12" customFormat="false" ht="17.25" hidden="false" customHeight="true" outlineLevel="0" collapsed="false">
      <c r="B12" s="9" t="s">
        <v>2453</v>
      </c>
      <c r="C12" s="9"/>
      <c r="D12" s="9"/>
      <c r="E12" s="9"/>
      <c r="F12" s="9"/>
    </row>
    <row r="13" customFormat="false" ht="10.5" hidden="false" customHeight="true" outlineLevel="0" collapsed="false">
      <c r="B13" s="9" t="s">
        <v>2454</v>
      </c>
      <c r="C13" s="9"/>
      <c r="D13" s="9"/>
      <c r="E13" s="9"/>
      <c r="F13" s="9"/>
    </row>
    <row r="14" customFormat="false" ht="10.5" hidden="false" customHeight="true" outlineLevel="0" collapsed="false">
      <c r="B14" s="9"/>
      <c r="C14" s="9"/>
      <c r="D14" s="9"/>
      <c r="E14" s="9"/>
      <c r="F14" s="9"/>
    </row>
    <row r="15" customFormat="false" ht="10.5" hidden="false" customHeight="true" outlineLevel="0" collapsed="false">
      <c r="B15" s="9"/>
      <c r="C15" s="9"/>
      <c r="D15" s="9"/>
      <c r="E15" s="9"/>
      <c r="F15" s="9"/>
    </row>
    <row r="16" customFormat="false" ht="15.75" hidden="false" customHeight="true" outlineLevel="0" collapsed="false">
      <c r="B16" s="9" t="s">
        <v>2455</v>
      </c>
      <c r="C16" s="9"/>
      <c r="D16" s="9"/>
      <c r="E16" s="9"/>
      <c r="F16" s="9"/>
    </row>
    <row r="17" customFormat="false" ht="15.75" hidden="false" customHeight="true" outlineLevel="0" collapsed="false">
      <c r="B17" s="9"/>
      <c r="C17" s="9"/>
      <c r="D17" s="9"/>
      <c r="E17" s="9"/>
      <c r="F17" s="9"/>
    </row>
    <row r="18" customFormat="false" ht="10.5" hidden="false" customHeight="true" outlineLevel="0" collapsed="false">
      <c r="B18" s="9" t="s">
        <v>2456</v>
      </c>
      <c r="C18" s="9"/>
      <c r="D18" s="9"/>
      <c r="E18" s="9"/>
      <c r="F18" s="9"/>
    </row>
    <row r="19" customFormat="false" ht="10.5" hidden="false" customHeight="true" outlineLevel="0" collapsed="false">
      <c r="B19" s="9"/>
      <c r="C19" s="9"/>
      <c r="D19" s="9"/>
      <c r="E19" s="9"/>
      <c r="F19" s="9"/>
    </row>
    <row r="20" customFormat="false" ht="10.5" hidden="false" customHeight="true" outlineLevel="0" collapsed="false">
      <c r="B20" s="9"/>
      <c r="C20" s="9"/>
      <c r="D20" s="9"/>
      <c r="E20" s="9"/>
      <c r="F20" s="9"/>
    </row>
    <row r="21" customFormat="false" ht="15.75" hidden="false" customHeight="true" outlineLevel="0" collapsed="false">
      <c r="B21" s="9" t="s">
        <v>2457</v>
      </c>
      <c r="C21" s="9"/>
      <c r="D21" s="9"/>
      <c r="E21" s="9"/>
      <c r="F21" s="9"/>
    </row>
    <row r="22" customFormat="false" ht="15.75" hidden="false" customHeight="true" outlineLevel="0" collapsed="false">
      <c r="B22" s="9"/>
      <c r="C22" s="9"/>
      <c r="D22" s="9"/>
      <c r="E22" s="9"/>
      <c r="F22" s="9"/>
    </row>
    <row r="24" customFormat="false" ht="15.75" hidden="false" customHeight="true" outlineLevel="0" collapsed="false">
      <c r="B24" s="7" t="s">
        <v>1406</v>
      </c>
      <c r="C24" s="8"/>
      <c r="D24" s="8"/>
      <c r="E24" s="8"/>
      <c r="F24" s="8"/>
      <c r="G24" s="8"/>
      <c r="H24" s="8"/>
      <c r="I24" s="8"/>
      <c r="J24" s="8"/>
      <c r="K24" s="8"/>
    </row>
    <row r="25" customFormat="false" ht="17.25" hidden="false" customHeight="true" outlineLevel="0" collapsed="false">
      <c r="B25" s="48" t="s">
        <v>1407</v>
      </c>
      <c r="C25" s="48"/>
      <c r="D25" s="48"/>
      <c r="E25" s="49" t="s">
        <v>1408</v>
      </c>
      <c r="F25" s="49"/>
    </row>
    <row r="26" customFormat="false" ht="31.5" hidden="false" customHeight="true" outlineLevel="0" collapsed="false">
      <c r="B26" s="23" t="s">
        <v>2458</v>
      </c>
      <c r="C26" s="23"/>
      <c r="D26" s="23"/>
      <c r="E26" s="23" t="s">
        <v>2459</v>
      </c>
      <c r="F26" s="23"/>
    </row>
    <row r="27" customFormat="false" ht="45.75" hidden="false" customHeight="true" outlineLevel="0" collapsed="false">
      <c r="B27" s="23" t="s">
        <v>2460</v>
      </c>
      <c r="C27" s="23"/>
      <c r="D27" s="23"/>
      <c r="E27" s="23" t="s">
        <v>2461</v>
      </c>
      <c r="F27" s="23"/>
    </row>
    <row r="28" customFormat="false" ht="31.5" hidden="false" customHeight="true" outlineLevel="0" collapsed="false">
      <c r="B28" s="23" t="s">
        <v>2462</v>
      </c>
      <c r="C28" s="23"/>
      <c r="D28" s="23"/>
      <c r="E28" s="23" t="s">
        <v>2463</v>
      </c>
      <c r="F28" s="23"/>
    </row>
    <row r="29" customFormat="false" ht="17.25" hidden="false" customHeight="true" outlineLevel="0" collapsed="false">
      <c r="B29" s="23" t="s">
        <v>2464</v>
      </c>
      <c r="C29" s="23"/>
      <c r="D29" s="23"/>
      <c r="E29" s="23"/>
      <c r="F29" s="23"/>
    </row>
    <row r="31" customFormat="false" ht="16.5" hidden="false" customHeight="true" outlineLevel="0" collapsed="false">
      <c r="B31" s="11" t="s">
        <v>1416</v>
      </c>
      <c r="C31" s="11" t="s">
        <v>1417</v>
      </c>
      <c r="D31" s="11" t="s">
        <v>1418</v>
      </c>
      <c r="E31" s="11" t="s">
        <v>1419</v>
      </c>
    </row>
    <row r="32" customFormat="false" ht="44.25" hidden="false" customHeight="true" outlineLevel="0" collapsed="false">
      <c r="B32" s="12" t="s">
        <v>2465</v>
      </c>
      <c r="C32" s="12" t="s">
        <v>2466</v>
      </c>
      <c r="D32" s="12" t="s">
        <v>2467</v>
      </c>
      <c r="E32" s="50" t="s">
        <v>1070</v>
      </c>
    </row>
    <row r="33" customFormat="false" ht="44.25" hidden="false" customHeight="true" outlineLevel="0" collapsed="false">
      <c r="B33" s="12" t="s">
        <v>2468</v>
      </c>
      <c r="C33" s="12" t="s">
        <v>2469</v>
      </c>
      <c r="D33" s="12" t="s">
        <v>2470</v>
      </c>
      <c r="E33" s="12"/>
    </row>
    <row r="34" customFormat="false" ht="30.75" hidden="false" customHeight="true" outlineLevel="0" collapsed="false">
      <c r="B34" s="12" t="s">
        <v>2471</v>
      </c>
      <c r="C34" s="12" t="s">
        <v>2472</v>
      </c>
      <c r="D34" s="12" t="s">
        <v>2473</v>
      </c>
      <c r="E34" s="50" t="s">
        <v>1724</v>
      </c>
    </row>
    <row r="36" customFormat="false" ht="15.75" hidden="false" customHeight="true" outlineLevel="0" collapsed="false">
      <c r="B36" s="7" t="s">
        <v>1429</v>
      </c>
      <c r="C36" s="8"/>
      <c r="D36" s="8"/>
      <c r="E36" s="8"/>
      <c r="F36" s="8"/>
      <c r="G36" s="8"/>
      <c r="H36" s="8"/>
      <c r="I36" s="8"/>
      <c r="J36" s="8"/>
      <c r="K36" s="8"/>
    </row>
    <row r="37" customFormat="false" ht="17.25" hidden="false" customHeight="true" outlineLevel="0" collapsed="false">
      <c r="B37" s="51" t="s">
        <v>2474</v>
      </c>
      <c r="C37" s="51"/>
      <c r="D37" s="51"/>
      <c r="E37" s="51"/>
      <c r="F37" s="51"/>
    </row>
    <row r="38" customFormat="false" ht="8.25" hidden="false" customHeight="true" outlineLevel="0" collapsed="false">
      <c r="B38" s="52" t="s">
        <v>2475</v>
      </c>
      <c r="C38" s="52"/>
      <c r="D38" s="52"/>
      <c r="E38" s="52"/>
      <c r="F38" s="52"/>
    </row>
    <row r="39" customFormat="false" ht="8.25" hidden="false" customHeight="true" outlineLevel="0" collapsed="false">
      <c r="B39" s="52"/>
      <c r="C39" s="52"/>
      <c r="D39" s="52"/>
      <c r="E39" s="52"/>
      <c r="F39" s="52"/>
    </row>
    <row r="40" customFormat="false" ht="17.25" hidden="false" customHeight="true" outlineLevel="0" collapsed="false">
      <c r="B40" s="52" t="s">
        <v>2476</v>
      </c>
      <c r="C40" s="52"/>
      <c r="D40" s="52"/>
      <c r="E40" s="52"/>
      <c r="F40" s="52"/>
    </row>
    <row r="41" customFormat="false" ht="17.25" hidden="false" customHeight="true" outlineLevel="0" collapsed="false">
      <c r="B41" s="51" t="s">
        <v>2477</v>
      </c>
      <c r="C41" s="51"/>
      <c r="D41" s="51"/>
      <c r="E41" s="51"/>
      <c r="F41" s="51"/>
    </row>
    <row r="42" customFormat="false" ht="17.25" hidden="false" customHeight="true" outlineLevel="0" collapsed="false">
      <c r="B42" s="52" t="s">
        <v>2478</v>
      </c>
      <c r="C42" s="52"/>
      <c r="D42" s="52"/>
      <c r="E42" s="52"/>
      <c r="F42" s="52"/>
    </row>
    <row r="43" customFormat="false" ht="15" hidden="false" customHeight="true" outlineLevel="0" collapsed="false">
      <c r="B43" s="47" t="s">
        <v>2479</v>
      </c>
    </row>
    <row r="44" customFormat="false" ht="17.25" hidden="false" customHeight="true" outlineLevel="0" collapsed="false">
      <c r="B44" s="52" t="s">
        <v>2480</v>
      </c>
      <c r="C44" s="52"/>
      <c r="D44" s="52"/>
      <c r="E44" s="52"/>
      <c r="F44" s="52"/>
    </row>
    <row r="45" customFormat="false" ht="17.25" hidden="false" customHeight="true" outlineLevel="0" collapsed="false">
      <c r="B45" s="51" t="s">
        <v>2481</v>
      </c>
      <c r="C45" s="51"/>
      <c r="D45" s="51"/>
      <c r="E45" s="51"/>
      <c r="F45" s="51"/>
    </row>
    <row r="46" customFormat="false" ht="8.25" hidden="false" customHeight="true" outlineLevel="0" collapsed="false">
      <c r="B46" s="52" t="s">
        <v>2482</v>
      </c>
      <c r="C46" s="52"/>
      <c r="D46" s="52"/>
      <c r="E46" s="52"/>
      <c r="F46" s="52"/>
    </row>
    <row r="47" customFormat="false" ht="8.25" hidden="false" customHeight="true" outlineLevel="0" collapsed="false">
      <c r="B47" s="52"/>
      <c r="C47" s="52"/>
      <c r="D47" s="52"/>
      <c r="E47" s="52"/>
      <c r="F47" s="52"/>
    </row>
    <row r="48" customFormat="false" ht="17.25" hidden="false" customHeight="true" outlineLevel="0" collapsed="false">
      <c r="B48" s="52" t="s">
        <v>2483</v>
      </c>
      <c r="C48" s="52"/>
      <c r="D48" s="52"/>
      <c r="E48" s="52"/>
      <c r="F48" s="52"/>
    </row>
    <row r="50" customFormat="false" ht="15.75" hidden="false" customHeight="true" outlineLevel="0" collapsed="false">
      <c r="B50" s="7" t="s">
        <v>1437</v>
      </c>
      <c r="C50" s="8"/>
      <c r="D50" s="8"/>
      <c r="E50" s="8"/>
      <c r="F50" s="8"/>
      <c r="G50" s="8"/>
      <c r="H50" s="8"/>
      <c r="I50" s="8"/>
      <c r="J50" s="8"/>
      <c r="K50" s="8"/>
    </row>
    <row r="51" customFormat="false" ht="16.5" hidden="false" customHeight="true" outlineLevel="0" collapsed="false">
      <c r="B51" s="11" t="s">
        <v>1438</v>
      </c>
      <c r="C51" s="11" t="s">
        <v>1439</v>
      </c>
      <c r="D51" s="11" t="s">
        <v>1440</v>
      </c>
    </row>
    <row r="52" customFormat="false" ht="30.75" hidden="false" customHeight="true" outlineLevel="0" collapsed="false">
      <c r="B52" s="12" t="s">
        <v>2484</v>
      </c>
      <c r="C52" s="12" t="s">
        <v>2485</v>
      </c>
      <c r="D52" s="12" t="s">
        <v>2486</v>
      </c>
    </row>
    <row r="53" customFormat="false" ht="30.75" hidden="false" customHeight="true" outlineLevel="0" collapsed="false">
      <c r="B53" s="12" t="s">
        <v>2487</v>
      </c>
      <c r="C53" s="12" t="s">
        <v>2488</v>
      </c>
      <c r="D53" s="12" t="s">
        <v>2489</v>
      </c>
    </row>
    <row r="54" customFormat="false" ht="30.75" hidden="false" customHeight="true" outlineLevel="0" collapsed="false">
      <c r="B54" s="12" t="s">
        <v>2490</v>
      </c>
      <c r="C54" s="12" t="s">
        <v>2491</v>
      </c>
      <c r="D54" s="12" t="s">
        <v>2492</v>
      </c>
    </row>
    <row r="55" customFormat="false" ht="30.75" hidden="false" customHeight="true" outlineLevel="0" collapsed="false">
      <c r="B55" s="12" t="s">
        <v>2493</v>
      </c>
      <c r="C55" s="12" t="s">
        <v>2494</v>
      </c>
      <c r="D55" s="12" t="s">
        <v>2495</v>
      </c>
    </row>
    <row r="56" customFormat="false" ht="30.75" hidden="false" customHeight="true" outlineLevel="0" collapsed="false">
      <c r="B56" s="12" t="s">
        <v>2496</v>
      </c>
      <c r="C56" s="12" t="s">
        <v>2497</v>
      </c>
      <c r="D56" s="12" t="s">
        <v>2498</v>
      </c>
    </row>
    <row r="57" customFormat="false" ht="16.5" hidden="false" customHeight="true" outlineLevel="0" collapsed="false">
      <c r="B57" s="12" t="s">
        <v>2499</v>
      </c>
      <c r="C57" s="12" t="s">
        <v>2500</v>
      </c>
      <c r="D57" s="12" t="s">
        <v>2501</v>
      </c>
    </row>
    <row r="58" customFormat="false" ht="30.75" hidden="false" customHeight="true" outlineLevel="0" collapsed="false">
      <c r="B58" s="12" t="s">
        <v>2502</v>
      </c>
      <c r="C58" s="12" t="s">
        <v>2503</v>
      </c>
      <c r="D58" s="12" t="s">
        <v>2504</v>
      </c>
    </row>
    <row r="59" customFormat="false" ht="28.5" hidden="false" customHeight="true" outlineLevel="0" collapsed="false">
      <c r="B59" s="16" t="s">
        <v>1453</v>
      </c>
      <c r="C59" s="16"/>
      <c r="D59" s="16"/>
      <c r="E59" s="16"/>
      <c r="F59" s="16"/>
    </row>
    <row r="61" customFormat="false" ht="15.75" hidden="false" customHeight="true" outlineLevel="0" collapsed="false">
      <c r="B61" s="7" t="s">
        <v>1454</v>
      </c>
      <c r="C61" s="8"/>
      <c r="D61" s="8"/>
      <c r="E61" s="8"/>
      <c r="F61" s="8"/>
      <c r="G61" s="8"/>
      <c r="H61" s="8"/>
      <c r="I61" s="8"/>
      <c r="J61" s="8"/>
      <c r="K61" s="8"/>
    </row>
    <row r="62" customFormat="false" ht="17.25" hidden="false" customHeight="true" outlineLevel="0" collapsed="false">
      <c r="B62" s="9" t="s">
        <v>2505</v>
      </c>
      <c r="C62" s="9"/>
      <c r="D62" s="9"/>
      <c r="E62" s="9"/>
      <c r="F62" s="9"/>
    </row>
    <row r="63" customFormat="false" ht="8.25" hidden="false" customHeight="true" outlineLevel="0" collapsed="false">
      <c r="B63" s="9" t="s">
        <v>2506</v>
      </c>
      <c r="C63" s="9"/>
      <c r="D63" s="9"/>
      <c r="E63" s="9"/>
      <c r="F63" s="9"/>
    </row>
    <row r="64" customFormat="false" ht="8.25" hidden="false" customHeight="true" outlineLevel="0" collapsed="false">
      <c r="B64" s="9"/>
      <c r="C64" s="9"/>
      <c r="D64" s="9"/>
      <c r="E64" s="9"/>
      <c r="F64" s="9"/>
    </row>
    <row r="65" customFormat="false" ht="15" hidden="false" customHeight="true" outlineLevel="0" collapsed="false">
      <c r="B65" s="19" t="s">
        <v>85</v>
      </c>
      <c r="C65" s="41" t="s">
        <v>86</v>
      </c>
    </row>
    <row r="67" customFormat="false" ht="15" hidden="false" customHeight="true" outlineLevel="0" collapsed="false">
      <c r="B67" s="10" t="s">
        <v>2507</v>
      </c>
      <c r="C67" s="61" t="n">
        <v>1.8</v>
      </c>
    </row>
    <row r="68" customFormat="false" ht="15" hidden="false" customHeight="true" outlineLevel="0" collapsed="false">
      <c r="B68" s="10" t="s">
        <v>2508</v>
      </c>
      <c r="C68" s="65" t="n">
        <v>420</v>
      </c>
    </row>
    <row r="69" customFormat="false" ht="15" hidden="false" customHeight="true" outlineLevel="0" collapsed="false">
      <c r="B69" s="10" t="s">
        <v>2509</v>
      </c>
      <c r="C69" s="65" t="n">
        <v>200</v>
      </c>
    </row>
    <row r="70" customFormat="false" ht="15" hidden="false" customHeight="true" outlineLevel="0" collapsed="false">
      <c r="B70" s="10" t="s">
        <v>2510</v>
      </c>
      <c r="C70" s="65" t="n">
        <v>380</v>
      </c>
    </row>
    <row r="71" customFormat="false" ht="15" hidden="false" customHeight="true" outlineLevel="0" collapsed="false">
      <c r="B71" s="10" t="s">
        <v>2511</v>
      </c>
      <c r="C71" s="61" t="n">
        <v>1.2</v>
      </c>
    </row>
    <row r="72" customFormat="false" ht="15" hidden="false" customHeight="true" outlineLevel="0" collapsed="false">
      <c r="B72" s="10" t="s">
        <v>2512</v>
      </c>
      <c r="C72" s="61" t="n">
        <v>0.65</v>
      </c>
    </row>
    <row r="74" customFormat="false" ht="15" hidden="false" customHeight="true" outlineLevel="0" collapsed="false">
      <c r="B74" s="10" t="s">
        <v>2513</v>
      </c>
      <c r="C74" s="66" t="n">
        <f aca="false">WEIBULL(C69,C67,C68,TRUE())</f>
        <v>0.231281157392698</v>
      </c>
    </row>
    <row r="75" customFormat="false" ht="15" hidden="false" customHeight="true" outlineLevel="0" collapsed="false">
      <c r="B75" s="10" t="s">
        <v>2514</v>
      </c>
      <c r="C75" s="66" t="n">
        <f aca="false">1-WEIBULL(C69,C67,C68,TRUE())</f>
        <v>0.768718842607303</v>
      </c>
    </row>
    <row r="76" customFormat="false" ht="15" hidden="false" customHeight="true" outlineLevel="0" collapsed="false">
      <c r="B76" s="10" t="s">
        <v>2515</v>
      </c>
      <c r="C76" s="67" t="n">
        <f aca="false">C68*EXP(GAMMALN(1+1/C67))</f>
        <v>373.500427629929</v>
      </c>
    </row>
    <row r="77" customFormat="false" ht="15" hidden="false" customHeight="true" outlineLevel="0" collapsed="false">
      <c r="B77" s="10" t="s">
        <v>2516</v>
      </c>
      <c r="C77" s="67" t="n">
        <f aca="false">C68*(-LN(0.9))^(1/C67)</f>
        <v>120.30746094474</v>
      </c>
    </row>
    <row r="78" customFormat="false" ht="15" hidden="false" customHeight="true" outlineLevel="0" collapsed="false">
      <c r="B78" s="10" t="s">
        <v>2517</v>
      </c>
      <c r="C78" s="66" t="n">
        <f aca="false">1-EXPONDIST(C69,1/C70,TRUE())</f>
        <v>0.590777513901232</v>
      </c>
    </row>
    <row r="79" customFormat="false" ht="15" hidden="false" customHeight="true" outlineLevel="0" collapsed="false">
      <c r="B79" s="10" t="s">
        <v>2518</v>
      </c>
      <c r="C79" s="66" t="n">
        <f aca="false">LOGNORMDIST(C69,C71,C72)</f>
        <v>0.999999999855999</v>
      </c>
    </row>
    <row r="81" customFormat="false" ht="15.75" hidden="false" customHeight="true" outlineLevel="0" collapsed="false">
      <c r="B81" s="7" t="s">
        <v>2519</v>
      </c>
      <c r="C81" s="8"/>
      <c r="D81" s="8"/>
      <c r="E81" s="8"/>
      <c r="F81" s="8"/>
      <c r="G81" s="8"/>
      <c r="H81" s="8"/>
      <c r="I81" s="8"/>
      <c r="J81" s="8"/>
      <c r="K81" s="8"/>
    </row>
    <row r="82" customFormat="false" ht="16.5" hidden="false" customHeight="true" outlineLevel="0" collapsed="false">
      <c r="B82" s="11" t="s">
        <v>2520</v>
      </c>
      <c r="C82" s="11" t="s">
        <v>2521</v>
      </c>
      <c r="D82" s="11" t="s">
        <v>2522</v>
      </c>
      <c r="E82" s="11" t="s">
        <v>2523</v>
      </c>
    </row>
    <row r="83" customFormat="false" ht="15" hidden="false" customHeight="true" outlineLevel="0" collapsed="false">
      <c r="B83" s="65" t="n">
        <v>86</v>
      </c>
      <c r="C83" s="66" t="n">
        <f aca="false">(RANK(B83,$B$83:$B$97,1)-0.3)/(15+0.4)</f>
        <v>0.0454545454545455</v>
      </c>
      <c r="D83" s="66" t="n">
        <f aca="false">LN(B83)</f>
        <v>4.45434729625351</v>
      </c>
      <c r="E83" s="66" t="n">
        <f aca="false">LN(-LN(1-C83))</f>
        <v>-3.06787261524203</v>
      </c>
    </row>
    <row r="84" customFormat="false" ht="15" hidden="false" customHeight="true" outlineLevel="0" collapsed="false">
      <c r="B84" s="65" t="n">
        <v>132</v>
      </c>
      <c r="C84" s="66" t="n">
        <f aca="false">(RANK(B84,$B$83:$B$97,1)-0.3)/(15+0.4)</f>
        <v>0.11038961038961</v>
      </c>
      <c r="D84" s="66" t="n">
        <f aca="false">LN(B84)</f>
        <v>4.88280192258637</v>
      </c>
      <c r="E84" s="66" t="n">
        <f aca="false">LN(-LN(1-C84))</f>
        <v>-2.14582345395636</v>
      </c>
    </row>
    <row r="85" customFormat="false" ht="15" hidden="false" customHeight="true" outlineLevel="0" collapsed="false">
      <c r="B85" s="65" t="n">
        <v>171</v>
      </c>
      <c r="C85" s="66" t="n">
        <f aca="false">(RANK(B85,$B$83:$B$97,1)-0.3)/(15+0.4)</f>
        <v>0.175324675324675</v>
      </c>
      <c r="D85" s="66" t="n">
        <f aca="false">LN(B85)</f>
        <v>5.14166355650266</v>
      </c>
      <c r="E85" s="66" t="n">
        <f aca="false">LN(-LN(1-C85))</f>
        <v>-1.64628077195727</v>
      </c>
    </row>
    <row r="86" customFormat="false" ht="15" hidden="false" customHeight="true" outlineLevel="0" collapsed="false">
      <c r="B86" s="65" t="n">
        <v>204</v>
      </c>
      <c r="C86" s="66" t="n">
        <f aca="false">(RANK(B86,$B$83:$B$97,1)-0.3)/(15+0.4)</f>
        <v>0.24025974025974</v>
      </c>
      <c r="D86" s="66" t="n">
        <f aca="false">LN(B86)</f>
        <v>5.31811999384422</v>
      </c>
      <c r="E86" s="66" t="n">
        <f aca="false">LN(-LN(1-C86))</f>
        <v>-1.29178935041041</v>
      </c>
    </row>
    <row r="87" customFormat="false" ht="15" hidden="false" customHeight="true" outlineLevel="0" collapsed="false">
      <c r="B87" s="65" t="n">
        <v>238</v>
      </c>
      <c r="C87" s="66" t="n">
        <f aca="false">(RANK(B87,$B$83:$B$97,1)-0.3)/(15+0.4)</f>
        <v>0.305194805194805</v>
      </c>
      <c r="D87" s="66" t="n">
        <f aca="false">LN(B87)</f>
        <v>5.47227067367148</v>
      </c>
      <c r="E87" s="66" t="n">
        <f aca="false">LN(-LN(1-C87))</f>
        <v>-1.01026144729433</v>
      </c>
    </row>
    <row r="88" customFormat="false" ht="15" hidden="false" customHeight="true" outlineLevel="0" collapsed="false">
      <c r="B88" s="65" t="n">
        <v>271</v>
      </c>
      <c r="C88" s="66" t="n">
        <f aca="false">(RANK(B88,$B$83:$B$97,1)-0.3)/(15+0.4)</f>
        <v>0.37012987012987</v>
      </c>
      <c r="D88" s="66" t="n">
        <f aca="false">LN(B88)</f>
        <v>5.6021188208797</v>
      </c>
      <c r="E88" s="66" t="n">
        <f aca="false">LN(-LN(1-C88))</f>
        <v>-0.771667529138144</v>
      </c>
    </row>
    <row r="89" customFormat="false" ht="15" hidden="false" customHeight="true" outlineLevel="0" collapsed="false">
      <c r="B89" s="65" t="n">
        <v>305</v>
      </c>
      <c r="C89" s="66" t="n">
        <f aca="false">(RANK(B89,$B$83:$B$97,1)-0.3)/(15+0.4)</f>
        <v>0.435064935064935</v>
      </c>
      <c r="D89" s="66" t="n">
        <f aca="false">LN(B89)</f>
        <v>5.72031177660741</v>
      </c>
      <c r="E89" s="66" t="n">
        <f aca="false">LN(-LN(1-C89))</f>
        <v>-0.56028816735348</v>
      </c>
    </row>
    <row r="90" customFormat="false" ht="15" hidden="false" customHeight="true" outlineLevel="0" collapsed="false">
      <c r="B90" s="65" t="n">
        <v>342</v>
      </c>
      <c r="C90" s="66" t="n">
        <f aca="false">(RANK(B90,$B$83:$B$97,1)-0.3)/(15+0.4)</f>
        <v>0.5</v>
      </c>
      <c r="D90" s="66" t="n">
        <f aca="false">LN(B90)</f>
        <v>5.83481073706261</v>
      </c>
      <c r="E90" s="66" t="n">
        <f aca="false">LN(-LN(1-C90))</f>
        <v>-0.366512920581664</v>
      </c>
    </row>
    <row r="91" customFormat="false" ht="15" hidden="false" customHeight="true" outlineLevel="0" collapsed="false">
      <c r="B91" s="65" t="n">
        <v>381</v>
      </c>
      <c r="C91" s="66" t="n">
        <f aca="false">(RANK(B91,$B$83:$B$97,1)-0.3)/(15+0.4)</f>
        <v>0.564935064935065</v>
      </c>
      <c r="D91" s="66" t="n">
        <f aca="false">LN(B91)</f>
        <v>5.9427993751267</v>
      </c>
      <c r="E91" s="66" t="n">
        <f aca="false">LN(-LN(1-C91))</f>
        <v>-0.183610407377962</v>
      </c>
    </row>
    <row r="92" customFormat="false" ht="15" hidden="false" customHeight="true" outlineLevel="0" collapsed="false">
      <c r="B92" s="65" t="n">
        <v>425</v>
      </c>
      <c r="C92" s="66" t="n">
        <f aca="false">(RANK(B92,$B$83:$B$97,1)-0.3)/(15+0.4)</f>
        <v>0.62987012987013</v>
      </c>
      <c r="D92" s="66" t="n">
        <f aca="false">LN(B92)</f>
        <v>6.05208916892442</v>
      </c>
      <c r="E92" s="66" t="n">
        <f aca="false">LN(-LN(1-C92))</f>
        <v>-0.00611733823910304</v>
      </c>
    </row>
    <row r="93" customFormat="false" ht="15" hidden="false" customHeight="true" outlineLevel="0" collapsed="false">
      <c r="B93" s="65" t="n">
        <v>470</v>
      </c>
      <c r="C93" s="66" t="n">
        <f aca="false">(RANK(B93,$B$83:$B$97,1)-0.3)/(15+0.4)</f>
        <v>0.694805194805195</v>
      </c>
      <c r="D93" s="66" t="n">
        <f aca="false">LN(B93)</f>
        <v>6.1527326947041</v>
      </c>
      <c r="E93" s="66" t="n">
        <f aca="false">LN(-LN(1-C93))</f>
        <v>0.171264823028257</v>
      </c>
    </row>
    <row r="94" customFormat="false" ht="15" hidden="false" customHeight="true" outlineLevel="0" collapsed="false">
      <c r="B94" s="65" t="n">
        <v>522</v>
      </c>
      <c r="C94" s="66" t="n">
        <f aca="false">(RANK(B94,$B$83:$B$97,1)-0.3)/(15+0.4)</f>
        <v>0.75974025974026</v>
      </c>
      <c r="D94" s="66" t="n">
        <f aca="false">LN(B94)</f>
        <v>6.25766758788264</v>
      </c>
      <c r="E94" s="66" t="n">
        <f aca="false">LN(-LN(1-C94))</f>
        <v>0.354897648322727</v>
      </c>
    </row>
    <row r="95" customFormat="false" ht="15" hidden="false" customHeight="true" outlineLevel="0" collapsed="false">
      <c r="B95" s="65" t="n">
        <v>588</v>
      </c>
      <c r="C95" s="66" t="n">
        <f aca="false">(RANK(B95,$B$83:$B$97,1)-0.3)/(15+0.4)</f>
        <v>0.824675324675325</v>
      </c>
      <c r="D95" s="66" t="n">
        <f aca="false">LN(B95)</f>
        <v>6.37672694789863</v>
      </c>
      <c r="E95" s="66" t="n">
        <f aca="false">LN(-LN(1-C95))</f>
        <v>0.554526135549158</v>
      </c>
    </row>
    <row r="96" customFormat="false" ht="15" hidden="false" customHeight="true" outlineLevel="0" collapsed="false">
      <c r="B96" s="65" t="n">
        <v>671</v>
      </c>
      <c r="C96" s="66" t="n">
        <f aca="false">(RANK(B96,$B$83:$B$97,1)-0.3)/(15+0.4)</f>
        <v>0.88961038961039</v>
      </c>
      <c r="D96" s="66" t="n">
        <f aca="false">LN(B96)</f>
        <v>6.50876913697168</v>
      </c>
      <c r="E96" s="66" t="n">
        <f aca="false">LN(-LN(1-C96))</f>
        <v>0.790155580461643</v>
      </c>
    </row>
    <row r="97" customFormat="false" ht="15" hidden="false" customHeight="true" outlineLevel="0" collapsed="false">
      <c r="B97" s="65" t="n">
        <v>812</v>
      </c>
      <c r="C97" s="66" t="n">
        <f aca="false">(RANK(B97,$B$83:$B$97,1)-0.3)/(15+0.4)</f>
        <v>0.954545454545455</v>
      </c>
      <c r="D97" s="66" t="n">
        <f aca="false">LN(B97)</f>
        <v>6.69950034016168</v>
      </c>
      <c r="E97" s="66" t="n">
        <f aca="false">LN(-LN(1-C97))</f>
        <v>1.12850839756175</v>
      </c>
    </row>
    <row r="99" customFormat="false" ht="15" hidden="false" customHeight="true" outlineLevel="0" collapsed="false">
      <c r="B99" s="10" t="s">
        <v>2524</v>
      </c>
      <c r="C99" s="63" t="n">
        <f aca="false">SLOPE($E$83:$E$97,$D$83:$D$97)</f>
        <v>1.83186400378051</v>
      </c>
    </row>
    <row r="100" customFormat="false" ht="15" hidden="false" customHeight="true" outlineLevel="0" collapsed="false">
      <c r="B100" s="10" t="s">
        <v>2525</v>
      </c>
      <c r="C100" s="67" t="n">
        <f aca="false">EXP(-INTERCEPT($E$83:$E$97,$D$83:$D$97)/C99)</f>
        <v>425.859345330941</v>
      </c>
    </row>
    <row r="101" customFormat="false" ht="15" hidden="false" customHeight="true" outlineLevel="0" collapsed="false">
      <c r="B101" s="10" t="s">
        <v>2526</v>
      </c>
      <c r="C101" s="66" t="n">
        <f aca="false">CORREL($D$83:$D$97,$E$83:$E$97)</f>
        <v>0.998929036670339</v>
      </c>
    </row>
    <row r="102" customFormat="false" ht="15" hidden="false" customHeight="true" outlineLevel="0" collapsed="false">
      <c r="B102" s="10" t="s">
        <v>2527</v>
      </c>
      <c r="C102" s="67" t="n">
        <f aca="false">C100*EXP(GAMMALN(1+1/C99))</f>
        <v>378.407919830267</v>
      </c>
    </row>
    <row r="103" customFormat="false" ht="15" hidden="false" customHeight="true" outlineLevel="0" collapsed="false">
      <c r="B103" s="10" t="s">
        <v>2528</v>
      </c>
      <c r="C103" s="67" t="n">
        <f aca="false">C100*(-LN(0.9))^(1/C99)</f>
        <v>124.667660223308</v>
      </c>
    </row>
    <row r="105" customFormat="false" ht="15.75" hidden="false" customHeight="true" outlineLevel="0" collapsed="false">
      <c r="B105" s="7" t="s">
        <v>1493</v>
      </c>
      <c r="C105" s="8"/>
      <c r="D105" s="8"/>
      <c r="E105" s="8"/>
      <c r="F105" s="8"/>
      <c r="G105" s="8"/>
      <c r="H105" s="8"/>
      <c r="I105" s="8"/>
      <c r="J105" s="8"/>
      <c r="K105" s="8"/>
    </row>
    <row r="106" customFormat="false" ht="33.75" hidden="false" customHeight="true" outlineLevel="0" collapsed="false">
      <c r="B106" s="53" t="s">
        <v>1494</v>
      </c>
      <c r="C106" s="54" t="str">
        <f aca="false">IF(C101&lt;0.95,"POOR FIT - the probability plot is not straight. Suspect two mixed failure modes; stratify on H-09.",IF(C99&lt;0.9,"INFANT MORTALITY (beta &lt; 1) - failures fall with age. Preventive replacement will make things WORSE. Attack installation, commissioning and burn-in.",IF(C99&lt;1.2,"RANDOM FAILURE (beta near 1) - constant failure rate. Preventive replacement is pointless; improve detection and spares availability instead.","WEAR-OUT (beta &gt; 1) - failure rate rises with age. Preventive replacement before the B10 life is justified.")))</f>
        <v>WEAR-OUT (beta &gt; 1) - failure rate rises with age. Preventive replacement before the B10 life is justified.</v>
      </c>
      <c r="D106" s="54"/>
    </row>
    <row r="108" customFormat="false" ht="16.5" hidden="false" customHeight="true" outlineLevel="0" collapsed="false">
      <c r="B108" s="11" t="s">
        <v>1495</v>
      </c>
      <c r="C108" s="11" t="s">
        <v>1496</v>
      </c>
      <c r="D108" s="11" t="s">
        <v>1497</v>
      </c>
    </row>
    <row r="109" customFormat="false" ht="30.75" hidden="false" customHeight="true" outlineLevel="0" collapsed="false">
      <c r="B109" s="12" t="s">
        <v>2529</v>
      </c>
      <c r="C109" s="12" t="s">
        <v>2530</v>
      </c>
      <c r="D109" s="12" t="s">
        <v>2531</v>
      </c>
    </row>
    <row r="110" customFormat="false" ht="30.75" hidden="false" customHeight="true" outlineLevel="0" collapsed="false">
      <c r="B110" s="12" t="s">
        <v>2532</v>
      </c>
      <c r="C110" s="12" t="s">
        <v>2533</v>
      </c>
      <c r="D110" s="12" t="s">
        <v>2534</v>
      </c>
    </row>
    <row r="111" customFormat="false" ht="30.75" hidden="false" customHeight="true" outlineLevel="0" collapsed="false">
      <c r="B111" s="12" t="s">
        <v>2535</v>
      </c>
      <c r="C111" s="12" t="s">
        <v>2536</v>
      </c>
      <c r="D111" s="12" t="s">
        <v>2537</v>
      </c>
    </row>
    <row r="112" customFormat="false" ht="30.75" hidden="false" customHeight="true" outlineLevel="0" collapsed="false">
      <c r="B112" s="12" t="s">
        <v>2538</v>
      </c>
      <c r="C112" s="12" t="s">
        <v>2539</v>
      </c>
      <c r="D112" s="12" t="s">
        <v>2540</v>
      </c>
    </row>
    <row r="114" customFormat="false" ht="15" hidden="false" customHeight="true" outlineLevel="0" collapsed="false">
      <c r="B114" s="55" t="s">
        <v>1507</v>
      </c>
    </row>
    <row r="115" customFormat="false" ht="17.25" hidden="false" customHeight="true" outlineLevel="0" collapsed="false">
      <c r="B115" s="9" t="s">
        <v>2541</v>
      </c>
      <c r="C115" s="9"/>
      <c r="D115" s="9"/>
      <c r="E115" s="9"/>
      <c r="F115" s="9"/>
    </row>
    <row r="116" customFormat="false" ht="17.25" hidden="false" customHeight="true" outlineLevel="0" collapsed="false">
      <c r="B116" s="9" t="s">
        <v>2542</v>
      </c>
      <c r="C116" s="9"/>
      <c r="D116" s="9"/>
      <c r="E116" s="9"/>
      <c r="F116" s="9"/>
    </row>
    <row r="117" customFormat="false" ht="17.25" hidden="false" customHeight="true" outlineLevel="0" collapsed="false">
      <c r="B117" s="9" t="s">
        <v>2543</v>
      </c>
      <c r="C117" s="9"/>
      <c r="D117" s="9"/>
      <c r="E117" s="9"/>
      <c r="F117" s="9"/>
    </row>
    <row r="118" customFormat="false" ht="17.25" hidden="false" customHeight="true" outlineLevel="0" collapsed="false">
      <c r="B118" s="9" t="s">
        <v>2544</v>
      </c>
      <c r="C118" s="9"/>
      <c r="D118" s="9"/>
      <c r="E118" s="9"/>
      <c r="F118" s="9"/>
    </row>
    <row r="119" customFormat="false" ht="17.25" hidden="false" customHeight="true" outlineLevel="0" collapsed="false">
      <c r="B119" s="9" t="s">
        <v>2545</v>
      </c>
      <c r="C119" s="9"/>
      <c r="D119" s="9"/>
      <c r="E119" s="9"/>
      <c r="F119" s="9"/>
    </row>
    <row r="121" customFormat="false" ht="15.75" hidden="false" customHeight="true" outlineLevel="0" collapsed="false">
      <c r="B121" s="7" t="s">
        <v>1513</v>
      </c>
      <c r="C121" s="8"/>
      <c r="D121" s="8"/>
      <c r="E121" s="8"/>
      <c r="F121" s="8"/>
      <c r="G121" s="8"/>
      <c r="H121" s="8"/>
      <c r="I121" s="8"/>
      <c r="J121" s="8"/>
      <c r="K121" s="8"/>
    </row>
    <row r="122" customFormat="false" ht="17.25" hidden="false" customHeight="true" outlineLevel="0" collapsed="false">
      <c r="B122" s="9" t="s">
        <v>1514</v>
      </c>
      <c r="C122" s="9"/>
      <c r="D122" s="9"/>
      <c r="E122" s="9"/>
      <c r="N122" s="56" t="s">
        <v>1515</v>
      </c>
    </row>
    <row r="123" customFormat="false" ht="17.25" hidden="false" customHeight="true" outlineLevel="0" collapsed="false">
      <c r="B123" s="9" t="s">
        <v>2546</v>
      </c>
      <c r="C123" s="9"/>
      <c r="D123" s="9"/>
      <c r="E123" s="9"/>
      <c r="N123" s="57" t="s">
        <v>2547</v>
      </c>
    </row>
    <row r="124" customFormat="false" ht="17.25" hidden="false" customHeight="true" outlineLevel="0" collapsed="false">
      <c r="B124" s="9" t="s">
        <v>2548</v>
      </c>
      <c r="C124" s="9"/>
      <c r="D124" s="9"/>
      <c r="E124" s="9"/>
      <c r="N124" s="57" t="s">
        <v>2549</v>
      </c>
    </row>
    <row r="125" customFormat="false" ht="17.25" hidden="false" customHeight="true" outlineLevel="0" collapsed="false">
      <c r="B125" s="9" t="s">
        <v>2550</v>
      </c>
      <c r="C125" s="9"/>
      <c r="D125" s="9"/>
      <c r="E125" s="9"/>
      <c r="N125" s="57" t="s">
        <v>2551</v>
      </c>
    </row>
    <row r="127" customFormat="false" ht="15.75" hidden="false" customHeight="true" outlineLevel="0" collapsed="false">
      <c r="B127" s="7" t="s">
        <v>1522</v>
      </c>
      <c r="C127" s="8"/>
      <c r="D127" s="8"/>
      <c r="E127" s="8"/>
      <c r="F127" s="8"/>
      <c r="G127" s="8"/>
      <c r="H127" s="8"/>
      <c r="I127" s="8"/>
      <c r="J127" s="8"/>
      <c r="K127" s="8"/>
    </row>
    <row r="128" customFormat="false" ht="16.5" hidden="false" customHeight="true" outlineLevel="0" collapsed="false">
      <c r="B128" s="11" t="s">
        <v>1523</v>
      </c>
      <c r="C128" s="11" t="s">
        <v>1524</v>
      </c>
      <c r="D128" s="11" t="s">
        <v>1615</v>
      </c>
    </row>
    <row r="129" customFormat="false" ht="30.75" hidden="false" customHeight="true" outlineLevel="0" collapsed="false">
      <c r="B129" s="58" t="s">
        <v>1093</v>
      </c>
      <c r="C129" s="58" t="s">
        <v>1724</v>
      </c>
      <c r="D129" s="58" t="s">
        <v>964</v>
      </c>
    </row>
  </sheetData>
  <mergeCells count="42">
    <mergeCell ref="B2:J2"/>
    <mergeCell ref="D3:E3"/>
    <mergeCell ref="C6:D6"/>
    <mergeCell ref="C7:D7"/>
    <mergeCell ref="C8:D8"/>
    <mergeCell ref="B11:F11"/>
    <mergeCell ref="B12:F12"/>
    <mergeCell ref="B13:F15"/>
    <mergeCell ref="B16:F17"/>
    <mergeCell ref="B18:F20"/>
    <mergeCell ref="B21:F22"/>
    <mergeCell ref="B25:D25"/>
    <mergeCell ref="E25:F25"/>
    <mergeCell ref="B26:D26"/>
    <mergeCell ref="E26:F26"/>
    <mergeCell ref="B27:D27"/>
    <mergeCell ref="E27:F27"/>
    <mergeCell ref="B28:D28"/>
    <mergeCell ref="E28:F28"/>
    <mergeCell ref="B29:F29"/>
    <mergeCell ref="B37:F37"/>
    <mergeCell ref="B38:F39"/>
    <mergeCell ref="B40:F40"/>
    <mergeCell ref="B41:F41"/>
    <mergeCell ref="B42:F42"/>
    <mergeCell ref="B44:F44"/>
    <mergeCell ref="B45:F45"/>
    <mergeCell ref="B46:F47"/>
    <mergeCell ref="B48:F48"/>
    <mergeCell ref="B59:F59"/>
    <mergeCell ref="B62:F62"/>
    <mergeCell ref="B63:F64"/>
    <mergeCell ref="C106:D106"/>
    <mergeCell ref="B115:F115"/>
    <mergeCell ref="B116:F116"/>
    <mergeCell ref="B117:F117"/>
    <mergeCell ref="B118:F118"/>
    <mergeCell ref="B119:F119"/>
    <mergeCell ref="B122:E122"/>
    <mergeCell ref="B123:E123"/>
    <mergeCell ref="B124:E124"/>
    <mergeCell ref="B125:E125"/>
  </mergeCells>
  <hyperlinks>
    <hyperlink ref="B3" location="'N-03 Index DMAIC'!A1" display="← Back to Index"/>
    <hyperlink ref="E32" location="'H-09 Stratification'!A1" display="H-09  Stratification"/>
    <hyperlink ref="E34" location="'E-13 Distribution ID'!A1" display="E-13  Identifying the Distribution of Your Data"/>
    <hyperlink ref="B129" location="'E-11 Poisson Distribution'!A1" display="E-11  Poisson Distribution (Defects per Unit)"/>
    <hyperlink ref="C129" location="'E-13 Distribution ID'!A1" display="E-13  Identifying the Distribution of Your Data"/>
    <hyperlink ref="D129" location="'E-32 Normality Testing'!A1" display="E-32  Normality Testing and Probability Plo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2552</v>
      </c>
      <c r="C2" s="3"/>
      <c r="D2" s="3"/>
      <c r="E2" s="3"/>
      <c r="F2" s="3"/>
      <c r="G2" s="3"/>
      <c r="H2" s="3"/>
      <c r="I2" s="3"/>
      <c r="J2" s="3"/>
      <c r="K2" s="46" t="s">
        <v>1389</v>
      </c>
    </row>
    <row r="3" customFormat="false" ht="28.5" hidden="false" customHeight="true" outlineLevel="0" collapsed="false">
      <c r="B3" s="5" t="s">
        <v>3</v>
      </c>
      <c r="D3" s="6" t="s">
        <v>2553</v>
      </c>
      <c r="E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284</v>
      </c>
      <c r="D6" s="9"/>
    </row>
    <row r="7" customFormat="false" ht="17.25" hidden="false" customHeight="true" outlineLevel="0" collapsed="false">
      <c r="B7" s="47" t="s">
        <v>1394</v>
      </c>
      <c r="C7" s="9" t="s">
        <v>2554</v>
      </c>
      <c r="D7" s="9"/>
    </row>
    <row r="8" customFormat="false" ht="17.25" hidden="false" customHeight="true" outlineLevel="0" collapsed="false">
      <c r="B8" s="47" t="s">
        <v>1396</v>
      </c>
      <c r="C8" s="9" t="s">
        <v>2555</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5" hidden="false" customHeight="true" outlineLevel="0" collapsed="false">
      <c r="B11" s="9" t="s">
        <v>2556</v>
      </c>
      <c r="C11" s="9"/>
      <c r="D11" s="9"/>
      <c r="E11" s="9"/>
      <c r="F11" s="9"/>
    </row>
    <row r="12" customFormat="false" ht="15" hidden="false" customHeight="true" outlineLevel="0" collapsed="false">
      <c r="B12" s="9"/>
      <c r="C12" s="9"/>
      <c r="D12" s="9"/>
      <c r="E12" s="9"/>
      <c r="F12" s="9"/>
    </row>
    <row r="13" customFormat="false" ht="15" hidden="false" customHeight="true" outlineLevel="0" collapsed="false">
      <c r="B13" s="9"/>
      <c r="C13" s="9"/>
      <c r="D13" s="9"/>
      <c r="E13" s="9"/>
      <c r="F13" s="9"/>
    </row>
    <row r="14" customFormat="false" ht="15" hidden="false" customHeight="true" outlineLevel="0" collapsed="false">
      <c r="B14" s="9" t="s">
        <v>2557</v>
      </c>
      <c r="C14" s="9"/>
      <c r="D14" s="9"/>
      <c r="E14" s="9"/>
      <c r="F14" s="9"/>
    </row>
    <row r="15" customFormat="false" ht="15" hidden="false" customHeight="true" outlineLevel="0" collapsed="false">
      <c r="B15" s="9"/>
      <c r="C15" s="9"/>
      <c r="D15" s="9"/>
      <c r="E15" s="9"/>
      <c r="F15" s="9"/>
    </row>
    <row r="16" customFormat="false" ht="15" hidden="false" customHeight="true" outlineLevel="0" collapsed="false">
      <c r="B16" s="9"/>
      <c r="C16" s="9"/>
      <c r="D16" s="9"/>
      <c r="E16" s="9"/>
      <c r="F16" s="9"/>
    </row>
    <row r="17" customFormat="false" ht="10.5" hidden="false" customHeight="true" outlineLevel="0" collapsed="false">
      <c r="B17" s="9" t="s">
        <v>2558</v>
      </c>
      <c r="C17" s="9"/>
      <c r="D17" s="9"/>
      <c r="E17" s="9"/>
      <c r="F17" s="9"/>
    </row>
    <row r="18" customFormat="false" ht="10.5" hidden="false" customHeight="true" outlineLevel="0" collapsed="false">
      <c r="B18" s="9"/>
      <c r="C18" s="9"/>
      <c r="D18" s="9"/>
      <c r="E18" s="9"/>
      <c r="F18" s="9"/>
    </row>
    <row r="19" customFormat="false" ht="10.5" hidden="false" customHeight="true" outlineLevel="0" collapsed="false">
      <c r="B19" s="9"/>
      <c r="C19" s="9"/>
      <c r="D19" s="9"/>
      <c r="E19" s="9"/>
      <c r="F19" s="9"/>
    </row>
    <row r="20" customFormat="false" ht="17.25" hidden="false" customHeight="true" outlineLevel="0" collapsed="false">
      <c r="B20" s="9" t="s">
        <v>2559</v>
      </c>
      <c r="C20" s="9"/>
      <c r="D20" s="9"/>
      <c r="E20" s="9"/>
      <c r="F20" s="9"/>
    </row>
    <row r="21" customFormat="false" ht="17.25" hidden="false" customHeight="true" outlineLevel="0" collapsed="false">
      <c r="B21" s="9" t="s">
        <v>2560</v>
      </c>
      <c r="C21" s="9"/>
      <c r="D21" s="9"/>
      <c r="E21" s="9"/>
      <c r="F21" s="9"/>
    </row>
    <row r="23" customFormat="false" ht="15.75" hidden="false" customHeight="true" outlineLevel="0" collapsed="false">
      <c r="B23" s="7" t="s">
        <v>1406</v>
      </c>
      <c r="C23" s="8"/>
      <c r="D23" s="8"/>
      <c r="E23" s="8"/>
      <c r="F23" s="8"/>
      <c r="G23" s="8"/>
      <c r="H23" s="8"/>
      <c r="I23" s="8"/>
      <c r="J23" s="8"/>
      <c r="K23" s="8"/>
    </row>
    <row r="24" customFormat="false" ht="17.25" hidden="false" customHeight="true" outlineLevel="0" collapsed="false">
      <c r="B24" s="48" t="s">
        <v>1407</v>
      </c>
      <c r="C24" s="48"/>
      <c r="D24" s="48"/>
      <c r="E24" s="49" t="s">
        <v>1408</v>
      </c>
      <c r="F24" s="49"/>
    </row>
    <row r="25" customFormat="false" ht="31.5" hidden="false" customHeight="true" outlineLevel="0" collapsed="false">
      <c r="B25" s="23" t="s">
        <v>2561</v>
      </c>
      <c r="C25" s="23"/>
      <c r="D25" s="23"/>
      <c r="E25" s="23" t="s">
        <v>2562</v>
      </c>
      <c r="F25" s="23"/>
    </row>
    <row r="26" customFormat="false" ht="17.25" hidden="false" customHeight="true" outlineLevel="0" collapsed="false">
      <c r="B26" s="23" t="s">
        <v>2563</v>
      </c>
      <c r="C26" s="23"/>
      <c r="D26" s="23"/>
      <c r="E26" s="23" t="s">
        <v>2564</v>
      </c>
      <c r="F26" s="23"/>
    </row>
    <row r="27" customFormat="false" ht="31.5" hidden="false" customHeight="true" outlineLevel="0" collapsed="false">
      <c r="B27" s="23" t="s">
        <v>2565</v>
      </c>
      <c r="C27" s="23"/>
      <c r="D27" s="23"/>
      <c r="E27" s="23" t="s">
        <v>2566</v>
      </c>
      <c r="F27" s="23"/>
    </row>
    <row r="28" customFormat="false" ht="17.25" hidden="false" customHeight="true" outlineLevel="0" collapsed="false">
      <c r="B28" s="23" t="s">
        <v>2567</v>
      </c>
      <c r="C28" s="23"/>
      <c r="D28" s="23"/>
      <c r="E28" s="23"/>
      <c r="F28" s="23"/>
    </row>
    <row r="30" customFormat="false" ht="16.5" hidden="false" customHeight="true" outlineLevel="0" collapsed="false">
      <c r="B30" s="11" t="s">
        <v>1416</v>
      </c>
      <c r="C30" s="11" t="s">
        <v>1417</v>
      </c>
      <c r="D30" s="11" t="s">
        <v>1418</v>
      </c>
      <c r="E30" s="11" t="s">
        <v>1419</v>
      </c>
    </row>
    <row r="31" customFormat="false" ht="44.25" hidden="false" customHeight="true" outlineLevel="0" collapsed="false">
      <c r="B31" s="12" t="s">
        <v>2568</v>
      </c>
      <c r="C31" s="12" t="s">
        <v>2569</v>
      </c>
      <c r="D31" s="12" t="s">
        <v>2570</v>
      </c>
      <c r="E31" s="50" t="s">
        <v>1070</v>
      </c>
    </row>
    <row r="32" customFormat="false" ht="30.75" hidden="false" customHeight="true" outlineLevel="0" collapsed="false">
      <c r="B32" s="12" t="s">
        <v>2571</v>
      </c>
      <c r="C32" s="12" t="s">
        <v>2572</v>
      </c>
      <c r="D32" s="12" t="s">
        <v>2573</v>
      </c>
      <c r="E32" s="50" t="s">
        <v>970</v>
      </c>
    </row>
    <row r="33" customFormat="false" ht="30.75" hidden="false" customHeight="true" outlineLevel="0" collapsed="false">
      <c r="B33" s="12" t="s">
        <v>2009</v>
      </c>
      <c r="C33" s="12" t="s">
        <v>2574</v>
      </c>
      <c r="D33" s="12" t="s">
        <v>2575</v>
      </c>
      <c r="E33" s="50" t="s">
        <v>1060</v>
      </c>
    </row>
    <row r="35" customFormat="false" ht="15.75" hidden="false" customHeight="true" outlineLevel="0" collapsed="false">
      <c r="B35" s="7" t="s">
        <v>1429</v>
      </c>
      <c r="C35" s="8"/>
      <c r="D35" s="8"/>
      <c r="E35" s="8"/>
      <c r="F35" s="8"/>
      <c r="G35" s="8"/>
      <c r="H35" s="8"/>
      <c r="I35" s="8"/>
      <c r="J35" s="8"/>
      <c r="K35" s="8"/>
    </row>
    <row r="36" customFormat="false" ht="17.25" hidden="false" customHeight="true" outlineLevel="0" collapsed="false">
      <c r="B36" s="51" t="s">
        <v>2576</v>
      </c>
      <c r="C36" s="51"/>
      <c r="D36" s="51"/>
      <c r="E36" s="51"/>
      <c r="F36" s="51"/>
    </row>
    <row r="37" customFormat="false" ht="15" hidden="false" customHeight="true" outlineLevel="0" collapsed="false">
      <c r="B37" s="59" t="s">
        <v>2577</v>
      </c>
    </row>
    <row r="38" customFormat="false" ht="17.25" hidden="false" customHeight="true" outlineLevel="0" collapsed="false">
      <c r="B38" s="51" t="s">
        <v>2578</v>
      </c>
      <c r="C38" s="51"/>
      <c r="D38" s="51"/>
      <c r="E38" s="51"/>
      <c r="F38" s="51"/>
    </row>
    <row r="39" customFormat="false" ht="10.5" hidden="false" customHeight="true" outlineLevel="0" collapsed="false">
      <c r="B39" s="52" t="s">
        <v>2579</v>
      </c>
      <c r="C39" s="52"/>
      <c r="D39" s="52"/>
      <c r="E39" s="52"/>
      <c r="F39" s="52"/>
    </row>
    <row r="40" customFormat="false" ht="10.5" hidden="false" customHeight="true" outlineLevel="0" collapsed="false">
      <c r="B40" s="52"/>
      <c r="C40" s="52"/>
      <c r="D40" s="52"/>
      <c r="E40" s="52"/>
      <c r="F40" s="52"/>
    </row>
    <row r="41" customFormat="false" ht="10.5" hidden="false" customHeight="true" outlineLevel="0" collapsed="false">
      <c r="B41" s="52"/>
      <c r="C41" s="52"/>
      <c r="D41" s="52"/>
      <c r="E41" s="52"/>
      <c r="F41" s="52"/>
    </row>
    <row r="42" customFormat="false" ht="15" hidden="false" customHeight="true" outlineLevel="0" collapsed="false">
      <c r="B42" s="47" t="s">
        <v>2580</v>
      </c>
    </row>
    <row r="43" customFormat="false" ht="15.75" hidden="false" customHeight="true" outlineLevel="0" collapsed="false">
      <c r="B43" s="52" t="s">
        <v>2581</v>
      </c>
      <c r="C43" s="52"/>
      <c r="D43" s="52"/>
      <c r="E43" s="52"/>
      <c r="F43" s="52"/>
    </row>
    <row r="44" customFormat="false" ht="15.75" hidden="false" customHeight="true" outlineLevel="0" collapsed="false">
      <c r="B44" s="52"/>
      <c r="C44" s="52"/>
      <c r="D44" s="52"/>
      <c r="E44" s="52"/>
      <c r="F44" s="52"/>
    </row>
    <row r="46" customFormat="false" ht="15.75" hidden="false" customHeight="true" outlineLevel="0" collapsed="false">
      <c r="B46" s="7" t="s">
        <v>1437</v>
      </c>
      <c r="C46" s="8"/>
      <c r="D46" s="8"/>
      <c r="E46" s="8"/>
      <c r="F46" s="8"/>
      <c r="G46" s="8"/>
      <c r="H46" s="8"/>
      <c r="I46" s="8"/>
      <c r="J46" s="8"/>
      <c r="K46" s="8"/>
    </row>
    <row r="47" customFormat="false" ht="17.25" hidden="false" customHeight="true" outlineLevel="0" collapsed="false">
      <c r="B47" s="11" t="s">
        <v>1438</v>
      </c>
      <c r="C47" s="11" t="s">
        <v>1439</v>
      </c>
      <c r="D47" s="11" t="s">
        <v>1440</v>
      </c>
      <c r="E47" s="11"/>
    </row>
    <row r="48" customFormat="false" ht="17.25" hidden="false" customHeight="true" outlineLevel="0" collapsed="false">
      <c r="B48" s="12" t="s">
        <v>2496</v>
      </c>
      <c r="C48" s="12" t="s">
        <v>2497</v>
      </c>
      <c r="D48" s="12" t="s">
        <v>2582</v>
      </c>
      <c r="E48" s="12"/>
    </row>
    <row r="49" customFormat="false" ht="17.25" hidden="false" customHeight="true" outlineLevel="0" collapsed="false">
      <c r="B49" s="12" t="s">
        <v>1574</v>
      </c>
      <c r="C49" s="12" t="s">
        <v>1575</v>
      </c>
      <c r="D49" s="12" t="s">
        <v>2583</v>
      </c>
      <c r="E49" s="12"/>
    </row>
    <row r="50" customFormat="false" ht="31.5" hidden="false" customHeight="true" outlineLevel="0" collapsed="false">
      <c r="B50" s="12" t="s">
        <v>2584</v>
      </c>
      <c r="C50" s="12" t="s">
        <v>2585</v>
      </c>
      <c r="D50" s="12" t="s">
        <v>2586</v>
      </c>
      <c r="E50" s="12"/>
    </row>
    <row r="51" customFormat="false" ht="17.25" hidden="false" customHeight="true" outlineLevel="0" collapsed="false">
      <c r="B51" s="12" t="s">
        <v>2502</v>
      </c>
      <c r="C51" s="12" t="s">
        <v>2503</v>
      </c>
      <c r="D51" s="12" t="s">
        <v>2587</v>
      </c>
      <c r="E51" s="12"/>
    </row>
    <row r="52" customFormat="false" ht="17.25" hidden="false" customHeight="true" outlineLevel="0" collapsed="false">
      <c r="B52" s="12" t="s">
        <v>2588</v>
      </c>
      <c r="C52" s="12" t="s">
        <v>2589</v>
      </c>
      <c r="D52" s="12" t="s">
        <v>2590</v>
      </c>
      <c r="E52" s="12"/>
    </row>
    <row r="53" customFormat="false" ht="30.75" hidden="false" customHeight="true" outlineLevel="0" collapsed="false">
      <c r="B53" s="12" t="s">
        <v>2591</v>
      </c>
      <c r="C53" s="12" t="s">
        <v>2592</v>
      </c>
      <c r="D53" s="12" t="s">
        <v>2593</v>
      </c>
      <c r="E53" s="12"/>
    </row>
    <row r="54" customFormat="false" ht="28.5" hidden="false" customHeight="true" outlineLevel="0" collapsed="false">
      <c r="B54" s="16" t="s">
        <v>1453</v>
      </c>
      <c r="C54" s="16"/>
      <c r="D54" s="16"/>
      <c r="E54" s="16"/>
      <c r="F54" s="16"/>
    </row>
    <row r="56" customFormat="false" ht="15.75" hidden="false" customHeight="true" outlineLevel="0" collapsed="false">
      <c r="B56" s="7" t="s">
        <v>1454</v>
      </c>
      <c r="C56" s="8"/>
      <c r="D56" s="8"/>
      <c r="E56" s="8"/>
      <c r="F56" s="8"/>
      <c r="G56" s="8"/>
      <c r="H56" s="8"/>
      <c r="I56" s="8"/>
      <c r="J56" s="8"/>
      <c r="K56" s="8"/>
    </row>
    <row r="57" customFormat="false" ht="15.75" hidden="false" customHeight="true" outlineLevel="0" collapsed="false">
      <c r="B57" s="9" t="s">
        <v>2594</v>
      </c>
      <c r="C57" s="9"/>
      <c r="D57" s="9"/>
      <c r="E57" s="9"/>
      <c r="F57" s="9"/>
    </row>
    <row r="58" customFormat="false" ht="15.75" hidden="false" customHeight="true" outlineLevel="0" collapsed="false">
      <c r="B58" s="9"/>
      <c r="C58" s="9"/>
      <c r="D58" s="9"/>
      <c r="E58" s="9"/>
      <c r="F58" s="9"/>
    </row>
    <row r="59" customFormat="false" ht="15" hidden="false" customHeight="true" outlineLevel="0" collapsed="false">
      <c r="B59" s="19" t="s">
        <v>85</v>
      </c>
      <c r="C59" s="41" t="s">
        <v>86</v>
      </c>
    </row>
    <row r="61" customFormat="false" ht="16.5" hidden="false" customHeight="true" outlineLevel="0" collapsed="false">
      <c r="B61" s="11" t="s">
        <v>2595</v>
      </c>
      <c r="C61" s="11" t="s">
        <v>2521</v>
      </c>
      <c r="D61" s="11" t="s">
        <v>2596</v>
      </c>
      <c r="E61" s="11" t="s">
        <v>2597</v>
      </c>
      <c r="F61" s="11" t="s">
        <v>2598</v>
      </c>
    </row>
    <row r="62" customFormat="false" ht="15" hidden="false" customHeight="true" outlineLevel="0" collapsed="false">
      <c r="B62" s="61" t="n">
        <v>2.1</v>
      </c>
      <c r="C62" s="66" t="n">
        <f aca="false">(RANK(B62,$B$62:$B$91,1)-0.3)/(30+0.4)</f>
        <v>0.154605263157895</v>
      </c>
      <c r="D62" s="66" t="n">
        <f aca="false">NORMSINV(C62)</f>
        <v>-1.01687998404186</v>
      </c>
      <c r="E62" s="66" t="n">
        <f aca="false">LN(B62)</f>
        <v>0.741937344729377</v>
      </c>
      <c r="F62" s="66" t="n">
        <f aca="false">LN(-LN(1-C62))</f>
        <v>-1.78407933801629</v>
      </c>
    </row>
    <row r="63" customFormat="false" ht="15" hidden="false" customHeight="true" outlineLevel="0" collapsed="false">
      <c r="B63" s="61" t="n">
        <v>3.4</v>
      </c>
      <c r="C63" s="66" t="n">
        <f aca="false">(RANK(B63,$B$62:$B$91,1)-0.3)/(30+0.4)</f>
        <v>0.483552631578947</v>
      </c>
      <c r="D63" s="66" t="n">
        <f aca="false">NORMSINV(C63)</f>
        <v>-0.0412391247383855</v>
      </c>
      <c r="E63" s="66" t="n">
        <f aca="false">LN(B63)</f>
        <v>1.22377543162212</v>
      </c>
      <c r="F63" s="66" t="n">
        <f aca="false">LN(-LN(1-C63))</f>
        <v>-0.414331454157463</v>
      </c>
    </row>
    <row r="64" customFormat="false" ht="15" hidden="false" customHeight="true" outlineLevel="0" collapsed="false">
      <c r="B64" s="61" t="n">
        <v>1.8</v>
      </c>
      <c r="C64" s="66" t="n">
        <f aca="false">(RANK(B64,$B$62:$B$91,1)-0.3)/(30+0.4)</f>
        <v>0.0888157894736842</v>
      </c>
      <c r="D64" s="66" t="n">
        <f aca="false">NORMSINV(C64)</f>
        <v>-1.34808334077318</v>
      </c>
      <c r="E64" s="66" t="n">
        <f aca="false">LN(B64)</f>
        <v>0.587786664902119</v>
      </c>
      <c r="F64" s="66" t="n">
        <f aca="false">LN(-LN(1-C64))</f>
        <v>-2.37504616582788</v>
      </c>
    </row>
    <row r="65" customFormat="false" ht="15" hidden="false" customHeight="true" outlineLevel="0" collapsed="false">
      <c r="B65" s="61" t="n">
        <v>5.2</v>
      </c>
      <c r="C65" s="66" t="n">
        <f aca="false">(RANK(B65,$B$62:$B$91,1)-0.3)/(30+0.4)</f>
        <v>0.779605263157895</v>
      </c>
      <c r="D65" s="66" t="n">
        <f aca="false">NORMSINV(C65)</f>
        <v>0.770860750605748</v>
      </c>
      <c r="E65" s="66" t="n">
        <f aca="false">LN(B65)</f>
        <v>1.64865862558738</v>
      </c>
      <c r="F65" s="66" t="n">
        <f aca="false">LN(-LN(1-C65))</f>
        <v>0.4136548682938</v>
      </c>
    </row>
    <row r="66" customFormat="false" ht="15" hidden="false" customHeight="true" outlineLevel="0" collapsed="false">
      <c r="B66" s="61" t="n">
        <v>2.9</v>
      </c>
      <c r="C66" s="66" t="n">
        <f aca="false">(RANK(B66,$B$62:$B$91,1)-0.3)/(30+0.4)</f>
        <v>0.384868421052632</v>
      </c>
      <c r="D66" s="66" t="n">
        <f aca="false">NORMSINV(C66)</f>
        <v>-0.292719135661958</v>
      </c>
      <c r="E66" s="66" t="n">
        <f aca="false">LN(B66)</f>
        <v>1.06471073699243</v>
      </c>
      <c r="F66" s="66" t="n">
        <f aca="false">LN(-LN(1-C66))</f>
        <v>-0.721713161635199</v>
      </c>
    </row>
    <row r="67" customFormat="false" ht="15" hidden="false" customHeight="true" outlineLevel="0" collapsed="false">
      <c r="B67" s="61" t="n">
        <v>4.1</v>
      </c>
      <c r="C67" s="66" t="n">
        <f aca="false">(RANK(B67,$B$62:$B$91,1)-0.3)/(30+0.4)</f>
        <v>0.615131578947369</v>
      </c>
      <c r="D67" s="66" t="n">
        <f aca="false">NORMSINV(C67)</f>
        <v>0.292719135661958</v>
      </c>
      <c r="E67" s="66" t="n">
        <f aca="false">LN(B67)</f>
        <v>1.41098697371026</v>
      </c>
      <c r="F67" s="66" t="n">
        <f aca="false">LN(-LN(1-C67))</f>
        <v>-0.0461970741962717</v>
      </c>
    </row>
    <row r="68" customFormat="false" ht="15" hidden="false" customHeight="true" outlineLevel="0" collapsed="false">
      <c r="B68" s="61" t="n">
        <v>1.5</v>
      </c>
      <c r="C68" s="66" t="n">
        <f aca="false">(RANK(B68,$B$62:$B$91,1)-0.3)/(30+0.4)</f>
        <v>0.0230263157894737</v>
      </c>
      <c r="D68" s="66" t="n">
        <f aca="false">NORMSINV(C68)</f>
        <v>-1.99491059668125</v>
      </c>
      <c r="E68" s="66" t="n">
        <f aca="false">LN(B68)</f>
        <v>0.405465108108164</v>
      </c>
      <c r="F68" s="66" t="n">
        <f aca="false">LN(-LN(1-C68))</f>
        <v>-3.75949238274843</v>
      </c>
    </row>
    <row r="69" customFormat="false" ht="15" hidden="false" customHeight="true" outlineLevel="0" collapsed="false">
      <c r="B69" s="61" t="n">
        <v>6.8</v>
      </c>
      <c r="C69" s="66" t="n">
        <f aca="false">(RANK(B69,$B$62:$B$91,1)-0.3)/(30+0.4)</f>
        <v>0.878289473684211</v>
      </c>
      <c r="D69" s="66" t="n">
        <f aca="false">NORMSINV(C69)</f>
        <v>1.16647845966239</v>
      </c>
      <c r="E69" s="66" t="n">
        <f aca="false">LN(B69)</f>
        <v>1.91692261218206</v>
      </c>
      <c r="F69" s="66" t="n">
        <f aca="false">LN(-LN(1-C69))</f>
        <v>0.744842543768942</v>
      </c>
    </row>
    <row r="70" customFormat="false" ht="15" hidden="false" customHeight="true" outlineLevel="0" collapsed="false">
      <c r="B70" s="61" t="n">
        <v>3.2</v>
      </c>
      <c r="C70" s="66" t="n">
        <f aca="false">(RANK(B70,$B$62:$B$91,1)-0.3)/(30+0.4)</f>
        <v>0.450657894736842</v>
      </c>
      <c r="D70" s="66" t="n">
        <f aca="false">NORMSINV(C70)</f>
        <v>-0.123999350306752</v>
      </c>
      <c r="E70" s="66" t="n">
        <f aca="false">LN(B70)</f>
        <v>1.16315080980568</v>
      </c>
      <c r="F70" s="66" t="n">
        <f aca="false">LN(-LN(1-C70))</f>
        <v>-0.512437106524698</v>
      </c>
    </row>
    <row r="71" customFormat="false" ht="15" hidden="false" customHeight="true" outlineLevel="0" collapsed="false">
      <c r="B71" s="61" t="n">
        <v>2.4</v>
      </c>
      <c r="C71" s="66" t="n">
        <f aca="false">(RANK(B71,$B$62:$B$91,1)-0.3)/(30+0.4)</f>
        <v>0.253289473684211</v>
      </c>
      <c r="D71" s="66" t="n">
        <f aca="false">NORMSINV(C71)</f>
        <v>-0.66417400755322</v>
      </c>
      <c r="E71" s="66" t="n">
        <f aca="false">LN(B71)</f>
        <v>0.8754687373539</v>
      </c>
      <c r="F71" s="66" t="n">
        <f aca="false">LN(-LN(1-C71))</f>
        <v>-1.23073547125802</v>
      </c>
    </row>
    <row r="72" customFormat="false" ht="15" hidden="false" customHeight="true" outlineLevel="0" collapsed="false">
      <c r="B72" s="61" t="n">
        <v>8.1</v>
      </c>
      <c r="C72" s="66" t="n">
        <f aca="false">(RANK(B72,$B$62:$B$91,1)-0.3)/(30+0.4)</f>
        <v>0.944078947368421</v>
      </c>
      <c r="D72" s="66" t="n">
        <f aca="false">NORMSINV(C72)</f>
        <v>1.58996761418013</v>
      </c>
      <c r="E72" s="66" t="n">
        <f aca="false">LN(B72)</f>
        <v>2.09186406167839</v>
      </c>
      <c r="F72" s="66" t="n">
        <f aca="false">LN(-LN(1-C72))</f>
        <v>1.05911384749998</v>
      </c>
    </row>
    <row r="73" customFormat="false" ht="15" hidden="false" customHeight="true" outlineLevel="0" collapsed="false">
      <c r="B73" s="61" t="n">
        <v>3.9</v>
      </c>
      <c r="C73" s="66" t="n">
        <f aca="false">(RANK(B73,$B$62:$B$91,1)-0.3)/(30+0.4)</f>
        <v>0.582236842105263</v>
      </c>
      <c r="D73" s="66" t="n">
        <f aca="false">NORMSINV(C73)</f>
        <v>0.207619194628344</v>
      </c>
      <c r="E73" s="66" t="n">
        <f aca="false">LN(B73)</f>
        <v>1.3609765531356</v>
      </c>
      <c r="F73" s="66" t="n">
        <f aca="false">LN(-LN(1-C73))</f>
        <v>-0.136002311462967</v>
      </c>
    </row>
    <row r="74" customFormat="false" ht="15" hidden="false" customHeight="true" outlineLevel="0" collapsed="false">
      <c r="B74" s="61" t="n">
        <v>2.7</v>
      </c>
      <c r="C74" s="66" t="n">
        <f aca="false">(RANK(B74,$B$62:$B$91,1)-0.3)/(30+0.4)</f>
        <v>0.319078947368421</v>
      </c>
      <c r="D74" s="66" t="n">
        <f aca="false">NORMSINV(C74)</f>
        <v>-0.470275926143937</v>
      </c>
      <c r="E74" s="66" t="n">
        <f aca="false">LN(B74)</f>
        <v>0.993251773010283</v>
      </c>
      <c r="F74" s="66" t="n">
        <f aca="false">LN(-LN(1-C74))</f>
        <v>-0.956308601506036</v>
      </c>
    </row>
    <row r="75" customFormat="false" ht="15" hidden="false" customHeight="true" outlineLevel="0" collapsed="false">
      <c r="B75" s="61" t="n">
        <v>4.6</v>
      </c>
      <c r="C75" s="66" t="n">
        <f aca="false">(RANK(B75,$B$62:$B$91,1)-0.3)/(30+0.4)</f>
        <v>0.680921052631579</v>
      </c>
      <c r="D75" s="66" t="n">
        <f aca="false">NORMSINV(C75)</f>
        <v>0.470275926143937</v>
      </c>
      <c r="E75" s="66" t="n">
        <f aca="false">LN(B75)</f>
        <v>1.52605630349505</v>
      </c>
      <c r="F75" s="66" t="n">
        <f aca="false">LN(-LN(1-C75))</f>
        <v>0.133058413327432</v>
      </c>
    </row>
    <row r="76" customFormat="false" ht="15" hidden="false" customHeight="true" outlineLevel="0" collapsed="false">
      <c r="B76" s="61" t="n">
        <v>1.9</v>
      </c>
      <c r="C76" s="66" t="n">
        <f aca="false">(RANK(B76,$B$62:$B$91,1)-0.3)/(30+0.4)</f>
        <v>0.121710526315789</v>
      </c>
      <c r="D76" s="66" t="n">
        <f aca="false">NORMSINV(C76)</f>
        <v>-1.16647845966239</v>
      </c>
      <c r="E76" s="66" t="n">
        <f aca="false">LN(B76)</f>
        <v>0.641853886172395</v>
      </c>
      <c r="F76" s="66" t="n">
        <f aca="false">LN(-LN(1-C76))</f>
        <v>-2.04192194378785</v>
      </c>
    </row>
    <row r="77" customFormat="false" ht="15" hidden="false" customHeight="true" outlineLevel="0" collapsed="false">
      <c r="B77" s="61" t="n">
        <v>5.8</v>
      </c>
      <c r="C77" s="66" t="n">
        <f aca="false">(RANK(B77,$B$62:$B$91,1)-0.3)/(30+0.4)</f>
        <v>0.8125</v>
      </c>
      <c r="D77" s="66" t="n">
        <f aca="false">NORMSINV(C77)</f>
        <v>0.887146559018876</v>
      </c>
      <c r="E77" s="66" t="n">
        <f aca="false">LN(B77)</f>
        <v>1.75785791755237</v>
      </c>
      <c r="F77" s="66" t="n">
        <f aca="false">LN(-LN(1-C77))</f>
        <v>0.515201894054014</v>
      </c>
    </row>
    <row r="78" customFormat="false" ht="15" hidden="false" customHeight="true" outlineLevel="0" collapsed="false">
      <c r="B78" s="61" t="n">
        <v>3.1</v>
      </c>
      <c r="C78" s="66" t="n">
        <f aca="false">(RANK(B78,$B$62:$B$91,1)-0.3)/(30+0.4)</f>
        <v>0.417763157894737</v>
      </c>
      <c r="D78" s="66" t="n">
        <f aca="false">NORMSINV(C78)</f>
        <v>-0.207619194628344</v>
      </c>
      <c r="E78" s="66" t="n">
        <f aca="false">LN(B78)</f>
        <v>1.1314021114911</v>
      </c>
      <c r="F78" s="66" t="n">
        <f aca="false">LN(-LN(1-C78))</f>
        <v>-0.61456159150851</v>
      </c>
    </row>
    <row r="79" customFormat="false" ht="15" hidden="false" customHeight="true" outlineLevel="0" collapsed="false">
      <c r="B79" s="61" t="n">
        <v>2.2</v>
      </c>
      <c r="C79" s="66" t="n">
        <f aca="false">(RANK(B79,$B$62:$B$91,1)-0.3)/(30+0.4)</f>
        <v>0.1875</v>
      </c>
      <c r="D79" s="66" t="n">
        <f aca="false">NORMSINV(C79)</f>
        <v>-0.887146559018876</v>
      </c>
      <c r="E79" s="66" t="n">
        <f aca="false">LN(B79)</f>
        <v>0.78845736036427</v>
      </c>
      <c r="F79" s="66" t="n">
        <f aca="false">LN(-LN(1-C79))</f>
        <v>-1.57195252727338</v>
      </c>
    </row>
    <row r="80" customFormat="false" ht="15" hidden="false" customHeight="true" outlineLevel="0" collapsed="false">
      <c r="B80" s="61" t="n">
        <v>7.4</v>
      </c>
      <c r="C80" s="66" t="n">
        <f aca="false">(RANK(B80,$B$62:$B$91,1)-0.3)/(30+0.4)</f>
        <v>0.911184210526316</v>
      </c>
      <c r="D80" s="66" t="n">
        <f aca="false">NORMSINV(C80)</f>
        <v>1.34808334077318</v>
      </c>
      <c r="E80" s="66" t="n">
        <f aca="false">LN(B80)</f>
        <v>2.00148000021012</v>
      </c>
      <c r="F80" s="66" t="n">
        <f aca="false">LN(-LN(1-C80))</f>
        <v>0.884259499881153</v>
      </c>
    </row>
    <row r="81" customFormat="false" ht="15" hidden="false" customHeight="true" outlineLevel="0" collapsed="false">
      <c r="B81" s="61" t="n">
        <v>4.3</v>
      </c>
      <c r="C81" s="66" t="n">
        <f aca="false">(RANK(B81,$B$62:$B$91,1)-0.3)/(30+0.4)</f>
        <v>0.648026315789474</v>
      </c>
      <c r="D81" s="66" t="n">
        <f aca="false">NORMSINV(C81)</f>
        <v>0.379997368654202</v>
      </c>
      <c r="E81" s="66" t="n">
        <f aca="false">LN(B81)</f>
        <v>1.45861502269952</v>
      </c>
      <c r="F81" s="66" t="n">
        <f aca="false">LN(-LN(1-C81))</f>
        <v>0.0432499568992189</v>
      </c>
    </row>
    <row r="82" customFormat="false" ht="15" hidden="false" customHeight="true" outlineLevel="0" collapsed="false">
      <c r="B82" s="61" t="n">
        <v>2.6</v>
      </c>
      <c r="C82" s="66" t="n">
        <f aca="false">(RANK(B82,$B$62:$B$91,1)-0.3)/(30+0.4)</f>
        <v>0.286184210526316</v>
      </c>
      <c r="D82" s="66" t="n">
        <f aca="false">NORMSINV(C82)</f>
        <v>-0.564566846117659</v>
      </c>
      <c r="E82" s="66" t="n">
        <f aca="false">LN(B82)</f>
        <v>0.955511445027436</v>
      </c>
      <c r="F82" s="66" t="n">
        <f aca="false">LN(-LN(1-C82))</f>
        <v>-1.08728563449415</v>
      </c>
    </row>
    <row r="83" customFormat="false" ht="15" hidden="false" customHeight="true" outlineLevel="0" collapsed="false">
      <c r="B83" s="61" t="n">
        <v>3.7</v>
      </c>
      <c r="C83" s="66" t="n">
        <f aca="false">(RANK(B83,$B$62:$B$91,1)-0.3)/(30+0.4)</f>
        <v>0.549342105263158</v>
      </c>
      <c r="D83" s="66" t="n">
        <f aca="false">NORMSINV(C83)</f>
        <v>0.123999350306751</v>
      </c>
      <c r="E83" s="66" t="n">
        <f aca="false">LN(B83)</f>
        <v>1.30833281965018</v>
      </c>
      <c r="F83" s="66" t="n">
        <f aca="false">LN(-LN(1-C83))</f>
        <v>-0.226841912355622</v>
      </c>
    </row>
    <row r="84" customFormat="false" ht="15" hidden="false" customHeight="true" outlineLevel="0" collapsed="false">
      <c r="B84" s="61" t="n">
        <v>1.6</v>
      </c>
      <c r="C84" s="66" t="n">
        <f aca="false">(RANK(B84,$B$62:$B$91,1)-0.3)/(30+0.4)</f>
        <v>0.055921052631579</v>
      </c>
      <c r="D84" s="66" t="n">
        <f aca="false">NORMSINV(C84)</f>
        <v>-1.58996761418013</v>
      </c>
      <c r="E84" s="66" t="n">
        <f aca="false">LN(B84)</f>
        <v>0.470003629245736</v>
      </c>
      <c r="F84" s="66" t="n">
        <f aca="false">LN(-LN(1-C84))</f>
        <v>-2.85517958917422</v>
      </c>
    </row>
    <row r="85" customFormat="false" ht="15" hidden="false" customHeight="true" outlineLevel="0" collapsed="false">
      <c r="B85" s="61" t="n">
        <v>9.2</v>
      </c>
      <c r="C85" s="66" t="n">
        <f aca="false">(RANK(B85,$B$62:$B$91,1)-0.3)/(30+0.4)</f>
        <v>0.976973684210526</v>
      </c>
      <c r="D85" s="66" t="n">
        <f aca="false">NORMSINV(C85)</f>
        <v>1.99491059668125</v>
      </c>
      <c r="E85" s="66" t="n">
        <f aca="false">LN(B85)</f>
        <v>2.21920348405499</v>
      </c>
      <c r="F85" s="66" t="n">
        <f aca="false">LN(-LN(1-C85))</f>
        <v>1.32737139051667</v>
      </c>
    </row>
    <row r="86" customFormat="false" ht="15" hidden="false" customHeight="true" outlineLevel="0" collapsed="false">
      <c r="B86" s="61" t="n">
        <v>5.1</v>
      </c>
      <c r="C86" s="66" t="n">
        <f aca="false">(RANK(B86,$B$62:$B$91,1)-0.3)/(30+0.4)</f>
        <v>0.74671052631579</v>
      </c>
      <c r="D86" s="66" t="n">
        <f aca="false">NORMSINV(C86)</f>
        <v>0.66417400755322</v>
      </c>
      <c r="E86" s="66" t="n">
        <f aca="false">LN(B86)</f>
        <v>1.62924053973028</v>
      </c>
      <c r="F86" s="66" t="n">
        <f aca="false">LN(-LN(1-C86))</f>
        <v>0.317160007020131</v>
      </c>
    </row>
    <row r="87" customFormat="false" ht="15" hidden="false" customHeight="true" outlineLevel="0" collapsed="false">
      <c r="B87" s="61" t="n">
        <v>2.8</v>
      </c>
      <c r="C87" s="66" t="n">
        <f aca="false">(RANK(B87,$B$62:$B$91,1)-0.3)/(30+0.4)</f>
        <v>0.351973684210526</v>
      </c>
      <c r="D87" s="66" t="n">
        <f aca="false">NORMSINV(C87)</f>
        <v>-0.379997368654202</v>
      </c>
      <c r="E87" s="66" t="n">
        <f aca="false">LN(B87)</f>
        <v>1.02961941718116</v>
      </c>
      <c r="F87" s="66" t="n">
        <f aca="false">LN(-LN(1-C87))</f>
        <v>-0.835116420087131</v>
      </c>
    </row>
    <row r="88" customFormat="false" ht="15" hidden="false" customHeight="true" outlineLevel="0" collapsed="false">
      <c r="B88" s="61" t="n">
        <v>4.9</v>
      </c>
      <c r="C88" s="66" t="n">
        <f aca="false">(RANK(B88,$B$62:$B$91,1)-0.3)/(30+0.4)</f>
        <v>0.713815789473684</v>
      </c>
      <c r="D88" s="66" t="n">
        <f aca="false">NORMSINV(C88)</f>
        <v>0.564566846117659</v>
      </c>
      <c r="E88" s="66" t="n">
        <f aca="false">LN(B88)</f>
        <v>1.58923520511658</v>
      </c>
      <c r="F88" s="66" t="n">
        <f aca="false">LN(-LN(1-C88))</f>
        <v>0.224038816645894</v>
      </c>
    </row>
    <row r="89" customFormat="false" ht="15" hidden="false" customHeight="true" outlineLevel="0" collapsed="false">
      <c r="B89" s="61" t="n">
        <v>3.5</v>
      </c>
      <c r="C89" s="66" t="n">
        <f aca="false">(RANK(B89,$B$62:$B$91,1)-0.3)/(30+0.4)</f>
        <v>0.516447368421053</v>
      </c>
      <c r="D89" s="66" t="n">
        <f aca="false">NORMSINV(C89)</f>
        <v>0.0412391247383855</v>
      </c>
      <c r="E89" s="66" t="n">
        <f aca="false">LN(B89)</f>
        <v>1.25276296849537</v>
      </c>
      <c r="F89" s="66" t="n">
        <f aca="false">LN(-LN(1-C89))</f>
        <v>-0.319385882824183</v>
      </c>
    </row>
    <row r="90" customFormat="false" ht="15" hidden="false" customHeight="true" outlineLevel="0" collapsed="false">
      <c r="B90" s="61" t="n">
        <v>2.3</v>
      </c>
      <c r="C90" s="66" t="n">
        <f aca="false">(RANK(B90,$B$62:$B$91,1)-0.3)/(30+0.4)</f>
        <v>0.220394736842105</v>
      </c>
      <c r="D90" s="66" t="n">
        <f aca="false">NORMSINV(C90)</f>
        <v>-0.770860750605747</v>
      </c>
      <c r="E90" s="66" t="n">
        <f aca="false">LN(B90)</f>
        <v>0.832909122935104</v>
      </c>
      <c r="F90" s="66" t="n">
        <f aca="false">LN(-LN(1-C90))</f>
        <v>-1.39043267104039</v>
      </c>
    </row>
    <row r="91" customFormat="false" ht="15" hidden="false" customHeight="true" outlineLevel="0" collapsed="false">
      <c r="B91" s="61" t="n">
        <v>6.2</v>
      </c>
      <c r="C91" s="66" t="n">
        <f aca="false">(RANK(B91,$B$62:$B$91,1)-0.3)/(30+0.4)</f>
        <v>0.845394736842105</v>
      </c>
      <c r="D91" s="66" t="n">
        <f aca="false">NORMSINV(C91)</f>
        <v>1.01687998404186</v>
      </c>
      <c r="E91" s="66" t="n">
        <f aca="false">LN(B91)</f>
        <v>1.82454929205105</v>
      </c>
      <c r="F91" s="66" t="n">
        <f aca="false">LN(-LN(1-C91))</f>
        <v>0.624268641659719</v>
      </c>
    </row>
    <row r="93" customFormat="false" ht="15.75" hidden="false" customHeight="true" outlineLevel="0" collapsed="false">
      <c r="B93" s="7" t="s">
        <v>2599</v>
      </c>
      <c r="C93" s="8"/>
      <c r="D93" s="8"/>
      <c r="E93" s="8"/>
      <c r="F93" s="8"/>
      <c r="G93" s="8"/>
      <c r="H93" s="8"/>
      <c r="I93" s="8"/>
      <c r="J93" s="8"/>
      <c r="K93" s="8"/>
    </row>
    <row r="94" customFormat="false" ht="16.5" hidden="false" customHeight="true" outlineLevel="0" collapsed="false">
      <c r="B94" s="11" t="s">
        <v>2600</v>
      </c>
      <c r="C94" s="11" t="s">
        <v>2538</v>
      </c>
      <c r="D94" s="11" t="s">
        <v>2601</v>
      </c>
    </row>
    <row r="95" customFormat="false" ht="30.75" hidden="false" customHeight="true" outlineLevel="0" collapsed="false">
      <c r="B95" s="78" t="s">
        <v>2602</v>
      </c>
      <c r="C95" s="66" t="n">
        <f aca="false">CORREL($B$62:$B$91,$D$62:$D$91)</f>
        <v>0.958906235580484</v>
      </c>
      <c r="D95" s="12" t="s">
        <v>2603</v>
      </c>
    </row>
    <row r="96" customFormat="false" ht="30.75" hidden="false" customHeight="true" outlineLevel="0" collapsed="false">
      <c r="B96" s="78" t="s">
        <v>2604</v>
      </c>
      <c r="C96" s="66" t="n">
        <f aca="false">CORREL($E$62:$E$91,$D$62:$D$91)</f>
        <v>0.995952258794363</v>
      </c>
      <c r="D96" s="12" t="s">
        <v>2605</v>
      </c>
    </row>
    <row r="97" customFormat="false" ht="30.75" hidden="false" customHeight="true" outlineLevel="0" collapsed="false">
      <c r="B97" s="78" t="s">
        <v>2606</v>
      </c>
      <c r="C97" s="66" t="n">
        <f aca="false">CORREL($E$62:$E$91,$F$62:$F$91)</f>
        <v>0.965410811185239</v>
      </c>
      <c r="D97" s="12" t="s">
        <v>2607</v>
      </c>
    </row>
    <row r="99" customFormat="false" ht="15" hidden="false" customHeight="true" outlineLevel="0" collapsed="false">
      <c r="B99" s="10" t="s">
        <v>2608</v>
      </c>
      <c r="C99" s="41" t="str">
        <f aca="false">INDEX($B$95:$B$97,MATCH(MAX($C$95:$C$97),$C$95:$C$97,0))</f>
        <v>Lognormal</v>
      </c>
    </row>
    <row r="100" customFormat="false" ht="15" hidden="false" customHeight="true" outlineLevel="0" collapsed="false">
      <c r="B100" s="10" t="s">
        <v>2609</v>
      </c>
      <c r="C100" s="66" t="n">
        <f aca="false">MAX($C$95:$C$97)</f>
        <v>0.995952258794363</v>
      </c>
    </row>
    <row r="101" customFormat="false" ht="15" hidden="false" customHeight="true" outlineLevel="0" collapsed="false">
      <c r="B101" s="10" t="s">
        <v>2610</v>
      </c>
      <c r="C101" s="66" t="n">
        <f aca="false">MAX($C$95:$C$97)-LARGE($C$95:$C$97,2)</f>
        <v>0.0305414476091238</v>
      </c>
    </row>
    <row r="102" customFormat="false" ht="15" hidden="false" customHeight="true" outlineLevel="0" collapsed="false">
      <c r="B102" s="10" t="s">
        <v>2138</v>
      </c>
      <c r="C102" s="63" t="n">
        <f aca="false">SKEW($B$62:$B$91)</f>
        <v>0.994474380660805</v>
      </c>
    </row>
    <row r="104" customFormat="false" ht="15.75" hidden="false" customHeight="true" outlineLevel="0" collapsed="false">
      <c r="B104" s="7" t="s">
        <v>1493</v>
      </c>
      <c r="C104" s="8"/>
      <c r="D104" s="8"/>
      <c r="E104" s="8"/>
      <c r="F104" s="8"/>
      <c r="G104" s="8"/>
      <c r="H104" s="8"/>
      <c r="I104" s="8"/>
      <c r="J104" s="8"/>
      <c r="K104" s="8"/>
    </row>
    <row r="105" customFormat="false" ht="33.75" hidden="false" customHeight="true" outlineLevel="0" collapsed="false">
      <c r="B105" s="53" t="s">
        <v>1494</v>
      </c>
      <c r="C105" s="54" t="str">
        <f aca="false">IF(C100&lt;0.95,"NO ADEQUATE FIT - none of the three models is straight enough. Check first whether two process streams are mixed (H-09) before looking for an exotic distribution.",IF(C101&lt;0.01,"CLOSE CALL between the top two models. Either will serve; choose the one with the physical justification and record the choice.","CLEAR WINNER: "&amp;C99&amp;". Use it for capability on E-58, and state the model alongside every PPM you quote."))</f>
        <v>CLEAR WINNER: Lognormal. Use it for capability on E-58, and state the model alongside every PPM you quote.</v>
      </c>
      <c r="D105" s="54"/>
    </row>
    <row r="107" customFormat="false" ht="16.5" hidden="false" customHeight="true" outlineLevel="0" collapsed="false">
      <c r="B107" s="11" t="s">
        <v>1495</v>
      </c>
      <c r="C107" s="11" t="s">
        <v>1496</v>
      </c>
      <c r="D107" s="11" t="s">
        <v>1497</v>
      </c>
    </row>
    <row r="108" customFormat="false" ht="30.75" hidden="false" customHeight="true" outlineLevel="0" collapsed="false">
      <c r="B108" s="12" t="s">
        <v>2538</v>
      </c>
      <c r="C108" s="12" t="s">
        <v>2611</v>
      </c>
      <c r="D108" s="12" t="s">
        <v>2612</v>
      </c>
    </row>
    <row r="109" customFormat="false" ht="30.75" hidden="false" customHeight="true" outlineLevel="0" collapsed="false">
      <c r="B109" s="12" t="s">
        <v>2538</v>
      </c>
      <c r="C109" s="12" t="s">
        <v>2613</v>
      </c>
      <c r="D109" s="12" t="s">
        <v>2614</v>
      </c>
    </row>
    <row r="110" customFormat="false" ht="30.75" hidden="false" customHeight="true" outlineLevel="0" collapsed="false">
      <c r="B110" s="12" t="s">
        <v>2538</v>
      </c>
      <c r="C110" s="12" t="s">
        <v>2615</v>
      </c>
      <c r="D110" s="12" t="s">
        <v>2616</v>
      </c>
    </row>
    <row r="111" customFormat="false" ht="30.75" hidden="false" customHeight="true" outlineLevel="0" collapsed="false">
      <c r="B111" s="12" t="s">
        <v>2617</v>
      </c>
      <c r="C111" s="12" t="s">
        <v>2428</v>
      </c>
      <c r="D111" s="12" t="s">
        <v>2618</v>
      </c>
    </row>
    <row r="113" customFormat="false" ht="15" hidden="false" customHeight="true" outlineLevel="0" collapsed="false">
      <c r="B113" s="55" t="s">
        <v>1507</v>
      </c>
    </row>
    <row r="114" customFormat="false" ht="17.25" hidden="false" customHeight="true" outlineLevel="0" collapsed="false">
      <c r="B114" s="9" t="s">
        <v>2619</v>
      </c>
      <c r="C114" s="9"/>
      <c r="D114" s="9"/>
      <c r="E114" s="9"/>
      <c r="F114" s="9"/>
    </row>
    <row r="115" customFormat="false" ht="17.25" hidden="false" customHeight="true" outlineLevel="0" collapsed="false">
      <c r="B115" s="9" t="s">
        <v>2620</v>
      </c>
      <c r="C115" s="9"/>
      <c r="D115" s="9"/>
      <c r="E115" s="9"/>
      <c r="F115" s="9"/>
    </row>
    <row r="116" customFormat="false" ht="17.25" hidden="false" customHeight="true" outlineLevel="0" collapsed="false">
      <c r="B116" s="9" t="s">
        <v>2621</v>
      </c>
      <c r="C116" s="9"/>
      <c r="D116" s="9"/>
      <c r="E116" s="9"/>
      <c r="F116" s="9"/>
    </row>
    <row r="117" customFormat="false" ht="17.25" hidden="false" customHeight="true" outlineLevel="0" collapsed="false">
      <c r="B117" s="9" t="s">
        <v>2622</v>
      </c>
      <c r="C117" s="9"/>
      <c r="D117" s="9"/>
      <c r="E117" s="9"/>
      <c r="F117" s="9"/>
    </row>
    <row r="118" customFormat="false" ht="17.25" hidden="false" customHeight="true" outlineLevel="0" collapsed="false">
      <c r="B118" s="9" t="s">
        <v>2623</v>
      </c>
      <c r="C118" s="9"/>
      <c r="D118" s="9"/>
      <c r="E118" s="9"/>
      <c r="F118" s="9"/>
    </row>
    <row r="120" customFormat="false" ht="15.75" hidden="false" customHeight="true" outlineLevel="0" collapsed="false">
      <c r="B120" s="7" t="s">
        <v>1513</v>
      </c>
      <c r="C120" s="8"/>
      <c r="D120" s="8"/>
      <c r="E120" s="8"/>
      <c r="F120" s="8"/>
      <c r="G120" s="8"/>
      <c r="H120" s="8"/>
      <c r="I120" s="8"/>
      <c r="J120" s="8"/>
      <c r="K120" s="8"/>
    </row>
    <row r="121" customFormat="false" ht="17.25" hidden="false" customHeight="true" outlineLevel="0" collapsed="false">
      <c r="B121" s="9" t="s">
        <v>1514</v>
      </c>
      <c r="C121" s="9"/>
      <c r="D121" s="9"/>
      <c r="E121" s="9"/>
      <c r="N121" s="56" t="s">
        <v>1515</v>
      </c>
    </row>
    <row r="122" customFormat="false" ht="17.25" hidden="false" customHeight="true" outlineLevel="0" collapsed="false">
      <c r="B122" s="9" t="s">
        <v>2624</v>
      </c>
      <c r="C122" s="9"/>
      <c r="D122" s="9"/>
      <c r="E122" s="9"/>
      <c r="N122" s="57" t="s">
        <v>2625</v>
      </c>
    </row>
    <row r="123" customFormat="false" ht="17.25" hidden="false" customHeight="true" outlineLevel="0" collapsed="false">
      <c r="B123" s="9" t="s">
        <v>2626</v>
      </c>
      <c r="C123" s="9"/>
      <c r="D123" s="9"/>
      <c r="E123" s="9"/>
      <c r="N123" s="57" t="s">
        <v>2627</v>
      </c>
    </row>
    <row r="124" customFormat="false" ht="17.25" hidden="false" customHeight="true" outlineLevel="0" collapsed="false">
      <c r="B124" s="9" t="s">
        <v>2628</v>
      </c>
      <c r="C124" s="9"/>
      <c r="D124" s="9"/>
      <c r="E124" s="9"/>
      <c r="N124" s="57" t="s">
        <v>2629</v>
      </c>
    </row>
    <row r="126" customFormat="false" ht="15.75" hidden="false" customHeight="true" outlineLevel="0" collapsed="false">
      <c r="B126" s="7" t="s">
        <v>1522</v>
      </c>
      <c r="C126" s="8"/>
      <c r="D126" s="8"/>
      <c r="E126" s="8"/>
      <c r="F126" s="8"/>
      <c r="G126" s="8"/>
      <c r="H126" s="8"/>
      <c r="I126" s="8"/>
      <c r="J126" s="8"/>
      <c r="K126" s="8"/>
    </row>
    <row r="127" customFormat="false" ht="16.5" hidden="false" customHeight="true" outlineLevel="0" collapsed="false">
      <c r="B127" s="11" t="s">
        <v>1523</v>
      </c>
      <c r="C127" s="11" t="s">
        <v>1524</v>
      </c>
      <c r="D127" s="11" t="s">
        <v>1615</v>
      </c>
    </row>
    <row r="128" customFormat="false" ht="30.75" hidden="false" customHeight="true" outlineLevel="0" collapsed="false">
      <c r="B128" s="58" t="s">
        <v>2446</v>
      </c>
      <c r="C128" s="58" t="s">
        <v>1616</v>
      </c>
      <c r="D128" s="58" t="s">
        <v>2076</v>
      </c>
    </row>
  </sheetData>
  <mergeCells count="42">
    <mergeCell ref="B2:J2"/>
    <mergeCell ref="D3:E3"/>
    <mergeCell ref="C6:D6"/>
    <mergeCell ref="C7:D7"/>
    <mergeCell ref="C8:D8"/>
    <mergeCell ref="B11:F13"/>
    <mergeCell ref="B14:F16"/>
    <mergeCell ref="B17:F19"/>
    <mergeCell ref="B20:F20"/>
    <mergeCell ref="B21:F21"/>
    <mergeCell ref="B24:D24"/>
    <mergeCell ref="E24:F24"/>
    <mergeCell ref="B25:D25"/>
    <mergeCell ref="E25:F25"/>
    <mergeCell ref="B26:D26"/>
    <mergeCell ref="E26:F26"/>
    <mergeCell ref="B27:D27"/>
    <mergeCell ref="E27:F27"/>
    <mergeCell ref="B28:F28"/>
    <mergeCell ref="B36:F36"/>
    <mergeCell ref="B38:F38"/>
    <mergeCell ref="B39:F41"/>
    <mergeCell ref="B43:F44"/>
    <mergeCell ref="D47:E47"/>
    <mergeCell ref="D48:E48"/>
    <mergeCell ref="D49:E49"/>
    <mergeCell ref="D50:E50"/>
    <mergeCell ref="D51:E51"/>
    <mergeCell ref="D52:E52"/>
    <mergeCell ref="D53:E53"/>
    <mergeCell ref="B54:F54"/>
    <mergeCell ref="B57:F58"/>
    <mergeCell ref="C105:D105"/>
    <mergeCell ref="B114:F114"/>
    <mergeCell ref="B115:F115"/>
    <mergeCell ref="B116:F116"/>
    <mergeCell ref="B117:F117"/>
    <mergeCell ref="B118:F118"/>
    <mergeCell ref="B121:E121"/>
    <mergeCell ref="B122:E122"/>
    <mergeCell ref="B123:E123"/>
    <mergeCell ref="B124:E124"/>
  </mergeCells>
  <hyperlinks>
    <hyperlink ref="B3" location="'N-03 Index DMAIC'!A1" display="← Back to Index"/>
    <hyperlink ref="E31" location="'H-09 Stratification'!A1" display="H-09  Stratification"/>
    <hyperlink ref="E32" location="'E-33 When Assumptions Fail'!A1" display="E-33  When Assumptions Fail: Transformations and Alternatives"/>
    <hyperlink ref="E33" location="'E-49 I-MR Chart'!A1" display="E-49  Individuals and Moving Range Chart"/>
    <hyperlink ref="B128" location="'E-12 Weibull Expon Lognorm'!A1" display="E-12  Weibull, Exponential and Lognormal"/>
    <hyperlink ref="C128" location="'E-14 Standard Error'!A1" display="E-14  Standard Error vs Standard Deviation"/>
    <hyperlink ref="D128" location="'E-58 Non-Normal Capability'!A1" display="E-58  Non-Normal and Attribute Capability, Z-ben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2630</v>
      </c>
      <c r="C2" s="3"/>
      <c r="D2" s="3"/>
      <c r="E2" s="3"/>
      <c r="F2" s="3"/>
      <c r="G2" s="3"/>
      <c r="H2" s="3"/>
      <c r="I2" s="3"/>
      <c r="J2" s="3"/>
      <c r="K2" s="46" t="s">
        <v>1389</v>
      </c>
    </row>
    <row r="3" customFormat="false" ht="28.5" hidden="false" customHeight="true" outlineLevel="0" collapsed="false">
      <c r="B3" s="5" t="s">
        <v>3</v>
      </c>
      <c r="D3" s="6" t="s">
        <v>2631</v>
      </c>
      <c r="E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2632</v>
      </c>
      <c r="D6" s="9"/>
    </row>
    <row r="7" customFormat="false" ht="31.5" hidden="false" customHeight="true" outlineLevel="0" collapsed="false">
      <c r="B7" s="47" t="s">
        <v>1394</v>
      </c>
      <c r="C7" s="9" t="s">
        <v>2633</v>
      </c>
      <c r="D7" s="9"/>
    </row>
    <row r="8" customFormat="false" ht="31.5" hidden="false" customHeight="true" outlineLevel="0" collapsed="false">
      <c r="B8" s="47" t="s">
        <v>1396</v>
      </c>
      <c r="C8" s="9" t="s">
        <v>2634</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2635</v>
      </c>
      <c r="C11" s="9"/>
      <c r="D11" s="9"/>
      <c r="E11" s="9"/>
      <c r="F11" s="9"/>
    </row>
    <row r="12" customFormat="false" ht="15.75" hidden="false" customHeight="true" outlineLevel="0" collapsed="false">
      <c r="B12" s="9" t="s">
        <v>2636</v>
      </c>
      <c r="C12" s="9"/>
      <c r="D12" s="9"/>
      <c r="E12" s="9"/>
      <c r="F12" s="9"/>
    </row>
    <row r="13" customFormat="false" ht="15.75" hidden="false" customHeight="true" outlineLevel="0" collapsed="false">
      <c r="B13" s="9"/>
      <c r="C13" s="9"/>
      <c r="D13" s="9"/>
      <c r="E13" s="9"/>
      <c r="F13" s="9"/>
    </row>
    <row r="14" customFormat="false" ht="17.25" hidden="false" customHeight="true" outlineLevel="0" collapsed="false">
      <c r="B14" s="9" t="s">
        <v>2637</v>
      </c>
      <c r="C14" s="9"/>
      <c r="D14" s="9"/>
      <c r="E14" s="9"/>
      <c r="F14" s="9"/>
    </row>
    <row r="15" customFormat="false" ht="17.25" hidden="false" customHeight="true" outlineLevel="0" collapsed="false">
      <c r="B15" s="9" t="s">
        <v>2638</v>
      </c>
      <c r="C15" s="9"/>
      <c r="D15" s="9"/>
      <c r="E15" s="9"/>
      <c r="F15" s="9"/>
    </row>
    <row r="16" customFormat="false" ht="10.5" hidden="false" customHeight="true" outlineLevel="0" collapsed="false">
      <c r="B16" s="9" t="s">
        <v>2639</v>
      </c>
      <c r="C16" s="9"/>
      <c r="D16" s="9"/>
      <c r="E16" s="9"/>
      <c r="F16" s="9"/>
    </row>
    <row r="17" customFormat="false" ht="10.5" hidden="false" customHeight="true" outlineLevel="0" collapsed="false">
      <c r="B17" s="9"/>
      <c r="C17" s="9"/>
      <c r="D17" s="9"/>
      <c r="E17" s="9"/>
      <c r="F17" s="9"/>
    </row>
    <row r="18" customFormat="false" ht="10.5" hidden="false" customHeight="true" outlineLevel="0" collapsed="false">
      <c r="B18" s="9"/>
      <c r="C18" s="9"/>
      <c r="D18" s="9"/>
      <c r="E18" s="9"/>
      <c r="F18" s="9"/>
    </row>
    <row r="19" customFormat="false" ht="15.75" hidden="false" customHeight="true" outlineLevel="0" collapsed="false">
      <c r="B19" s="9" t="s">
        <v>2640</v>
      </c>
      <c r="C19" s="9"/>
      <c r="D19" s="9"/>
      <c r="E19" s="9"/>
      <c r="F19" s="9"/>
    </row>
    <row r="20" customFormat="false" ht="15.75" hidden="false" customHeight="true" outlineLevel="0" collapsed="false">
      <c r="B20" s="9"/>
      <c r="C20" s="9"/>
      <c r="D20" s="9"/>
      <c r="E20" s="9"/>
      <c r="F20" s="9"/>
    </row>
    <row r="21" customFormat="false" ht="17.25" hidden="false" customHeight="true" outlineLevel="0" collapsed="false">
      <c r="B21" s="9" t="s">
        <v>2641</v>
      </c>
      <c r="C21" s="9"/>
      <c r="D21" s="9"/>
      <c r="E21" s="9"/>
      <c r="F21" s="9"/>
    </row>
    <row r="23" customFormat="false" ht="15.75" hidden="false" customHeight="true" outlineLevel="0" collapsed="false">
      <c r="B23" s="7" t="s">
        <v>1406</v>
      </c>
      <c r="C23" s="8"/>
      <c r="D23" s="8"/>
      <c r="E23" s="8"/>
      <c r="F23" s="8"/>
      <c r="G23" s="8"/>
      <c r="H23" s="8"/>
      <c r="I23" s="8"/>
      <c r="J23" s="8"/>
      <c r="K23" s="8"/>
    </row>
    <row r="24" customFormat="false" ht="17.25" hidden="false" customHeight="true" outlineLevel="0" collapsed="false">
      <c r="B24" s="48" t="s">
        <v>1407</v>
      </c>
      <c r="C24" s="48"/>
      <c r="D24" s="48"/>
      <c r="E24" s="49" t="s">
        <v>1408</v>
      </c>
      <c r="F24" s="49"/>
    </row>
    <row r="25" customFormat="false" ht="31.5" hidden="false" customHeight="true" outlineLevel="0" collapsed="false">
      <c r="B25" s="23" t="s">
        <v>2642</v>
      </c>
      <c r="C25" s="23"/>
      <c r="D25" s="23"/>
      <c r="E25" s="23" t="s">
        <v>2643</v>
      </c>
      <c r="F25" s="23"/>
    </row>
    <row r="26" customFormat="false" ht="45.75" hidden="false" customHeight="true" outlineLevel="0" collapsed="false">
      <c r="B26" s="23" t="s">
        <v>2644</v>
      </c>
      <c r="C26" s="23"/>
      <c r="D26" s="23"/>
      <c r="E26" s="23" t="s">
        <v>2645</v>
      </c>
      <c r="F26" s="23"/>
    </row>
    <row r="27" customFormat="false" ht="31.5" hidden="false" customHeight="true" outlineLevel="0" collapsed="false">
      <c r="B27" s="23" t="s">
        <v>2646</v>
      </c>
      <c r="C27" s="23"/>
      <c r="D27" s="23"/>
      <c r="E27" s="23" t="s">
        <v>2647</v>
      </c>
      <c r="F27" s="23"/>
    </row>
    <row r="28" customFormat="false" ht="17.25" hidden="false" customHeight="true" outlineLevel="0" collapsed="false">
      <c r="B28" s="23" t="s">
        <v>2648</v>
      </c>
      <c r="C28" s="23"/>
      <c r="D28" s="23"/>
      <c r="E28" s="23"/>
      <c r="F28" s="23"/>
    </row>
    <row r="30" customFormat="false" ht="16.5" hidden="false" customHeight="true" outlineLevel="0" collapsed="false">
      <c r="B30" s="11" t="s">
        <v>1416</v>
      </c>
      <c r="C30" s="11" t="s">
        <v>1417</v>
      </c>
      <c r="D30" s="11" t="s">
        <v>1418</v>
      </c>
      <c r="E30" s="11" t="s">
        <v>1419</v>
      </c>
    </row>
    <row r="31" customFormat="false" ht="44.25" hidden="false" customHeight="true" outlineLevel="0" collapsed="false">
      <c r="B31" s="12" t="s">
        <v>1547</v>
      </c>
      <c r="C31" s="12" t="s">
        <v>2649</v>
      </c>
      <c r="D31" s="12" t="s">
        <v>2650</v>
      </c>
      <c r="E31" s="50" t="s">
        <v>1546</v>
      </c>
    </row>
    <row r="32" customFormat="false" ht="44.25" hidden="false" customHeight="true" outlineLevel="0" collapsed="false">
      <c r="B32" s="12" t="s">
        <v>2651</v>
      </c>
      <c r="C32" s="12" t="s">
        <v>2652</v>
      </c>
      <c r="D32" s="12" t="s">
        <v>2653</v>
      </c>
      <c r="E32" s="50" t="s">
        <v>2015</v>
      </c>
    </row>
    <row r="33" customFormat="false" ht="30.75" hidden="false" customHeight="true" outlineLevel="0" collapsed="false">
      <c r="B33" s="12" t="s">
        <v>2654</v>
      </c>
      <c r="C33" s="12" t="s">
        <v>2655</v>
      </c>
      <c r="D33" s="12" t="s">
        <v>2656</v>
      </c>
      <c r="E33" s="50" t="s">
        <v>1060</v>
      </c>
    </row>
    <row r="35" customFormat="false" ht="15.75" hidden="false" customHeight="true" outlineLevel="0" collapsed="false">
      <c r="B35" s="7" t="s">
        <v>1429</v>
      </c>
      <c r="C35" s="8"/>
      <c r="D35" s="8"/>
      <c r="E35" s="8"/>
      <c r="F35" s="8"/>
      <c r="G35" s="8"/>
      <c r="H35" s="8"/>
      <c r="I35" s="8"/>
      <c r="J35" s="8"/>
      <c r="K35" s="8"/>
    </row>
    <row r="36" customFormat="false" ht="17.25" hidden="false" customHeight="true" outlineLevel="0" collapsed="false">
      <c r="B36" s="51" t="s">
        <v>2657</v>
      </c>
      <c r="C36" s="51"/>
      <c r="D36" s="51"/>
      <c r="E36" s="51"/>
      <c r="F36" s="51"/>
    </row>
    <row r="37" customFormat="false" ht="17.25" hidden="false" customHeight="true" outlineLevel="0" collapsed="false">
      <c r="B37" s="52" t="s">
        <v>2658</v>
      </c>
      <c r="C37" s="52"/>
      <c r="D37" s="52"/>
      <c r="E37" s="52"/>
      <c r="F37" s="52"/>
    </row>
    <row r="38" customFormat="false" ht="17.25" hidden="false" customHeight="true" outlineLevel="0" collapsed="false">
      <c r="B38" s="51" t="s">
        <v>2659</v>
      </c>
      <c r="C38" s="51"/>
      <c r="D38" s="51"/>
      <c r="E38" s="51"/>
      <c r="F38" s="51"/>
    </row>
    <row r="39" customFormat="false" ht="15" hidden="false" customHeight="true" outlineLevel="0" collapsed="false">
      <c r="B39" s="59" t="s">
        <v>1556</v>
      </c>
    </row>
    <row r="40" customFormat="false" ht="17.25" hidden="false" customHeight="true" outlineLevel="0" collapsed="false">
      <c r="B40" s="51" t="s">
        <v>2660</v>
      </c>
      <c r="C40" s="51"/>
      <c r="D40" s="51"/>
      <c r="E40" s="51"/>
      <c r="F40" s="51"/>
    </row>
    <row r="41" customFormat="false" ht="15" hidden="false" customHeight="true" outlineLevel="0" collapsed="false">
      <c r="B41" s="59" t="s">
        <v>2661</v>
      </c>
    </row>
    <row r="42" customFormat="false" ht="15" hidden="false" customHeight="true" outlineLevel="0" collapsed="false">
      <c r="B42" s="47" t="s">
        <v>2662</v>
      </c>
    </row>
    <row r="43" customFormat="false" ht="17.25" hidden="false" customHeight="true" outlineLevel="0" collapsed="false">
      <c r="B43" s="52" t="s">
        <v>2663</v>
      </c>
      <c r="C43" s="52"/>
      <c r="D43" s="52"/>
      <c r="E43" s="52"/>
      <c r="F43" s="52"/>
    </row>
    <row r="45" customFormat="false" ht="15.75" hidden="false" customHeight="true" outlineLevel="0" collapsed="false">
      <c r="B45" s="7" t="s">
        <v>1437</v>
      </c>
      <c r="C45" s="8"/>
      <c r="D45" s="8"/>
      <c r="E45" s="8"/>
      <c r="F45" s="8"/>
      <c r="G45" s="8"/>
      <c r="H45" s="8"/>
      <c r="I45" s="8"/>
      <c r="J45" s="8"/>
      <c r="K45" s="8"/>
    </row>
    <row r="46" customFormat="false" ht="16.5" hidden="false" customHeight="true" outlineLevel="0" collapsed="false">
      <c r="B46" s="11" t="s">
        <v>1438</v>
      </c>
      <c r="C46" s="11" t="s">
        <v>1439</v>
      </c>
      <c r="D46" s="11" t="s">
        <v>1440</v>
      </c>
    </row>
    <row r="47" customFormat="false" ht="30.75" hidden="false" customHeight="true" outlineLevel="0" collapsed="false">
      <c r="B47" s="12" t="s">
        <v>1565</v>
      </c>
      <c r="C47" s="12" t="s">
        <v>1566</v>
      </c>
      <c r="D47" s="12" t="s">
        <v>2664</v>
      </c>
    </row>
    <row r="48" customFormat="false" ht="16.5" hidden="false" customHeight="true" outlineLevel="0" collapsed="false">
      <c r="B48" s="12" t="s">
        <v>1568</v>
      </c>
      <c r="C48" s="12" t="s">
        <v>1569</v>
      </c>
      <c r="D48" s="12" t="s">
        <v>2665</v>
      </c>
    </row>
    <row r="49" customFormat="false" ht="30.75" hidden="false" customHeight="true" outlineLevel="0" collapsed="false">
      <c r="B49" s="12" t="s">
        <v>1571</v>
      </c>
      <c r="C49" s="12" t="s">
        <v>1837</v>
      </c>
      <c r="D49" s="12" t="s">
        <v>2666</v>
      </c>
    </row>
    <row r="50" customFormat="false" ht="30.75" hidden="false" customHeight="true" outlineLevel="0" collapsed="false">
      <c r="B50" s="12" t="s">
        <v>2667</v>
      </c>
      <c r="C50" s="12" t="s">
        <v>2668</v>
      </c>
      <c r="D50" s="12" t="s">
        <v>2669</v>
      </c>
    </row>
    <row r="51" customFormat="false" ht="28.5" hidden="false" customHeight="true" outlineLevel="0" collapsed="false">
      <c r="B51" s="16" t="s">
        <v>1453</v>
      </c>
      <c r="C51" s="16"/>
      <c r="D51" s="16"/>
      <c r="E51" s="16"/>
      <c r="F51" s="16"/>
    </row>
    <row r="53" customFormat="false" ht="15.75" hidden="false" customHeight="true" outlineLevel="0" collapsed="false">
      <c r="B53" s="7" t="s">
        <v>1454</v>
      </c>
      <c r="C53" s="8"/>
      <c r="D53" s="8"/>
      <c r="E53" s="8"/>
      <c r="F53" s="8"/>
      <c r="G53" s="8"/>
      <c r="H53" s="8"/>
      <c r="I53" s="8"/>
      <c r="J53" s="8"/>
      <c r="K53" s="8"/>
    </row>
    <row r="54" customFormat="false" ht="15.75" hidden="false" customHeight="true" outlineLevel="0" collapsed="false">
      <c r="B54" s="9" t="s">
        <v>2670</v>
      </c>
      <c r="C54" s="9"/>
      <c r="D54" s="9"/>
      <c r="E54" s="9"/>
      <c r="F54" s="9"/>
    </row>
    <row r="55" customFormat="false" ht="15.75" hidden="false" customHeight="true" outlineLevel="0" collapsed="false">
      <c r="B55" s="9"/>
      <c r="C55" s="9"/>
      <c r="D55" s="9"/>
      <c r="E55" s="9"/>
      <c r="F55" s="9"/>
    </row>
    <row r="56" customFormat="false" ht="15" hidden="false" customHeight="true" outlineLevel="0" collapsed="false">
      <c r="B56" s="19" t="s">
        <v>85</v>
      </c>
      <c r="C56" s="41" t="s">
        <v>86</v>
      </c>
    </row>
    <row r="58" customFormat="false" ht="15" hidden="false" customHeight="true" outlineLevel="0" collapsed="false">
      <c r="B58" s="10" t="s">
        <v>2671</v>
      </c>
      <c r="C58" s="61" t="n">
        <v>1.1</v>
      </c>
    </row>
    <row r="59" customFormat="false" ht="15" hidden="false" customHeight="true" outlineLevel="0" collapsed="false">
      <c r="B59" s="10" t="s">
        <v>1585</v>
      </c>
      <c r="C59" s="65" t="n">
        <v>25</v>
      </c>
    </row>
    <row r="60" customFormat="false" ht="15" hidden="false" customHeight="true" outlineLevel="0" collapsed="false">
      <c r="B60" s="10" t="s">
        <v>2672</v>
      </c>
      <c r="C60" s="61" t="n">
        <v>0.1</v>
      </c>
    </row>
    <row r="62" customFormat="false" ht="15" hidden="false" customHeight="true" outlineLevel="0" collapsed="false">
      <c r="B62" s="10" t="s">
        <v>2673</v>
      </c>
      <c r="C62" s="66" t="n">
        <f aca="false">C58/SQRT(C59)</f>
        <v>0.22</v>
      </c>
    </row>
    <row r="63" customFormat="false" ht="15" hidden="false" customHeight="true" outlineLevel="0" collapsed="false">
      <c r="B63" s="10" t="s">
        <v>2674</v>
      </c>
      <c r="C63" s="63" t="n">
        <f aca="false">IFERROR(C62/C58,0)</f>
        <v>0.2</v>
      </c>
    </row>
    <row r="64" customFormat="false" ht="15" hidden="false" customHeight="true" outlineLevel="0" collapsed="false">
      <c r="B64" s="10" t="s">
        <v>2675</v>
      </c>
      <c r="C64" s="66" t="n">
        <f aca="false">1.96*C62</f>
        <v>0.4312</v>
      </c>
    </row>
    <row r="65" customFormat="false" ht="15" hidden="false" customHeight="true" outlineLevel="0" collapsed="false">
      <c r="B65" s="10" t="s">
        <v>2676</v>
      </c>
      <c r="C65" s="44" t="n">
        <f aca="false">ROUNDUP((C58/C60)^2,0)</f>
        <v>121</v>
      </c>
    </row>
    <row r="66" customFormat="false" ht="15" hidden="false" customHeight="true" outlineLevel="0" collapsed="false">
      <c r="B66" s="10" t="s">
        <v>2677</v>
      </c>
      <c r="C66" s="44" t="n">
        <f aca="false">MAX(0,C65-C59)</f>
        <v>96</v>
      </c>
    </row>
    <row r="68" customFormat="false" ht="15.75" hidden="false" customHeight="true" outlineLevel="0" collapsed="false">
      <c r="B68" s="7" t="s">
        <v>2678</v>
      </c>
      <c r="C68" s="8"/>
      <c r="D68" s="8"/>
      <c r="E68" s="8"/>
      <c r="F68" s="8"/>
      <c r="G68" s="8"/>
      <c r="H68" s="8"/>
      <c r="I68" s="8"/>
      <c r="J68" s="8"/>
      <c r="K68" s="8"/>
    </row>
    <row r="69" customFormat="false" ht="16.5" hidden="false" customHeight="true" outlineLevel="0" collapsed="false">
      <c r="B69" s="11" t="s">
        <v>1769</v>
      </c>
      <c r="C69" s="11" t="s">
        <v>2679</v>
      </c>
      <c r="D69" s="11" t="s">
        <v>2680</v>
      </c>
      <c r="E69" s="11" t="s">
        <v>2681</v>
      </c>
    </row>
    <row r="70" customFormat="false" ht="15" hidden="false" customHeight="true" outlineLevel="0" collapsed="false">
      <c r="B70" s="27" t="n">
        <v>1</v>
      </c>
      <c r="C70" s="66" t="n">
        <f aca="false">C58/SQRT(B70)</f>
        <v>1.1</v>
      </c>
      <c r="D70" s="76" t="n">
        <f aca="false">1-1/SQRT(B70)</f>
        <v>0</v>
      </c>
      <c r="E70" s="44" t="n">
        <f aca="false">0</f>
        <v>0</v>
      </c>
    </row>
    <row r="71" customFormat="false" ht="15" hidden="false" customHeight="true" outlineLevel="0" collapsed="false">
      <c r="B71" s="27" t="n">
        <v>2</v>
      </c>
      <c r="C71" s="66" t="n">
        <f aca="false">C58/SQRT(B71)</f>
        <v>0.777817459305202</v>
      </c>
      <c r="D71" s="76" t="n">
        <f aca="false">1-1/SQRT(B71)</f>
        <v>0.292893218813453</v>
      </c>
      <c r="E71" s="44" t="n">
        <f aca="false">B71-B70</f>
        <v>1</v>
      </c>
    </row>
    <row r="72" customFormat="false" ht="15" hidden="false" customHeight="true" outlineLevel="0" collapsed="false">
      <c r="B72" s="27" t="n">
        <v>4</v>
      </c>
      <c r="C72" s="66" t="n">
        <f aca="false">C58/SQRT(B72)</f>
        <v>0.55</v>
      </c>
      <c r="D72" s="76" t="n">
        <f aca="false">1-1/SQRT(B72)</f>
        <v>0.5</v>
      </c>
      <c r="E72" s="44" t="n">
        <f aca="false">B72-B71</f>
        <v>2</v>
      </c>
    </row>
    <row r="73" customFormat="false" ht="15" hidden="false" customHeight="true" outlineLevel="0" collapsed="false">
      <c r="B73" s="27" t="n">
        <v>5</v>
      </c>
      <c r="C73" s="66" t="n">
        <f aca="false">C58/SQRT(B73)</f>
        <v>0.491934955049954</v>
      </c>
      <c r="D73" s="76" t="n">
        <f aca="false">1-1/SQRT(B73)</f>
        <v>0.552786404500042</v>
      </c>
      <c r="E73" s="44" t="n">
        <f aca="false">B73-B72</f>
        <v>1</v>
      </c>
    </row>
    <row r="74" customFormat="false" ht="15" hidden="false" customHeight="true" outlineLevel="0" collapsed="false">
      <c r="B74" s="27" t="n">
        <v>9</v>
      </c>
      <c r="C74" s="66" t="n">
        <f aca="false">C58/SQRT(B74)</f>
        <v>0.366666666666667</v>
      </c>
      <c r="D74" s="76" t="n">
        <f aca="false">1-1/SQRT(B74)</f>
        <v>0.666666666666667</v>
      </c>
      <c r="E74" s="44" t="n">
        <f aca="false">B74-B73</f>
        <v>4</v>
      </c>
    </row>
    <row r="75" customFormat="false" ht="15" hidden="false" customHeight="true" outlineLevel="0" collapsed="false">
      <c r="B75" s="27" t="n">
        <v>16</v>
      </c>
      <c r="C75" s="66" t="n">
        <f aca="false">C58/SQRT(B75)</f>
        <v>0.275</v>
      </c>
      <c r="D75" s="76" t="n">
        <f aca="false">1-1/SQRT(B75)</f>
        <v>0.75</v>
      </c>
      <c r="E75" s="44" t="n">
        <f aca="false">B75-B74</f>
        <v>7</v>
      </c>
    </row>
    <row r="76" customFormat="false" ht="15" hidden="false" customHeight="true" outlineLevel="0" collapsed="false">
      <c r="B76" s="27" t="n">
        <v>25</v>
      </c>
      <c r="C76" s="66" t="n">
        <f aca="false">C58/SQRT(B76)</f>
        <v>0.22</v>
      </c>
      <c r="D76" s="76" t="n">
        <f aca="false">1-1/SQRT(B76)</f>
        <v>0.8</v>
      </c>
      <c r="E76" s="44" t="n">
        <f aca="false">B76-B75</f>
        <v>9</v>
      </c>
    </row>
    <row r="77" customFormat="false" ht="15" hidden="false" customHeight="true" outlineLevel="0" collapsed="false">
      <c r="B77" s="27" t="n">
        <v>36</v>
      </c>
      <c r="C77" s="66" t="n">
        <f aca="false">C58/SQRT(B77)</f>
        <v>0.183333333333333</v>
      </c>
      <c r="D77" s="76" t="n">
        <f aca="false">1-1/SQRT(B77)</f>
        <v>0.833333333333333</v>
      </c>
      <c r="E77" s="44" t="n">
        <f aca="false">B77-B76</f>
        <v>11</v>
      </c>
    </row>
    <row r="78" customFormat="false" ht="15" hidden="false" customHeight="true" outlineLevel="0" collapsed="false">
      <c r="B78" s="27" t="n">
        <v>49</v>
      </c>
      <c r="C78" s="66" t="n">
        <f aca="false">C58/SQRT(B78)</f>
        <v>0.157142857142857</v>
      </c>
      <c r="D78" s="76" t="n">
        <f aca="false">1-1/SQRT(B78)</f>
        <v>0.857142857142857</v>
      </c>
      <c r="E78" s="44" t="n">
        <f aca="false">B78-B77</f>
        <v>13</v>
      </c>
    </row>
    <row r="79" customFormat="false" ht="15" hidden="false" customHeight="true" outlineLevel="0" collapsed="false">
      <c r="B79" s="27" t="n">
        <v>64</v>
      </c>
      <c r="C79" s="66" t="n">
        <f aca="false">C58/SQRT(B79)</f>
        <v>0.1375</v>
      </c>
      <c r="D79" s="76" t="n">
        <f aca="false">1-1/SQRT(B79)</f>
        <v>0.875</v>
      </c>
      <c r="E79" s="44" t="n">
        <f aca="false">B79-B78</f>
        <v>15</v>
      </c>
    </row>
    <row r="80" customFormat="false" ht="15" hidden="false" customHeight="true" outlineLevel="0" collapsed="false">
      <c r="B80" s="27" t="n">
        <v>100</v>
      </c>
      <c r="C80" s="66" t="n">
        <f aca="false">C58/SQRT(B80)</f>
        <v>0.11</v>
      </c>
      <c r="D80" s="76" t="n">
        <f aca="false">1-1/SQRT(B80)</f>
        <v>0.9</v>
      </c>
      <c r="E80" s="44" t="n">
        <f aca="false">B80-B79</f>
        <v>36</v>
      </c>
    </row>
    <row r="81" customFormat="false" ht="15" hidden="false" customHeight="true" outlineLevel="0" collapsed="false">
      <c r="B81" s="27" t="n">
        <v>200</v>
      </c>
      <c r="C81" s="66" t="n">
        <f aca="false">C58/SQRT(B81)</f>
        <v>0.0777817459305202</v>
      </c>
      <c r="D81" s="76" t="n">
        <f aca="false">1-1/SQRT(B81)</f>
        <v>0.929289321881345</v>
      </c>
      <c r="E81" s="44" t="n">
        <f aca="false">B81-B80</f>
        <v>100</v>
      </c>
    </row>
    <row r="82" customFormat="false" ht="15" hidden="false" customHeight="true" outlineLevel="0" collapsed="false">
      <c r="B82" s="27" t="n">
        <v>400</v>
      </c>
      <c r="C82" s="66" t="n">
        <f aca="false">C58/SQRT(B82)</f>
        <v>0.055</v>
      </c>
      <c r="D82" s="76" t="n">
        <f aca="false">1-1/SQRT(B82)</f>
        <v>0.95</v>
      </c>
      <c r="E82" s="44" t="n">
        <f aca="false">B82-B81</f>
        <v>200</v>
      </c>
    </row>
    <row r="84" customFormat="false" ht="15.75" hidden="false" customHeight="true" outlineLevel="0" collapsed="false">
      <c r="B84" s="7" t="s">
        <v>1493</v>
      </c>
      <c r="C84" s="8"/>
      <c r="D84" s="8"/>
      <c r="E84" s="8"/>
      <c r="F84" s="8"/>
      <c r="G84" s="8"/>
      <c r="H84" s="8"/>
      <c r="I84" s="8"/>
      <c r="J84" s="8"/>
      <c r="K84" s="8"/>
    </row>
    <row r="85" customFormat="false" ht="33.75" hidden="false" customHeight="true" outlineLevel="0" collapsed="false">
      <c r="B85" s="53" t="s">
        <v>1494</v>
      </c>
      <c r="C85" s="54" t="str">
        <f aca="false">IF(C62&lt;=C60,"CURRENT SAMPLE IS SUFFICIENT - the standard error already meets the target precision",IF(C65&lt;=3*C59,"MODERATE INCREASE NEEDED - the extra measurements are usually affordable","LARGE INCREASE NEEDED - reconsider whether that precision is worth its cost, or reduce the process variation instead, which improves precision and capability at the same time"))</f>
        <v>LARGE INCREASE NEEDED - reconsider whether that precision is worth its cost, or reduce the process variation instead, which improves precision and capability at the same time</v>
      </c>
      <c r="D85" s="54"/>
      <c r="E85" s="54"/>
    </row>
    <row r="87" customFormat="false" ht="17.25" hidden="false" customHeight="true" outlineLevel="0" collapsed="false">
      <c r="B87" s="11" t="s">
        <v>1495</v>
      </c>
      <c r="C87" s="11" t="s">
        <v>1496</v>
      </c>
      <c r="D87" s="11" t="s">
        <v>1497</v>
      </c>
      <c r="E87" s="11"/>
    </row>
    <row r="88" customFormat="false" ht="17.25" hidden="false" customHeight="true" outlineLevel="0" collapsed="false">
      <c r="B88" s="12" t="s">
        <v>2682</v>
      </c>
      <c r="C88" s="12" t="s">
        <v>2683</v>
      </c>
      <c r="D88" s="12" t="s">
        <v>2684</v>
      </c>
      <c r="E88" s="12"/>
    </row>
    <row r="89" customFormat="false" ht="17.25" hidden="false" customHeight="true" outlineLevel="0" collapsed="false">
      <c r="B89" s="12" t="s">
        <v>1602</v>
      </c>
      <c r="C89" s="12" t="s">
        <v>1603</v>
      </c>
      <c r="D89" s="12" t="s">
        <v>2685</v>
      </c>
      <c r="E89" s="12"/>
    </row>
    <row r="90" customFormat="false" ht="31.5" hidden="false" customHeight="true" outlineLevel="0" collapsed="false">
      <c r="B90" s="12" t="s">
        <v>2686</v>
      </c>
      <c r="C90" s="12" t="s">
        <v>2687</v>
      </c>
      <c r="D90" s="12" t="s">
        <v>2688</v>
      </c>
      <c r="E90" s="12"/>
    </row>
    <row r="91" customFormat="false" ht="17.25" hidden="false" customHeight="true" outlineLevel="0" collapsed="false">
      <c r="B91" s="12" t="s">
        <v>2689</v>
      </c>
      <c r="C91" s="12" t="s">
        <v>2690</v>
      </c>
      <c r="D91" s="12" t="s">
        <v>2691</v>
      </c>
      <c r="E91" s="12"/>
    </row>
    <row r="93" customFormat="false" ht="15" hidden="false" customHeight="true" outlineLevel="0" collapsed="false">
      <c r="B93" s="55" t="s">
        <v>1507</v>
      </c>
    </row>
    <row r="94" customFormat="false" ht="31.5" hidden="false" customHeight="true" outlineLevel="0" collapsed="false">
      <c r="B94" s="9" t="s">
        <v>2692</v>
      </c>
      <c r="C94" s="9"/>
      <c r="D94" s="9"/>
      <c r="E94" s="9"/>
      <c r="F94" s="9"/>
    </row>
    <row r="95" customFormat="false" ht="17.25" hidden="false" customHeight="true" outlineLevel="0" collapsed="false">
      <c r="B95" s="9" t="s">
        <v>2693</v>
      </c>
      <c r="C95" s="9"/>
      <c r="D95" s="9"/>
      <c r="E95" s="9"/>
      <c r="F95" s="9"/>
    </row>
    <row r="96" customFormat="false" ht="17.25" hidden="false" customHeight="true" outlineLevel="0" collapsed="false">
      <c r="B96" s="9" t="s">
        <v>2694</v>
      </c>
      <c r="C96" s="9"/>
      <c r="D96" s="9"/>
      <c r="E96" s="9"/>
      <c r="F96" s="9"/>
    </row>
    <row r="97" customFormat="false" ht="17.25" hidden="false" customHeight="true" outlineLevel="0" collapsed="false">
      <c r="B97" s="9" t="s">
        <v>2695</v>
      </c>
      <c r="C97" s="9"/>
      <c r="D97" s="9"/>
      <c r="E97" s="9"/>
      <c r="F97" s="9"/>
    </row>
    <row r="98" customFormat="false" ht="17.25" hidden="false" customHeight="true" outlineLevel="0" collapsed="false">
      <c r="B98" s="9" t="s">
        <v>2696</v>
      </c>
      <c r="C98" s="9"/>
      <c r="D98" s="9"/>
      <c r="E98" s="9"/>
      <c r="F98" s="9"/>
    </row>
    <row r="100" customFormat="false" ht="15.75" hidden="false" customHeight="true" outlineLevel="0" collapsed="false">
      <c r="B100" s="7" t="s">
        <v>1513</v>
      </c>
      <c r="C100" s="8"/>
      <c r="D100" s="8"/>
      <c r="E100" s="8"/>
      <c r="F100" s="8"/>
      <c r="G100" s="8"/>
      <c r="H100" s="8"/>
      <c r="I100" s="8"/>
      <c r="J100" s="8"/>
      <c r="K100" s="8"/>
    </row>
    <row r="101" customFormat="false" ht="17.25" hidden="false" customHeight="true" outlineLevel="0" collapsed="false">
      <c r="B101" s="9" t="s">
        <v>1514</v>
      </c>
      <c r="C101" s="9"/>
      <c r="D101" s="9"/>
      <c r="E101" s="9"/>
      <c r="F101" s="9"/>
      <c r="N101" s="56" t="s">
        <v>1515</v>
      </c>
    </row>
    <row r="102" customFormat="false" ht="17.25" hidden="false" customHeight="true" outlineLevel="0" collapsed="false">
      <c r="B102" s="9" t="s">
        <v>2697</v>
      </c>
      <c r="C102" s="9"/>
      <c r="D102" s="9"/>
      <c r="E102" s="9"/>
      <c r="F102" s="9"/>
      <c r="N102" s="57" t="s">
        <v>2698</v>
      </c>
    </row>
    <row r="103" customFormat="false" ht="17.25" hidden="false" customHeight="true" outlineLevel="0" collapsed="false">
      <c r="B103" s="9" t="s">
        <v>2699</v>
      </c>
      <c r="C103" s="9"/>
      <c r="D103" s="9"/>
      <c r="E103" s="9"/>
      <c r="F103" s="9"/>
      <c r="N103" s="57" t="s">
        <v>2700</v>
      </c>
    </row>
    <row r="104" customFormat="false" ht="31.5" hidden="false" customHeight="true" outlineLevel="0" collapsed="false">
      <c r="B104" s="9" t="s">
        <v>2701</v>
      </c>
      <c r="C104" s="9"/>
      <c r="D104" s="9"/>
      <c r="E104" s="9"/>
      <c r="F104" s="9"/>
      <c r="N104" s="57" t="s">
        <v>2702</v>
      </c>
    </row>
    <row r="106" customFormat="false" ht="15.75" hidden="false" customHeight="true" outlineLevel="0" collapsed="false">
      <c r="B106" s="7" t="s">
        <v>1522</v>
      </c>
      <c r="C106" s="8"/>
      <c r="D106" s="8"/>
      <c r="E106" s="8"/>
      <c r="F106" s="8"/>
      <c r="G106" s="8"/>
      <c r="H106" s="8"/>
      <c r="I106" s="8"/>
      <c r="J106" s="8"/>
      <c r="K106" s="8"/>
    </row>
    <row r="107" customFormat="false" ht="16.5" hidden="false" customHeight="true" outlineLevel="0" collapsed="false">
      <c r="B107" s="11" t="s">
        <v>1523</v>
      </c>
      <c r="C107" s="11" t="s">
        <v>1524</v>
      </c>
      <c r="D107" s="11" t="s">
        <v>1615</v>
      </c>
    </row>
    <row r="108" customFormat="false" ht="30.75" hidden="false" customHeight="true" outlineLevel="0" collapsed="false">
      <c r="B108" s="58" t="s">
        <v>1724</v>
      </c>
      <c r="C108" s="58" t="s">
        <v>1051</v>
      </c>
      <c r="D108" s="58" t="s">
        <v>973</v>
      </c>
    </row>
  </sheetData>
  <mergeCells count="43">
    <mergeCell ref="B2:J2"/>
    <mergeCell ref="D3:E3"/>
    <mergeCell ref="C6:D6"/>
    <mergeCell ref="C7:D7"/>
    <mergeCell ref="C8:D8"/>
    <mergeCell ref="B11:F11"/>
    <mergeCell ref="B12:F13"/>
    <mergeCell ref="B14:F14"/>
    <mergeCell ref="B15:F15"/>
    <mergeCell ref="B16:F18"/>
    <mergeCell ref="B19:F20"/>
    <mergeCell ref="B21:F21"/>
    <mergeCell ref="B24:D24"/>
    <mergeCell ref="E24:F24"/>
    <mergeCell ref="B25:D25"/>
    <mergeCell ref="E25:F25"/>
    <mergeCell ref="B26:D26"/>
    <mergeCell ref="E26:F26"/>
    <mergeCell ref="B27:D27"/>
    <mergeCell ref="E27:F27"/>
    <mergeCell ref="B28:F28"/>
    <mergeCell ref="B36:F36"/>
    <mergeCell ref="B37:F37"/>
    <mergeCell ref="B38:F38"/>
    <mergeCell ref="B40:F40"/>
    <mergeCell ref="B43:F43"/>
    <mergeCell ref="B51:F51"/>
    <mergeCell ref="B54:F55"/>
    <mergeCell ref="C85:E85"/>
    <mergeCell ref="D87:E87"/>
    <mergeCell ref="D88:E88"/>
    <mergeCell ref="D89:E89"/>
    <mergeCell ref="D90:E90"/>
    <mergeCell ref="D91:E91"/>
    <mergeCell ref="B94:F94"/>
    <mergeCell ref="B95:F95"/>
    <mergeCell ref="B96:F96"/>
    <mergeCell ref="B97:F97"/>
    <mergeCell ref="B98:F98"/>
    <mergeCell ref="B101:F101"/>
    <mergeCell ref="B102:F102"/>
    <mergeCell ref="B103:F103"/>
    <mergeCell ref="B104:F104"/>
  </mergeCells>
  <hyperlinks>
    <hyperlink ref="B3" location="'N-03 Index DMAIC'!A1" display="← Back to Index"/>
    <hyperlink ref="E31" location="'E-05 Sampling Subgroups'!A1" display="E-05  Sampling Strategies and Rational Subgrouping"/>
    <hyperlink ref="E32" location="'E-16 CI Proportion StdDev'!A1" display="E-16  Confidence Intervals for Proportion and Std Dev"/>
    <hyperlink ref="E33" location="'E-49 I-MR Chart'!A1" display="E-49  Individuals and Moving Range Chart"/>
    <hyperlink ref="B108" location="'E-13 Distribution ID'!A1" display="E-13  Identifying the Distribution of Your Data"/>
    <hyperlink ref="C108" location="'E-15 CI Mean'!A1" display="E-15  Confidence Intervals for the Mean"/>
    <hyperlink ref="D108" location="'E-20 Sample Size'!A1" display="E-20  Sample Size Determin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2703</v>
      </c>
      <c r="C2" s="3"/>
      <c r="D2" s="3"/>
      <c r="E2" s="3"/>
      <c r="F2" s="3"/>
      <c r="G2" s="3"/>
      <c r="H2" s="3"/>
      <c r="I2" s="3"/>
      <c r="J2" s="3"/>
      <c r="K2" s="46" t="s">
        <v>1389</v>
      </c>
    </row>
    <row r="3" customFormat="false" ht="28.5" hidden="false" customHeight="true" outlineLevel="0" collapsed="false">
      <c r="B3" s="5" t="s">
        <v>3</v>
      </c>
      <c r="D3" s="6" t="s">
        <v>2704</v>
      </c>
      <c r="E3" s="6"/>
    </row>
    <row r="5" customFormat="false" ht="15.75" hidden="false" customHeight="true" outlineLevel="0" collapsed="false">
      <c r="B5" s="7" t="s">
        <v>1391</v>
      </c>
      <c r="C5" s="8"/>
      <c r="D5" s="8"/>
      <c r="E5" s="8"/>
      <c r="F5" s="8"/>
      <c r="G5" s="8"/>
      <c r="H5" s="8"/>
      <c r="I5" s="8"/>
      <c r="J5" s="8"/>
      <c r="K5" s="8"/>
    </row>
    <row r="6" customFormat="false" ht="15" hidden="false" customHeight="true" outlineLevel="0" collapsed="false">
      <c r="B6" s="47" t="s">
        <v>1392</v>
      </c>
      <c r="C6" s="79" t="s">
        <v>2705</v>
      </c>
    </row>
    <row r="7" customFormat="false" ht="15" hidden="false" customHeight="true" outlineLevel="0" collapsed="false">
      <c r="B7" s="47" t="s">
        <v>1394</v>
      </c>
      <c r="C7" s="79" t="s">
        <v>2706</v>
      </c>
    </row>
    <row r="8" customFormat="false" ht="15" hidden="false" customHeight="true" outlineLevel="0" collapsed="false">
      <c r="B8" s="47" t="s">
        <v>1396</v>
      </c>
      <c r="C8" s="79" t="s">
        <v>2707</v>
      </c>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5.75" hidden="false" customHeight="true" outlineLevel="0" collapsed="false">
      <c r="B11" s="9" t="s">
        <v>2708</v>
      </c>
      <c r="C11" s="9"/>
      <c r="D11" s="9"/>
      <c r="E11" s="9"/>
      <c r="F11" s="9"/>
    </row>
    <row r="12" customFormat="false" ht="15.75" hidden="false" customHeight="true" outlineLevel="0" collapsed="false">
      <c r="B12" s="9"/>
      <c r="C12" s="9"/>
      <c r="D12" s="9"/>
      <c r="E12" s="9"/>
      <c r="F12" s="9"/>
    </row>
    <row r="13" customFormat="false" ht="11.25" hidden="false" customHeight="true" outlineLevel="0" collapsed="false">
      <c r="B13" s="9" t="s">
        <v>2709</v>
      </c>
      <c r="C13" s="9"/>
      <c r="D13" s="9"/>
      <c r="E13" s="9"/>
      <c r="F13" s="9"/>
    </row>
    <row r="14" customFormat="false" ht="11.25" hidden="false" customHeight="true" outlineLevel="0" collapsed="false">
      <c r="B14" s="9"/>
      <c r="C14" s="9"/>
      <c r="D14" s="9"/>
      <c r="E14" s="9"/>
      <c r="F14" s="9"/>
    </row>
    <row r="15" customFormat="false" ht="11.25" hidden="false" customHeight="true" outlineLevel="0" collapsed="false">
      <c r="B15" s="9"/>
      <c r="C15" s="9"/>
      <c r="D15" s="9"/>
      <c r="E15" s="9"/>
      <c r="F15" s="9"/>
    </row>
    <row r="16" customFormat="false" ht="11.25" hidden="false" customHeight="true" outlineLevel="0" collapsed="false">
      <c r="B16" s="9"/>
      <c r="C16" s="9"/>
      <c r="D16" s="9"/>
      <c r="E16" s="9"/>
      <c r="F16" s="9"/>
    </row>
    <row r="17" customFormat="false" ht="11.25" hidden="false" customHeight="true" outlineLevel="0" collapsed="false">
      <c r="B17" s="9" t="s">
        <v>2710</v>
      </c>
      <c r="C17" s="9"/>
      <c r="D17" s="9"/>
      <c r="E17" s="9"/>
      <c r="F17" s="9"/>
    </row>
    <row r="18" customFormat="false" ht="11.25" hidden="false" customHeight="true" outlineLevel="0" collapsed="false">
      <c r="B18" s="9"/>
      <c r="C18" s="9"/>
      <c r="D18" s="9"/>
      <c r="E18" s="9"/>
      <c r="F18" s="9"/>
    </row>
    <row r="19" customFormat="false" ht="11.25" hidden="false" customHeight="true" outlineLevel="0" collapsed="false">
      <c r="B19" s="9"/>
      <c r="C19" s="9"/>
      <c r="D19" s="9"/>
      <c r="E19" s="9"/>
      <c r="F19" s="9"/>
    </row>
    <row r="20" customFormat="false" ht="11.25" hidden="false" customHeight="true" outlineLevel="0" collapsed="false">
      <c r="B20" s="9"/>
      <c r="C20" s="9"/>
      <c r="D20" s="9"/>
      <c r="E20" s="9"/>
      <c r="F20" s="9"/>
    </row>
    <row r="21" customFormat="false" ht="15.75" hidden="false" customHeight="true" outlineLevel="0" collapsed="false">
      <c r="B21" s="9" t="s">
        <v>2711</v>
      </c>
      <c r="C21" s="9"/>
      <c r="D21" s="9"/>
      <c r="E21" s="9"/>
      <c r="F21" s="9"/>
    </row>
    <row r="22" customFormat="false" ht="15.75" hidden="false" customHeight="true" outlineLevel="0" collapsed="false">
      <c r="B22" s="9"/>
      <c r="C22" s="9"/>
      <c r="D22" s="9"/>
      <c r="E22" s="9"/>
      <c r="F22" s="9"/>
    </row>
    <row r="24" customFormat="false" ht="15.75" hidden="false" customHeight="true" outlineLevel="0" collapsed="false">
      <c r="B24" s="7" t="s">
        <v>1406</v>
      </c>
      <c r="C24" s="8"/>
      <c r="D24" s="8"/>
      <c r="E24" s="8"/>
      <c r="F24" s="8"/>
      <c r="G24" s="8"/>
      <c r="H24" s="8"/>
      <c r="I24" s="8"/>
      <c r="J24" s="8"/>
      <c r="K24" s="8"/>
    </row>
    <row r="25" customFormat="false" ht="17.25" hidden="false" customHeight="true" outlineLevel="0" collapsed="false">
      <c r="B25" s="48" t="s">
        <v>1407</v>
      </c>
      <c r="C25" s="48"/>
      <c r="E25" s="49" t="s">
        <v>1408</v>
      </c>
      <c r="F25" s="49"/>
    </row>
    <row r="26" customFormat="false" ht="45.75" hidden="false" customHeight="true" outlineLevel="0" collapsed="false">
      <c r="B26" s="23" t="s">
        <v>2712</v>
      </c>
      <c r="C26" s="23"/>
      <c r="E26" s="23" t="s">
        <v>2713</v>
      </c>
      <c r="F26" s="23"/>
    </row>
    <row r="27" customFormat="false" ht="31.5" hidden="false" customHeight="true" outlineLevel="0" collapsed="false">
      <c r="B27" s="23" t="s">
        <v>2714</v>
      </c>
      <c r="C27" s="23"/>
      <c r="E27" s="23" t="s">
        <v>2715</v>
      </c>
      <c r="F27" s="23"/>
    </row>
    <row r="28" customFormat="false" ht="31.5" hidden="false" customHeight="true" outlineLevel="0" collapsed="false">
      <c r="B28" s="23" t="s">
        <v>2716</v>
      </c>
      <c r="C28" s="23"/>
      <c r="E28" s="23" t="s">
        <v>2717</v>
      </c>
      <c r="F28" s="23"/>
    </row>
    <row r="29" customFormat="false" ht="17.25" hidden="false" customHeight="true" outlineLevel="0" collapsed="false">
      <c r="B29" s="23" t="s">
        <v>2718</v>
      </c>
      <c r="C29" s="23"/>
      <c r="D29" s="23"/>
      <c r="E29" s="23"/>
      <c r="F29" s="23"/>
    </row>
    <row r="31" customFormat="false" ht="16.5" hidden="false" customHeight="true" outlineLevel="0" collapsed="false">
      <c r="B31" s="11" t="s">
        <v>1416</v>
      </c>
      <c r="C31" s="11" t="s">
        <v>1417</v>
      </c>
      <c r="D31" s="11" t="s">
        <v>1418</v>
      </c>
      <c r="E31" s="11" t="s">
        <v>1419</v>
      </c>
    </row>
    <row r="32" customFormat="false" ht="30.75" hidden="false" customHeight="true" outlineLevel="0" collapsed="false">
      <c r="B32" s="12" t="s">
        <v>2719</v>
      </c>
      <c r="C32" s="12" t="s">
        <v>2720</v>
      </c>
      <c r="D32" s="12" t="s">
        <v>2721</v>
      </c>
      <c r="E32" s="50" t="s">
        <v>1191</v>
      </c>
    </row>
    <row r="33" customFormat="false" ht="30.75" hidden="false" customHeight="true" outlineLevel="0" collapsed="false">
      <c r="B33" s="12" t="s">
        <v>1547</v>
      </c>
      <c r="C33" s="12" t="s">
        <v>2722</v>
      </c>
      <c r="D33" s="12" t="s">
        <v>2723</v>
      </c>
      <c r="E33" s="50" t="s">
        <v>1546</v>
      </c>
    </row>
    <row r="34" customFormat="false" ht="44.25" hidden="false" customHeight="true" outlineLevel="0" collapsed="false">
      <c r="B34" s="12" t="s">
        <v>2009</v>
      </c>
      <c r="C34" s="12" t="s">
        <v>2574</v>
      </c>
      <c r="D34" s="12" t="s">
        <v>2724</v>
      </c>
      <c r="E34" s="50" t="s">
        <v>1060</v>
      </c>
    </row>
    <row r="36" customFormat="false" ht="15.75" hidden="false" customHeight="true" outlineLevel="0" collapsed="false">
      <c r="B36" s="7" t="s">
        <v>1429</v>
      </c>
      <c r="C36" s="8"/>
      <c r="D36" s="8"/>
      <c r="E36" s="8"/>
      <c r="F36" s="8"/>
      <c r="G36" s="8"/>
      <c r="H36" s="8"/>
      <c r="I36" s="8"/>
      <c r="J36" s="8"/>
      <c r="K36" s="8"/>
    </row>
    <row r="37" customFormat="false" ht="17.25" hidden="false" customHeight="true" outlineLevel="0" collapsed="false">
      <c r="B37" s="51" t="s">
        <v>2725</v>
      </c>
      <c r="C37" s="51"/>
      <c r="D37" s="51"/>
      <c r="E37" s="51"/>
      <c r="F37" s="51"/>
    </row>
    <row r="38" customFormat="false" ht="17.25" hidden="false" customHeight="true" outlineLevel="0" collapsed="false">
      <c r="B38" s="52" t="s">
        <v>2726</v>
      </c>
      <c r="C38" s="52"/>
      <c r="D38" s="52"/>
      <c r="E38" s="52"/>
      <c r="F38" s="52"/>
    </row>
    <row r="39" customFormat="false" ht="15" hidden="false" customHeight="true" outlineLevel="0" collapsed="false">
      <c r="B39" s="47" t="s">
        <v>2727</v>
      </c>
    </row>
    <row r="40" customFormat="false" ht="17.25" hidden="false" customHeight="true" outlineLevel="0" collapsed="false">
      <c r="B40" s="52" t="s">
        <v>2728</v>
      </c>
      <c r="C40" s="52"/>
      <c r="D40" s="52"/>
      <c r="E40" s="52"/>
      <c r="F40" s="52"/>
    </row>
    <row r="41" customFormat="false" ht="15" hidden="false" customHeight="true" outlineLevel="0" collapsed="false">
      <c r="B41" s="47" t="s">
        <v>2729</v>
      </c>
    </row>
    <row r="42" customFormat="false" ht="15" hidden="false" customHeight="true" outlineLevel="0" collapsed="false">
      <c r="B42" s="59" t="s">
        <v>2730</v>
      </c>
    </row>
    <row r="43" customFormat="false" ht="17.25" hidden="false" customHeight="true" outlineLevel="0" collapsed="false">
      <c r="B43" s="51" t="s">
        <v>2731</v>
      </c>
      <c r="C43" s="51"/>
      <c r="D43" s="51"/>
      <c r="E43" s="51"/>
      <c r="F43" s="51"/>
    </row>
    <row r="45" customFormat="false" ht="15.75" hidden="false" customHeight="true" outlineLevel="0" collapsed="false">
      <c r="B45" s="7" t="s">
        <v>1437</v>
      </c>
      <c r="C45" s="8"/>
      <c r="D45" s="8"/>
      <c r="E45" s="8"/>
      <c r="F45" s="8"/>
      <c r="G45" s="8"/>
      <c r="H45" s="8"/>
      <c r="I45" s="8"/>
      <c r="J45" s="8"/>
      <c r="K45" s="8"/>
    </row>
    <row r="46" customFormat="false" ht="16.5" hidden="false" customHeight="true" outlineLevel="0" collapsed="false">
      <c r="B46" s="11" t="s">
        <v>1438</v>
      </c>
      <c r="C46" s="11" t="s">
        <v>1439</v>
      </c>
      <c r="D46" s="11" t="s">
        <v>1440</v>
      </c>
    </row>
    <row r="47" customFormat="false" ht="16.5" hidden="false" customHeight="true" outlineLevel="0" collapsed="false">
      <c r="B47" s="12" t="s">
        <v>2732</v>
      </c>
      <c r="C47" s="12" t="s">
        <v>1563</v>
      </c>
      <c r="D47" s="12" t="s">
        <v>2733</v>
      </c>
    </row>
    <row r="48" customFormat="false" ht="30.75" hidden="false" customHeight="true" outlineLevel="0" collapsed="false">
      <c r="B48" s="12" t="s">
        <v>2208</v>
      </c>
      <c r="C48" s="12" t="s">
        <v>2734</v>
      </c>
      <c r="D48" s="12" t="s">
        <v>2735</v>
      </c>
    </row>
    <row r="49" customFormat="false" ht="30.75" hidden="false" customHeight="true" outlineLevel="0" collapsed="false">
      <c r="B49" s="12" t="s">
        <v>1574</v>
      </c>
      <c r="C49" s="12" t="s">
        <v>2736</v>
      </c>
      <c r="D49" s="12" t="s">
        <v>2737</v>
      </c>
    </row>
    <row r="50" customFormat="false" ht="30.75" hidden="false" customHeight="true" outlineLevel="0" collapsed="false">
      <c r="B50" s="12" t="s">
        <v>2738</v>
      </c>
      <c r="C50" s="12" t="s">
        <v>2739</v>
      </c>
      <c r="D50" s="12" t="s">
        <v>2740</v>
      </c>
    </row>
    <row r="51" customFormat="false" ht="30.75" hidden="false" customHeight="true" outlineLevel="0" collapsed="false">
      <c r="B51" s="12" t="s">
        <v>2741</v>
      </c>
      <c r="C51" s="12" t="s">
        <v>2742</v>
      </c>
      <c r="D51" s="12" t="s">
        <v>2743</v>
      </c>
    </row>
    <row r="52" customFormat="false" ht="28.5" hidden="false" customHeight="true" outlineLevel="0" collapsed="false">
      <c r="B52" s="16" t="s">
        <v>1453</v>
      </c>
      <c r="C52" s="16"/>
      <c r="D52" s="16"/>
      <c r="E52" s="16"/>
      <c r="F52" s="16"/>
    </row>
    <row r="54" customFormat="false" ht="15.75" hidden="false" customHeight="true" outlineLevel="0" collapsed="false">
      <c r="B54" s="7" t="s">
        <v>1454</v>
      </c>
      <c r="C54" s="8"/>
      <c r="D54" s="8"/>
      <c r="E54" s="8"/>
      <c r="F54" s="8"/>
      <c r="G54" s="8"/>
      <c r="H54" s="8"/>
      <c r="I54" s="8"/>
      <c r="J54" s="8"/>
      <c r="K54" s="8"/>
    </row>
    <row r="55" customFormat="false" ht="15.75" hidden="false" customHeight="true" outlineLevel="0" collapsed="false">
      <c r="B55" s="9" t="s">
        <v>2744</v>
      </c>
      <c r="C55" s="9"/>
      <c r="D55" s="9"/>
      <c r="E55" s="9"/>
      <c r="F55" s="9"/>
    </row>
    <row r="56" customFormat="false" ht="15.75" hidden="false" customHeight="true" outlineLevel="0" collapsed="false">
      <c r="B56" s="9"/>
      <c r="C56" s="9"/>
      <c r="D56" s="9"/>
      <c r="E56" s="9"/>
      <c r="F56" s="9"/>
    </row>
    <row r="57" customFormat="false" ht="15" hidden="false" customHeight="true" outlineLevel="0" collapsed="false">
      <c r="B57" s="19" t="s">
        <v>85</v>
      </c>
      <c r="C57" s="41" t="s">
        <v>86</v>
      </c>
    </row>
    <row r="59" customFormat="false" ht="15" hidden="false" customHeight="true" outlineLevel="0" collapsed="false">
      <c r="B59" s="10" t="s">
        <v>1586</v>
      </c>
      <c r="C59" s="75" t="n">
        <v>500.8</v>
      </c>
    </row>
    <row r="60" customFormat="false" ht="15" hidden="false" customHeight="true" outlineLevel="0" collapsed="false">
      <c r="B60" s="10" t="s">
        <v>1587</v>
      </c>
      <c r="C60" s="75" t="n">
        <v>1.1</v>
      </c>
    </row>
    <row r="61" customFormat="false" ht="15" hidden="false" customHeight="true" outlineLevel="0" collapsed="false">
      <c r="B61" s="10" t="s">
        <v>1585</v>
      </c>
      <c r="C61" s="65" t="n">
        <v>25</v>
      </c>
    </row>
    <row r="62" customFormat="false" ht="15" hidden="false" customHeight="true" outlineLevel="0" collapsed="false">
      <c r="B62" s="10" t="s">
        <v>1584</v>
      </c>
      <c r="C62" s="62" t="n">
        <v>0.95</v>
      </c>
    </row>
    <row r="63" customFormat="false" ht="15" hidden="false" customHeight="true" outlineLevel="0" collapsed="false">
      <c r="B63" s="10" t="s">
        <v>2745</v>
      </c>
      <c r="C63" s="60" t="n">
        <v>500</v>
      </c>
    </row>
    <row r="64" customFormat="false" ht="15" hidden="false" customHeight="true" outlineLevel="0" collapsed="false">
      <c r="B64" s="10" t="s">
        <v>2746</v>
      </c>
      <c r="C64" s="75" t="n">
        <v>1.1</v>
      </c>
    </row>
    <row r="66" customFormat="false" ht="15" hidden="false" customHeight="true" outlineLevel="0" collapsed="false">
      <c r="B66" s="10" t="s">
        <v>2747</v>
      </c>
      <c r="C66" s="44" t="n">
        <f aca="false">C61-1</f>
        <v>24</v>
      </c>
    </row>
    <row r="67" customFormat="false" ht="15" hidden="false" customHeight="true" outlineLevel="0" collapsed="false">
      <c r="B67" s="10" t="s">
        <v>2748</v>
      </c>
      <c r="C67" s="66" t="n">
        <f aca="false">TINV(1-C62,C66)</f>
        <v>2.06389856162802</v>
      </c>
    </row>
    <row r="68" customFormat="false" ht="15" hidden="false" customHeight="true" outlineLevel="0" collapsed="false">
      <c r="B68" s="10" t="s">
        <v>2749</v>
      </c>
      <c r="C68" s="66" t="n">
        <f aca="false">C60/SQRT(C61)</f>
        <v>0.22</v>
      </c>
    </row>
    <row r="69" customFormat="false" ht="15" hidden="false" customHeight="true" outlineLevel="0" collapsed="false">
      <c r="B69" s="10" t="s">
        <v>2750</v>
      </c>
      <c r="C69" s="66" t="n">
        <f aca="false">C67*C68</f>
        <v>0.454057683558165</v>
      </c>
    </row>
    <row r="70" customFormat="false" ht="15" hidden="false" customHeight="true" outlineLevel="0" collapsed="false">
      <c r="B70" s="10" t="s">
        <v>2751</v>
      </c>
      <c r="C70" s="63" t="n">
        <f aca="false">C59-C69</f>
        <v>500.345942316442</v>
      </c>
    </row>
    <row r="71" customFormat="false" ht="15" hidden="false" customHeight="true" outlineLevel="0" collapsed="false">
      <c r="B71" s="10" t="s">
        <v>2752</v>
      </c>
      <c r="C71" s="63" t="n">
        <f aca="false">C59+C69</f>
        <v>501.254057683558</v>
      </c>
    </row>
    <row r="72" customFormat="false" ht="15" hidden="false" customHeight="true" outlineLevel="0" collapsed="false">
      <c r="B72" s="10" t="s">
        <v>2753</v>
      </c>
      <c r="C72" s="63" t="n">
        <f aca="false">C71-C70</f>
        <v>0.908115367116352</v>
      </c>
    </row>
    <row r="73" customFormat="false" ht="15" hidden="false" customHeight="true" outlineLevel="0" collapsed="false">
      <c r="B73" s="10" t="s">
        <v>2754</v>
      </c>
      <c r="C73" s="66" t="n">
        <f aca="false">NORMSINV(1-(1-C62)/2)</f>
        <v>1.95996398454005</v>
      </c>
    </row>
    <row r="74" customFormat="false" ht="15" hidden="false" customHeight="true" outlineLevel="0" collapsed="false">
      <c r="B74" s="10" t="s">
        <v>2755</v>
      </c>
      <c r="C74" s="66" t="n">
        <f aca="false">C73*C64/SQRT(C61)</f>
        <v>0.431192076598812</v>
      </c>
    </row>
    <row r="75" customFormat="false" ht="15" hidden="false" customHeight="true" outlineLevel="0" collapsed="false">
      <c r="B75" s="10" t="s">
        <v>2756</v>
      </c>
      <c r="C75" s="41" t="str">
        <f aca="false">IF(AND(C63&gt;=C70,C63&lt;=C71),"Yes","No")</f>
        <v>No</v>
      </c>
    </row>
    <row r="76" customFormat="false" ht="15" hidden="false" customHeight="true" outlineLevel="0" collapsed="false">
      <c r="B76" s="10" t="s">
        <v>2757</v>
      </c>
      <c r="C76" s="63" t="n">
        <f aca="false">C59-C63</f>
        <v>0.800000000000011</v>
      </c>
    </row>
    <row r="78" customFormat="false" ht="15.75" hidden="false" customHeight="true" outlineLevel="0" collapsed="false">
      <c r="B78" s="7" t="s">
        <v>1493</v>
      </c>
      <c r="C78" s="8"/>
      <c r="D78" s="8"/>
      <c r="E78" s="8"/>
      <c r="F78" s="8"/>
      <c r="G78" s="8"/>
      <c r="H78" s="8"/>
      <c r="I78" s="8"/>
      <c r="J78" s="8"/>
      <c r="K78" s="8"/>
    </row>
    <row r="79" customFormat="false" ht="33.75" hidden="false" customHeight="true" outlineLevel="0" collapsed="false">
      <c r="B79" s="53" t="s">
        <v>1494</v>
      </c>
      <c r="C79" s="54" t="str">
        <f aca="false">IF(C75="Yes","TARGET IS INSIDE THE INTERVAL - no evidence the process is off target. Adjusting the filler would be over-reaction.","TARGET IS OUTSIDE THE INTERVAL - the process is genuinely off target by about "&amp;TEXT(C76,"0.00")&amp;" ml. Confirm the size of the prize on E-21 before acting.")</f>
        <v>TARGET IS OUTSIDE THE INTERVAL - the process is genuinely off target by about 0.80 ml. Confirm the size of the prize on E-21 before acting.</v>
      </c>
      <c r="D79" s="54"/>
      <c r="E79" s="54"/>
    </row>
    <row r="81" customFormat="false" ht="16.5" hidden="false" customHeight="true" outlineLevel="0" collapsed="false">
      <c r="B81" s="11" t="s">
        <v>1495</v>
      </c>
      <c r="C81" s="11" t="s">
        <v>1496</v>
      </c>
      <c r="D81" s="11" t="s">
        <v>1497</v>
      </c>
    </row>
    <row r="82" customFormat="false" ht="30.75" hidden="false" customHeight="true" outlineLevel="0" collapsed="false">
      <c r="B82" s="12" t="s">
        <v>2758</v>
      </c>
      <c r="C82" s="12" t="s">
        <v>1380</v>
      </c>
      <c r="D82" s="12" t="s">
        <v>2759</v>
      </c>
    </row>
    <row r="83" customFormat="false" ht="30.75" hidden="false" customHeight="true" outlineLevel="0" collapsed="false">
      <c r="B83" s="12" t="s">
        <v>2760</v>
      </c>
      <c r="C83" s="12" t="s">
        <v>1380</v>
      </c>
      <c r="D83" s="12" t="s">
        <v>2761</v>
      </c>
    </row>
    <row r="84" customFormat="false" ht="30.75" hidden="false" customHeight="true" outlineLevel="0" collapsed="false">
      <c r="B84" s="12" t="s">
        <v>2762</v>
      </c>
      <c r="C84" s="12" t="s">
        <v>2763</v>
      </c>
      <c r="D84" s="12" t="s">
        <v>2764</v>
      </c>
    </row>
    <row r="85" customFormat="false" ht="30.75" hidden="false" customHeight="true" outlineLevel="0" collapsed="false">
      <c r="B85" s="12" t="s">
        <v>1584</v>
      </c>
      <c r="C85" s="12" t="s">
        <v>2765</v>
      </c>
      <c r="D85" s="12" t="s">
        <v>2766</v>
      </c>
    </row>
    <row r="87" customFormat="false" ht="15" hidden="false" customHeight="true" outlineLevel="0" collapsed="false">
      <c r="B87" s="55" t="s">
        <v>1507</v>
      </c>
    </row>
    <row r="88" customFormat="false" ht="31.5" hidden="false" customHeight="true" outlineLevel="0" collapsed="false">
      <c r="B88" s="9" t="s">
        <v>2767</v>
      </c>
      <c r="C88" s="9"/>
      <c r="D88" s="9"/>
      <c r="E88" s="9"/>
      <c r="F88" s="9"/>
    </row>
    <row r="89" customFormat="false" ht="17.25" hidden="false" customHeight="true" outlineLevel="0" collapsed="false">
      <c r="B89" s="9" t="s">
        <v>2768</v>
      </c>
      <c r="C89" s="9"/>
      <c r="D89" s="9"/>
      <c r="E89" s="9"/>
      <c r="F89" s="9"/>
    </row>
    <row r="90" customFormat="false" ht="17.25" hidden="false" customHeight="true" outlineLevel="0" collapsed="false">
      <c r="B90" s="9" t="s">
        <v>2769</v>
      </c>
      <c r="C90" s="9"/>
      <c r="D90" s="9"/>
      <c r="E90" s="9"/>
      <c r="F90" s="9"/>
    </row>
    <row r="91" customFormat="false" ht="17.25" hidden="false" customHeight="true" outlineLevel="0" collapsed="false">
      <c r="B91" s="9" t="s">
        <v>2770</v>
      </c>
      <c r="C91" s="9"/>
      <c r="D91" s="9"/>
      <c r="E91" s="9"/>
      <c r="F91" s="9"/>
    </row>
    <row r="92" customFormat="false" ht="17.25" hidden="false" customHeight="true" outlineLevel="0" collapsed="false">
      <c r="B92" s="9" t="s">
        <v>2771</v>
      </c>
      <c r="C92" s="9"/>
      <c r="D92" s="9"/>
      <c r="E92" s="9"/>
      <c r="F92" s="9"/>
    </row>
    <row r="94" customFormat="false" ht="15.75" hidden="false" customHeight="true" outlineLevel="0" collapsed="false">
      <c r="B94" s="7" t="s">
        <v>1513</v>
      </c>
      <c r="C94" s="8"/>
      <c r="D94" s="8"/>
      <c r="E94" s="8"/>
      <c r="F94" s="8"/>
      <c r="G94" s="8"/>
      <c r="H94" s="8"/>
      <c r="I94" s="8"/>
      <c r="J94" s="8"/>
      <c r="K94" s="8"/>
    </row>
    <row r="95" customFormat="false" ht="17.25" hidden="false" customHeight="true" outlineLevel="0" collapsed="false">
      <c r="B95" s="9" t="s">
        <v>1514</v>
      </c>
      <c r="C95" s="9"/>
      <c r="D95" s="9"/>
      <c r="E95" s="9"/>
      <c r="N95" s="56" t="s">
        <v>1515</v>
      </c>
    </row>
    <row r="96" customFormat="false" ht="17.25" hidden="false" customHeight="true" outlineLevel="0" collapsed="false">
      <c r="B96" s="9" t="s">
        <v>2772</v>
      </c>
      <c r="C96" s="9"/>
      <c r="D96" s="9"/>
      <c r="E96" s="9"/>
      <c r="N96" s="57" t="s">
        <v>2773</v>
      </c>
    </row>
    <row r="97" customFormat="false" ht="17.25" hidden="false" customHeight="true" outlineLevel="0" collapsed="false">
      <c r="B97" s="9" t="s">
        <v>2774</v>
      </c>
      <c r="C97" s="9"/>
      <c r="D97" s="9"/>
      <c r="E97" s="9"/>
      <c r="N97" s="57" t="s">
        <v>2775</v>
      </c>
    </row>
    <row r="98" customFormat="false" ht="17.25" hidden="false" customHeight="true" outlineLevel="0" collapsed="false">
      <c r="B98" s="9" t="s">
        <v>2776</v>
      </c>
      <c r="C98" s="9"/>
      <c r="D98" s="9"/>
      <c r="E98" s="9"/>
      <c r="N98" s="57" t="s">
        <v>2777</v>
      </c>
    </row>
    <row r="100" customFormat="false" ht="15.75" hidden="false" customHeight="true" outlineLevel="0" collapsed="false">
      <c r="B100" s="7" t="s">
        <v>1522</v>
      </c>
      <c r="C100" s="8"/>
      <c r="D100" s="8"/>
      <c r="E100" s="8"/>
      <c r="F100" s="8"/>
      <c r="G100" s="8"/>
      <c r="H100" s="8"/>
      <c r="I100" s="8"/>
      <c r="J100" s="8"/>
      <c r="K100" s="8"/>
    </row>
    <row r="101" customFormat="false" ht="16.5" hidden="false" customHeight="true" outlineLevel="0" collapsed="false">
      <c r="B101" s="11" t="s">
        <v>1523</v>
      </c>
      <c r="C101" s="11" t="s">
        <v>1524</v>
      </c>
      <c r="D101" s="11" t="s">
        <v>1615</v>
      </c>
    </row>
    <row r="102" customFormat="false" ht="30.75" hidden="false" customHeight="true" outlineLevel="0" collapsed="false">
      <c r="B102" s="58" t="s">
        <v>1616</v>
      </c>
      <c r="C102" s="58" t="s">
        <v>2015</v>
      </c>
      <c r="D102" s="58" t="s">
        <v>1053</v>
      </c>
    </row>
  </sheetData>
  <mergeCells count="31">
    <mergeCell ref="B2:J2"/>
    <mergeCell ref="D3:E3"/>
    <mergeCell ref="B11:F12"/>
    <mergeCell ref="B13:F16"/>
    <mergeCell ref="B17:F20"/>
    <mergeCell ref="B21:F22"/>
    <mergeCell ref="B25:C25"/>
    <mergeCell ref="E25:F25"/>
    <mergeCell ref="B26:C26"/>
    <mergeCell ref="E26:F26"/>
    <mergeCell ref="B27:C27"/>
    <mergeCell ref="E27:F27"/>
    <mergeCell ref="B28:C28"/>
    <mergeCell ref="E28:F28"/>
    <mergeCell ref="B29:F29"/>
    <mergeCell ref="B37:F37"/>
    <mergeCell ref="B38:F38"/>
    <mergeCell ref="B40:F40"/>
    <mergeCell ref="B43:F43"/>
    <mergeCell ref="B52:F52"/>
    <mergeCell ref="B55:F56"/>
    <mergeCell ref="C79:E79"/>
    <mergeCell ref="B88:F88"/>
    <mergeCell ref="B89:F89"/>
    <mergeCell ref="B90:F90"/>
    <mergeCell ref="B91:F91"/>
    <mergeCell ref="B92:F92"/>
    <mergeCell ref="B95:E95"/>
    <mergeCell ref="B96:E96"/>
    <mergeCell ref="B97:E97"/>
    <mergeCell ref="B98:E98"/>
  </mergeCells>
  <hyperlinks>
    <hyperlink ref="B3" location="'N-03 Index DMAIC'!A1" display="← Back to Index"/>
    <hyperlink ref="E32" location="'E-31 Nonparametric Tests'!A1" display="E-31  Nonparametric Tests"/>
    <hyperlink ref="E33" location="'E-05 Sampling Subgroups'!A1" display="E-05  Sampling Strategies and Rational Subgrouping"/>
    <hyperlink ref="E34" location="'E-49 I-MR Chart'!A1" display="E-49  Individuals and Moving Range Chart"/>
    <hyperlink ref="B102" location="'E-14 Standard Error'!A1" display="E-14  Standard Error vs Standard Deviation"/>
    <hyperlink ref="C102" location="'E-16 CI Proportion StdDev'!A1" display="E-16  Confidence Intervals for Proportion and Std Dev"/>
    <hyperlink ref="D102" location="'E-23 1-Sample t-Test'!A1" display="E-23  One-Sample t-Tes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2778</v>
      </c>
      <c r="C2" s="3"/>
      <c r="D2" s="3"/>
      <c r="E2" s="3"/>
      <c r="F2" s="3"/>
      <c r="G2" s="3"/>
      <c r="H2" s="3"/>
      <c r="I2" s="3"/>
      <c r="J2" s="3"/>
      <c r="K2" s="46" t="s">
        <v>1389</v>
      </c>
    </row>
    <row r="3" customFormat="false" ht="28.5" hidden="false" customHeight="true" outlineLevel="0" collapsed="false">
      <c r="B3" s="5" t="s">
        <v>3</v>
      </c>
      <c r="D3" s="6" t="s">
        <v>2779</v>
      </c>
      <c r="E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2780</v>
      </c>
      <c r="D6" s="9"/>
    </row>
    <row r="7" customFormat="false" ht="31.5" hidden="false" customHeight="true" outlineLevel="0" collapsed="false">
      <c r="B7" s="47" t="s">
        <v>1394</v>
      </c>
      <c r="C7" s="9" t="s">
        <v>2781</v>
      </c>
      <c r="D7" s="9"/>
    </row>
    <row r="8" customFormat="false" ht="31.5" hidden="false" customHeight="true" outlineLevel="0" collapsed="false">
      <c r="B8" s="47" t="s">
        <v>1396</v>
      </c>
      <c r="C8" s="9" t="s">
        <v>2782</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8.25" hidden="false" customHeight="true" outlineLevel="0" collapsed="false">
      <c r="B11" s="9" t="s">
        <v>2783</v>
      </c>
      <c r="C11" s="9"/>
      <c r="D11" s="9"/>
      <c r="E11" s="9"/>
      <c r="F11" s="9"/>
    </row>
    <row r="12" customFormat="false" ht="8.25" hidden="false" customHeight="true" outlineLevel="0" collapsed="false">
      <c r="B12" s="9"/>
      <c r="C12" s="9"/>
      <c r="D12" s="9"/>
      <c r="E12" s="9"/>
      <c r="F12" s="9"/>
    </row>
    <row r="13" customFormat="false" ht="10.5" hidden="false" customHeight="true" outlineLevel="0" collapsed="false">
      <c r="B13" s="9" t="s">
        <v>2784</v>
      </c>
      <c r="C13" s="9"/>
      <c r="D13" s="9"/>
      <c r="E13" s="9"/>
      <c r="F13" s="9"/>
    </row>
    <row r="14" customFormat="false" ht="10.5" hidden="false" customHeight="true" outlineLevel="0" collapsed="false">
      <c r="B14" s="9"/>
      <c r="C14" s="9"/>
      <c r="D14" s="9"/>
      <c r="E14" s="9"/>
      <c r="F14" s="9"/>
    </row>
    <row r="15" customFormat="false" ht="10.5" hidden="false" customHeight="true" outlineLevel="0" collapsed="false">
      <c r="B15" s="9"/>
      <c r="C15" s="9"/>
      <c r="D15" s="9"/>
      <c r="E15" s="9"/>
      <c r="F15" s="9"/>
    </row>
    <row r="16" customFormat="false" ht="15" hidden="false" customHeight="true" outlineLevel="0" collapsed="false">
      <c r="B16" s="9" t="s">
        <v>2785</v>
      </c>
      <c r="C16" s="9"/>
      <c r="D16" s="9"/>
      <c r="E16" s="9"/>
      <c r="F16" s="9"/>
    </row>
    <row r="17" customFormat="false" ht="15" hidden="false" customHeight="true" outlineLevel="0" collapsed="false">
      <c r="B17" s="9"/>
      <c r="C17" s="9"/>
      <c r="D17" s="9"/>
      <c r="E17" s="9"/>
      <c r="F17" s="9"/>
    </row>
    <row r="18" customFormat="false" ht="15" hidden="false" customHeight="true" outlineLevel="0" collapsed="false">
      <c r="B18" s="9"/>
      <c r="C18" s="9"/>
      <c r="D18" s="9"/>
      <c r="E18" s="9"/>
      <c r="F18" s="9"/>
    </row>
    <row r="19" customFormat="false" ht="11.25" hidden="false" customHeight="true" outlineLevel="0" collapsed="false">
      <c r="B19" s="9" t="s">
        <v>2786</v>
      </c>
      <c r="C19" s="9"/>
      <c r="D19" s="9"/>
      <c r="E19" s="9"/>
      <c r="F19" s="9"/>
    </row>
    <row r="20" customFormat="false" ht="11.25" hidden="false" customHeight="true" outlineLevel="0" collapsed="false">
      <c r="B20" s="9"/>
      <c r="C20" s="9"/>
      <c r="D20" s="9"/>
      <c r="E20" s="9"/>
      <c r="F20" s="9"/>
    </row>
    <row r="21" customFormat="false" ht="11.25" hidden="false" customHeight="true" outlineLevel="0" collapsed="false">
      <c r="B21" s="9"/>
      <c r="C21" s="9"/>
      <c r="D21" s="9"/>
      <c r="E21" s="9"/>
      <c r="F21" s="9"/>
    </row>
    <row r="22" customFormat="false" ht="11.25" hidden="false" customHeight="true" outlineLevel="0" collapsed="false">
      <c r="B22" s="9"/>
      <c r="C22" s="9"/>
      <c r="D22" s="9"/>
      <c r="E22" s="9"/>
      <c r="F22" s="9"/>
    </row>
    <row r="24" customFormat="false" ht="15.75" hidden="false" customHeight="true" outlineLevel="0" collapsed="false">
      <c r="B24" s="7" t="s">
        <v>1406</v>
      </c>
      <c r="C24" s="8"/>
      <c r="D24" s="8"/>
      <c r="E24" s="8"/>
      <c r="F24" s="8"/>
      <c r="G24" s="8"/>
      <c r="H24" s="8"/>
      <c r="I24" s="8"/>
      <c r="J24" s="8"/>
      <c r="K24" s="8"/>
    </row>
    <row r="25" customFormat="false" ht="17.25" hidden="false" customHeight="true" outlineLevel="0" collapsed="false">
      <c r="B25" s="48" t="s">
        <v>1407</v>
      </c>
      <c r="C25" s="48"/>
      <c r="D25" s="48"/>
      <c r="E25" s="49" t="s">
        <v>1408</v>
      </c>
      <c r="F25" s="49"/>
    </row>
    <row r="26" customFormat="false" ht="31.5" hidden="false" customHeight="true" outlineLevel="0" collapsed="false">
      <c r="B26" s="23" t="s">
        <v>2787</v>
      </c>
      <c r="C26" s="23"/>
      <c r="D26" s="23"/>
      <c r="E26" s="23" t="s">
        <v>2788</v>
      </c>
      <c r="F26" s="23"/>
    </row>
    <row r="27" customFormat="false" ht="31.5" hidden="false" customHeight="true" outlineLevel="0" collapsed="false">
      <c r="B27" s="23" t="s">
        <v>2789</v>
      </c>
      <c r="C27" s="23"/>
      <c r="D27" s="23"/>
      <c r="E27" s="23" t="s">
        <v>2790</v>
      </c>
      <c r="F27" s="23"/>
    </row>
    <row r="28" customFormat="false" ht="31.5" hidden="false" customHeight="true" outlineLevel="0" collapsed="false">
      <c r="B28" s="23" t="s">
        <v>2791</v>
      </c>
      <c r="C28" s="23"/>
      <c r="D28" s="23"/>
      <c r="E28" s="23" t="s">
        <v>2792</v>
      </c>
      <c r="F28" s="23"/>
    </row>
    <row r="29" customFormat="false" ht="17.25" hidden="false" customHeight="true" outlineLevel="0" collapsed="false">
      <c r="B29" s="23" t="s">
        <v>2793</v>
      </c>
      <c r="C29" s="23"/>
      <c r="D29" s="23"/>
      <c r="E29" s="23"/>
      <c r="F29" s="23"/>
    </row>
    <row r="31" customFormat="false" ht="16.5" hidden="false" customHeight="true" outlineLevel="0" collapsed="false">
      <c r="B31" s="11" t="s">
        <v>1416</v>
      </c>
      <c r="C31" s="11" t="s">
        <v>1417</v>
      </c>
      <c r="D31" s="11" t="s">
        <v>1418</v>
      </c>
      <c r="E31" s="11" t="s">
        <v>1419</v>
      </c>
    </row>
    <row r="32" customFormat="false" ht="30.75" hidden="false" customHeight="true" outlineLevel="0" collapsed="false">
      <c r="B32" s="12" t="s">
        <v>2794</v>
      </c>
      <c r="C32" s="12" t="s">
        <v>2795</v>
      </c>
      <c r="D32" s="12" t="s">
        <v>2796</v>
      </c>
      <c r="E32" s="50" t="s">
        <v>1072</v>
      </c>
    </row>
    <row r="33" customFormat="false" ht="30.75" hidden="false" customHeight="true" outlineLevel="0" collapsed="false">
      <c r="B33" s="12" t="s">
        <v>2797</v>
      </c>
      <c r="C33" s="12" t="s">
        <v>2194</v>
      </c>
      <c r="D33" s="12" t="s">
        <v>2798</v>
      </c>
      <c r="E33" s="50" t="s">
        <v>964</v>
      </c>
    </row>
    <row r="34" customFormat="false" ht="44.25" hidden="false" customHeight="true" outlineLevel="0" collapsed="false">
      <c r="B34" s="12" t="s">
        <v>2799</v>
      </c>
      <c r="C34" s="12" t="s">
        <v>2800</v>
      </c>
      <c r="D34" s="12" t="s">
        <v>2801</v>
      </c>
      <c r="E34" s="12"/>
    </row>
    <row r="36" customFormat="false" ht="15.75" hidden="false" customHeight="true" outlineLevel="0" collapsed="false">
      <c r="B36" s="7" t="s">
        <v>1429</v>
      </c>
      <c r="C36" s="8"/>
      <c r="D36" s="8"/>
      <c r="E36" s="8"/>
      <c r="F36" s="8"/>
      <c r="G36" s="8"/>
      <c r="H36" s="8"/>
      <c r="I36" s="8"/>
      <c r="J36" s="8"/>
      <c r="K36" s="8"/>
    </row>
    <row r="37" customFormat="false" ht="17.25" hidden="false" customHeight="true" outlineLevel="0" collapsed="false">
      <c r="B37" s="51" t="s">
        <v>2802</v>
      </c>
      <c r="C37" s="51"/>
      <c r="D37" s="51"/>
      <c r="E37" s="51"/>
      <c r="F37" s="51"/>
    </row>
    <row r="38" customFormat="false" ht="17.25" hidden="false" customHeight="true" outlineLevel="0" collapsed="false">
      <c r="B38" s="52" t="s">
        <v>2803</v>
      </c>
      <c r="C38" s="52"/>
      <c r="D38" s="52"/>
      <c r="E38" s="52"/>
      <c r="F38" s="52"/>
    </row>
    <row r="39" customFormat="false" ht="17.25" hidden="false" customHeight="true" outlineLevel="0" collapsed="false">
      <c r="B39" s="51" t="s">
        <v>2804</v>
      </c>
      <c r="C39" s="51"/>
      <c r="D39" s="51"/>
      <c r="E39" s="51"/>
      <c r="F39" s="51"/>
    </row>
    <row r="40" customFormat="false" ht="17.25" hidden="false" customHeight="true" outlineLevel="0" collapsed="false">
      <c r="B40" s="52" t="s">
        <v>2805</v>
      </c>
      <c r="C40" s="52"/>
      <c r="D40" s="52"/>
      <c r="E40" s="52"/>
      <c r="F40" s="52"/>
    </row>
    <row r="41" customFormat="false" ht="17.25" hidden="false" customHeight="true" outlineLevel="0" collapsed="false">
      <c r="B41" s="52" t="s">
        <v>2806</v>
      </c>
      <c r="C41" s="52"/>
      <c r="D41" s="52"/>
      <c r="E41" s="52"/>
      <c r="F41" s="52"/>
    </row>
    <row r="42" customFormat="false" ht="17.25" hidden="false" customHeight="true" outlineLevel="0" collapsed="false">
      <c r="B42" s="51" t="s">
        <v>2807</v>
      </c>
      <c r="C42" s="51"/>
      <c r="D42" s="51"/>
      <c r="E42" s="51"/>
      <c r="F42" s="51"/>
    </row>
    <row r="43" customFormat="false" ht="17.25" hidden="false" customHeight="true" outlineLevel="0" collapsed="false">
      <c r="B43" s="52" t="s">
        <v>2808</v>
      </c>
      <c r="C43" s="52"/>
      <c r="D43" s="52"/>
      <c r="E43" s="52"/>
      <c r="F43" s="52"/>
    </row>
    <row r="44" customFormat="false" ht="8.25" hidden="false" customHeight="true" outlineLevel="0" collapsed="false">
      <c r="B44" s="52" t="s">
        <v>2809</v>
      </c>
      <c r="C44" s="52"/>
      <c r="D44" s="52"/>
      <c r="E44" s="52"/>
      <c r="F44" s="52"/>
    </row>
    <row r="45" customFormat="false" ht="8.25" hidden="false" customHeight="true" outlineLevel="0" collapsed="false">
      <c r="B45" s="52"/>
      <c r="C45" s="52"/>
      <c r="D45" s="52"/>
      <c r="E45" s="52"/>
      <c r="F45" s="52"/>
    </row>
    <row r="47" customFormat="false" ht="15.75" hidden="false" customHeight="true" outlineLevel="0" collapsed="false">
      <c r="B47" s="7" t="s">
        <v>1437</v>
      </c>
      <c r="C47" s="8"/>
      <c r="D47" s="8"/>
      <c r="E47" s="8"/>
      <c r="F47" s="8"/>
      <c r="G47" s="8"/>
      <c r="H47" s="8"/>
      <c r="I47" s="8"/>
      <c r="J47" s="8"/>
      <c r="K47" s="8"/>
    </row>
    <row r="48" customFormat="false" ht="16.5" hidden="false" customHeight="true" outlineLevel="0" collapsed="false">
      <c r="B48" s="11" t="s">
        <v>1438</v>
      </c>
      <c r="C48" s="11" t="s">
        <v>1439</v>
      </c>
      <c r="D48" s="11" t="s">
        <v>1440</v>
      </c>
    </row>
    <row r="49" customFormat="false" ht="30.75" hidden="false" customHeight="true" outlineLevel="0" collapsed="false">
      <c r="B49" s="12" t="s">
        <v>1574</v>
      </c>
      <c r="C49" s="12" t="s">
        <v>2810</v>
      </c>
      <c r="D49" s="12" t="s">
        <v>2811</v>
      </c>
    </row>
    <row r="50" customFormat="false" ht="30.75" hidden="false" customHeight="true" outlineLevel="0" collapsed="false">
      <c r="B50" s="12" t="s">
        <v>2214</v>
      </c>
      <c r="C50" s="12" t="s">
        <v>2215</v>
      </c>
      <c r="D50" s="12" t="s">
        <v>2812</v>
      </c>
    </row>
    <row r="51" customFormat="false" ht="30.75" hidden="false" customHeight="true" outlineLevel="0" collapsed="false">
      <c r="B51" s="12" t="s">
        <v>1571</v>
      </c>
      <c r="C51" s="12" t="s">
        <v>1572</v>
      </c>
      <c r="D51" s="12" t="s">
        <v>2813</v>
      </c>
    </row>
    <row r="52" customFormat="false" ht="30.75" hidden="false" customHeight="true" outlineLevel="0" collapsed="false">
      <c r="B52" s="12" t="s">
        <v>2814</v>
      </c>
      <c r="C52" s="12" t="s">
        <v>2815</v>
      </c>
      <c r="D52" s="12" t="s">
        <v>2816</v>
      </c>
    </row>
    <row r="53" customFormat="false" ht="30.75" hidden="false" customHeight="true" outlineLevel="0" collapsed="false">
      <c r="B53" s="12" t="s">
        <v>1839</v>
      </c>
      <c r="C53" s="12" t="s">
        <v>1840</v>
      </c>
      <c r="D53" s="12" t="s">
        <v>2817</v>
      </c>
    </row>
    <row r="54" customFormat="false" ht="28.5" hidden="false" customHeight="true" outlineLevel="0" collapsed="false">
      <c r="B54" s="16" t="s">
        <v>1453</v>
      </c>
      <c r="C54" s="16"/>
      <c r="D54" s="16"/>
      <c r="E54" s="16"/>
      <c r="F54" s="16"/>
    </row>
    <row r="56" customFormat="false" ht="15.75" hidden="false" customHeight="true" outlineLevel="0" collapsed="false">
      <c r="B56" s="7" t="s">
        <v>1454</v>
      </c>
      <c r="C56" s="8"/>
      <c r="D56" s="8"/>
      <c r="E56" s="8"/>
      <c r="F56" s="8"/>
      <c r="G56" s="8"/>
      <c r="H56" s="8"/>
      <c r="I56" s="8"/>
      <c r="J56" s="8"/>
      <c r="K56" s="8"/>
    </row>
    <row r="57" customFormat="false" ht="15.75" hidden="false" customHeight="true" outlineLevel="0" collapsed="false">
      <c r="B57" s="9" t="s">
        <v>2818</v>
      </c>
      <c r="C57" s="9"/>
      <c r="D57" s="9"/>
      <c r="E57" s="9"/>
      <c r="F57" s="9"/>
    </row>
    <row r="58" customFormat="false" ht="15.75" hidden="false" customHeight="true" outlineLevel="0" collapsed="false">
      <c r="B58" s="9"/>
      <c r="C58" s="9"/>
      <c r="D58" s="9"/>
      <c r="E58" s="9"/>
      <c r="F58" s="9"/>
    </row>
    <row r="59" customFormat="false" ht="15" hidden="false" customHeight="true" outlineLevel="0" collapsed="false">
      <c r="B59" s="19" t="s">
        <v>85</v>
      </c>
      <c r="C59" s="41" t="s">
        <v>86</v>
      </c>
    </row>
    <row r="61" customFormat="false" ht="15.75" hidden="false" customHeight="true" outlineLevel="0" collapsed="false">
      <c r="B61" s="7" t="s">
        <v>2819</v>
      </c>
      <c r="C61" s="8"/>
      <c r="D61" s="8"/>
      <c r="E61" s="8"/>
      <c r="F61" s="8"/>
      <c r="G61" s="8"/>
      <c r="H61" s="8"/>
      <c r="I61" s="8"/>
      <c r="J61" s="8"/>
      <c r="K61" s="8"/>
    </row>
    <row r="62" customFormat="false" ht="15" hidden="false" customHeight="true" outlineLevel="0" collapsed="false">
      <c r="B62" s="10" t="s">
        <v>2326</v>
      </c>
      <c r="C62" s="65" t="n">
        <v>18</v>
      </c>
    </row>
    <row r="63" customFormat="false" ht="15" hidden="false" customHeight="true" outlineLevel="0" collapsed="false">
      <c r="B63" s="10" t="s">
        <v>2820</v>
      </c>
      <c r="C63" s="65" t="n">
        <v>1200</v>
      </c>
    </row>
    <row r="64" customFormat="false" ht="15" hidden="false" customHeight="true" outlineLevel="0" collapsed="false">
      <c r="B64" s="10" t="s">
        <v>1584</v>
      </c>
      <c r="C64" s="62" t="n">
        <v>0.95</v>
      </c>
    </row>
    <row r="65" customFormat="false" ht="15" hidden="false" customHeight="true" outlineLevel="0" collapsed="false">
      <c r="B65" s="10" t="s">
        <v>2821</v>
      </c>
      <c r="C65" s="66" t="n">
        <f aca="false">IFERROR(C62/C63,0)</f>
        <v>0.015</v>
      </c>
    </row>
    <row r="66" customFormat="false" ht="15" hidden="false" customHeight="true" outlineLevel="0" collapsed="false">
      <c r="B66" s="10" t="s">
        <v>2822</v>
      </c>
      <c r="C66" s="66" t="n">
        <f aca="false">NORMSINV(1-(1-C64)/2)</f>
        <v>1.95996398454005</v>
      </c>
    </row>
    <row r="67" customFormat="false" ht="15" hidden="false" customHeight="true" outlineLevel="0" collapsed="false">
      <c r="B67" s="10" t="s">
        <v>2823</v>
      </c>
      <c r="C67" s="77" t="n">
        <f aca="false">MAX(0,C65-C66*SQRT(C65*(1-C65)/C63))</f>
        <v>0.00812264863993438</v>
      </c>
    </row>
    <row r="68" customFormat="false" ht="15" hidden="false" customHeight="true" outlineLevel="0" collapsed="false">
      <c r="B68" s="10" t="s">
        <v>2824</v>
      </c>
      <c r="C68" s="77" t="n">
        <f aca="false">MIN(1,C65+C66*SQRT(C65*(1-C65)/C63))</f>
        <v>0.0218773513600656</v>
      </c>
    </row>
    <row r="69" customFormat="false" ht="15" hidden="false" customHeight="true" outlineLevel="0" collapsed="false">
      <c r="B69" s="10" t="s">
        <v>2825</v>
      </c>
      <c r="C69" s="77" t="n">
        <f aca="false">(C65+C66^2/(2*C63))/(1+C66^2/C63)</f>
        <v>0.0165476352923264</v>
      </c>
    </row>
    <row r="70" customFormat="false" ht="15" hidden="false" customHeight="true" outlineLevel="0" collapsed="false">
      <c r="B70" s="10" t="s">
        <v>2826</v>
      </c>
      <c r="C70" s="77" t="n">
        <f aca="false">C66/(1+C66^2/C63)*SQRT(C65*(1-C65)/C63+C66^2/(4*C63^2))</f>
        <v>0.00703862265670371</v>
      </c>
    </row>
    <row r="71" customFormat="false" ht="15" hidden="false" customHeight="true" outlineLevel="0" collapsed="false">
      <c r="B71" s="10" t="s">
        <v>2827</v>
      </c>
      <c r="C71" s="77" t="n">
        <f aca="false">MAX(0,C69-C70)</f>
        <v>0.00950901263562273</v>
      </c>
    </row>
    <row r="72" customFormat="false" ht="15" hidden="false" customHeight="true" outlineLevel="0" collapsed="false">
      <c r="B72" s="10" t="s">
        <v>2828</v>
      </c>
      <c r="C72" s="77" t="n">
        <f aca="false">MIN(1,C69+C70)</f>
        <v>0.0235862579490301</v>
      </c>
    </row>
    <row r="73" customFormat="false" ht="15" hidden="false" customHeight="true" outlineLevel="0" collapsed="false">
      <c r="B73" s="10" t="s">
        <v>2829</v>
      </c>
      <c r="C73" s="70" t="n">
        <f aca="false">C71*1000000</f>
        <v>9509.01263562273</v>
      </c>
    </row>
    <row r="74" customFormat="false" ht="15" hidden="false" customHeight="true" outlineLevel="0" collapsed="false">
      <c r="B74" s="10" t="s">
        <v>2830</v>
      </c>
      <c r="C74" s="70" t="n">
        <f aca="false">C72*1000000</f>
        <v>23586.2579490301</v>
      </c>
    </row>
    <row r="75" customFormat="false" ht="15" hidden="false" customHeight="true" outlineLevel="0" collapsed="false">
      <c r="B75" s="10" t="s">
        <v>2831</v>
      </c>
      <c r="C75" s="41" t="str">
        <f aca="false">IF(AND(C63*C65&gt;=10,C63*(1-C65)&gt;=10),"Yes","No - use Wilson")</f>
        <v>Yes</v>
      </c>
    </row>
    <row r="77" customFormat="false" ht="15.75" hidden="false" customHeight="true" outlineLevel="0" collapsed="false">
      <c r="B77" s="7" t="s">
        <v>2832</v>
      </c>
      <c r="C77" s="8"/>
      <c r="D77" s="8"/>
      <c r="E77" s="8"/>
      <c r="F77" s="8"/>
      <c r="G77" s="8"/>
      <c r="H77" s="8"/>
      <c r="I77" s="8"/>
      <c r="J77" s="8"/>
      <c r="K77" s="8"/>
    </row>
    <row r="78" customFormat="false" ht="15" hidden="false" customHeight="true" outlineLevel="0" collapsed="false">
      <c r="B78" s="10" t="s">
        <v>2833</v>
      </c>
      <c r="C78" s="75" t="n">
        <v>1.1</v>
      </c>
    </row>
    <row r="79" customFormat="false" ht="15" hidden="false" customHeight="true" outlineLevel="0" collapsed="false">
      <c r="B79" s="10" t="s">
        <v>1585</v>
      </c>
      <c r="C79" s="65" t="n">
        <v>25</v>
      </c>
    </row>
    <row r="80" customFormat="false" ht="15" hidden="false" customHeight="true" outlineLevel="0" collapsed="false">
      <c r="B80" s="10" t="s">
        <v>1584</v>
      </c>
      <c r="C80" s="62" t="n">
        <v>0.95</v>
      </c>
    </row>
    <row r="81" customFormat="false" ht="15" hidden="false" customHeight="true" outlineLevel="0" collapsed="false">
      <c r="B81" s="10" t="s">
        <v>2834</v>
      </c>
      <c r="C81" s="44" t="n">
        <f aca="false">C79-1</f>
        <v>24</v>
      </c>
    </row>
    <row r="82" customFormat="false" ht="15" hidden="false" customHeight="true" outlineLevel="0" collapsed="false">
      <c r="B82" s="10" t="s">
        <v>2835</v>
      </c>
      <c r="C82" s="66" t="n">
        <f aca="false">C78*SQRT(C81/CHIINV((1-C80)/2,C81))</f>
        <v>0.858911207242451</v>
      </c>
    </row>
    <row r="83" customFormat="false" ht="15" hidden="false" customHeight="true" outlineLevel="0" collapsed="false">
      <c r="B83" s="10" t="s">
        <v>2836</v>
      </c>
      <c r="C83" s="66" t="n">
        <f aca="false">C78*SQRT(C81/CHIINV(1-(1-C80)/2,C81))</f>
        <v>1.53026738425757</v>
      </c>
    </row>
    <row r="84" customFormat="false" ht="15" hidden="false" customHeight="true" outlineLevel="0" collapsed="false">
      <c r="B84" s="10" t="s">
        <v>2837</v>
      </c>
      <c r="C84" s="76" t="n">
        <f aca="false">IFERROR(C82/C78-1,0)</f>
        <v>-0.21917162977959</v>
      </c>
    </row>
    <row r="85" customFormat="false" ht="15" hidden="false" customHeight="true" outlineLevel="0" collapsed="false">
      <c r="B85" s="10" t="s">
        <v>2838</v>
      </c>
      <c r="C85" s="76" t="n">
        <f aca="false">IFERROR(C83/C78-1,0)</f>
        <v>0.391152167506879</v>
      </c>
    </row>
    <row r="86" customFormat="false" ht="15" hidden="false" customHeight="true" outlineLevel="0" collapsed="false">
      <c r="B86" s="10" t="s">
        <v>2839</v>
      </c>
      <c r="C86" s="76" t="n">
        <f aca="false">IFERROR((C83-C82)/C78,0)</f>
        <v>0.61032379728647</v>
      </c>
    </row>
    <row r="88" customFormat="false" ht="15.75" hidden="false" customHeight="true" outlineLevel="0" collapsed="false">
      <c r="B88" s="7" t="s">
        <v>1493</v>
      </c>
      <c r="C88" s="8"/>
      <c r="D88" s="8"/>
      <c r="E88" s="8"/>
      <c r="F88" s="8"/>
      <c r="G88" s="8"/>
      <c r="H88" s="8"/>
      <c r="I88" s="8"/>
      <c r="J88" s="8"/>
      <c r="K88" s="8"/>
    </row>
    <row r="89" customFormat="false" ht="33.75" hidden="false" customHeight="true" outlineLevel="0" collapsed="false">
      <c r="B89" s="53" t="s">
        <v>1494</v>
      </c>
      <c r="C89" s="54" t="str">
        <f aca="false">IF(C86&gt;0.5,"SIGMA IS POORLY ESTIMATED - the interval spans more than half of s. Do not quote capability indices to three decimals from this sample; collect more data.",IF(C75="No - use Wilson","USE THE WILSON INTERVAL - too few defectives for the Wald approximation to be safe.","BOTH ESTIMATES ARE REASONABLY PRECISE - report the intervals alongside the point estimates."))</f>
        <v>SIGMA IS POORLY ESTIMATED - the interval spans more than half of s. Do not quote capability indices to three decimals from this sample; collect more data.</v>
      </c>
      <c r="D89" s="54"/>
      <c r="E89" s="54"/>
    </row>
    <row r="91" customFormat="false" ht="16.5" hidden="false" customHeight="true" outlineLevel="0" collapsed="false">
      <c r="B91" s="11" t="s">
        <v>1495</v>
      </c>
      <c r="C91" s="11" t="s">
        <v>1496</v>
      </c>
      <c r="D91" s="11" t="s">
        <v>1497</v>
      </c>
    </row>
    <row r="92" customFormat="false" ht="30.75" hidden="false" customHeight="true" outlineLevel="0" collapsed="false">
      <c r="B92" s="12" t="s">
        <v>2840</v>
      </c>
      <c r="C92" s="12" t="s">
        <v>2841</v>
      </c>
      <c r="D92" s="12" t="s">
        <v>2842</v>
      </c>
    </row>
    <row r="93" customFormat="false" ht="30.75" hidden="false" customHeight="true" outlineLevel="0" collapsed="false">
      <c r="B93" s="12" t="s">
        <v>2843</v>
      </c>
      <c r="C93" s="12" t="s">
        <v>2844</v>
      </c>
      <c r="D93" s="12" t="s">
        <v>2845</v>
      </c>
    </row>
    <row r="94" customFormat="false" ht="30.75" hidden="false" customHeight="true" outlineLevel="0" collapsed="false">
      <c r="B94" s="12" t="s">
        <v>2846</v>
      </c>
      <c r="C94" s="12" t="s">
        <v>2847</v>
      </c>
      <c r="D94" s="12" t="s">
        <v>2848</v>
      </c>
    </row>
    <row r="95" customFormat="false" ht="30.75" hidden="false" customHeight="true" outlineLevel="0" collapsed="false">
      <c r="B95" s="12" t="s">
        <v>2849</v>
      </c>
      <c r="C95" s="12" t="s">
        <v>2850</v>
      </c>
      <c r="D95" s="12" t="s">
        <v>2851</v>
      </c>
    </row>
    <row r="97" customFormat="false" ht="15" hidden="false" customHeight="true" outlineLevel="0" collapsed="false">
      <c r="B97" s="55" t="s">
        <v>1507</v>
      </c>
    </row>
    <row r="98" customFormat="false" ht="31.5" hidden="false" customHeight="true" outlineLevel="0" collapsed="false">
      <c r="B98" s="9" t="s">
        <v>2852</v>
      </c>
      <c r="C98" s="9"/>
      <c r="D98" s="9"/>
      <c r="E98" s="9"/>
      <c r="F98" s="9"/>
    </row>
    <row r="99" customFormat="false" ht="17.25" hidden="false" customHeight="true" outlineLevel="0" collapsed="false">
      <c r="B99" s="9" t="s">
        <v>2853</v>
      </c>
      <c r="C99" s="9"/>
      <c r="D99" s="9"/>
      <c r="E99" s="9"/>
      <c r="F99" s="9"/>
    </row>
    <row r="100" customFormat="false" ht="17.25" hidden="false" customHeight="true" outlineLevel="0" collapsed="false">
      <c r="B100" s="9" t="s">
        <v>2854</v>
      </c>
      <c r="C100" s="9"/>
      <c r="D100" s="9"/>
      <c r="E100" s="9"/>
      <c r="F100" s="9"/>
    </row>
    <row r="101" customFormat="false" ht="17.25" hidden="false" customHeight="true" outlineLevel="0" collapsed="false">
      <c r="B101" s="9" t="s">
        <v>2855</v>
      </c>
      <c r="C101" s="9"/>
      <c r="D101" s="9"/>
      <c r="E101" s="9"/>
      <c r="F101" s="9"/>
    </row>
    <row r="102" customFormat="false" ht="17.25" hidden="false" customHeight="true" outlineLevel="0" collapsed="false">
      <c r="B102" s="9" t="s">
        <v>2856</v>
      </c>
      <c r="C102" s="9"/>
      <c r="D102" s="9"/>
      <c r="E102" s="9"/>
      <c r="F102" s="9"/>
    </row>
    <row r="104" customFormat="false" ht="15.75" hidden="false" customHeight="true" outlineLevel="0" collapsed="false">
      <c r="B104" s="7" t="s">
        <v>1513</v>
      </c>
      <c r="C104" s="8"/>
      <c r="D104" s="8"/>
      <c r="E104" s="8"/>
      <c r="F104" s="8"/>
      <c r="G104" s="8"/>
      <c r="H104" s="8"/>
      <c r="I104" s="8"/>
      <c r="J104" s="8"/>
      <c r="K104" s="8"/>
    </row>
    <row r="105" customFormat="false" ht="17.25" hidden="false" customHeight="true" outlineLevel="0" collapsed="false">
      <c r="B105" s="9" t="s">
        <v>1514</v>
      </c>
      <c r="C105" s="9"/>
      <c r="D105" s="9"/>
      <c r="E105" s="9"/>
      <c r="N105" s="56" t="s">
        <v>1515</v>
      </c>
    </row>
    <row r="106" customFormat="false" ht="17.25" hidden="false" customHeight="true" outlineLevel="0" collapsed="false">
      <c r="B106" s="9" t="s">
        <v>2857</v>
      </c>
      <c r="C106" s="9"/>
      <c r="D106" s="9"/>
      <c r="E106" s="9"/>
      <c r="N106" s="57" t="s">
        <v>2858</v>
      </c>
    </row>
    <row r="107" customFormat="false" ht="17.25" hidden="false" customHeight="true" outlineLevel="0" collapsed="false">
      <c r="B107" s="9" t="s">
        <v>2859</v>
      </c>
      <c r="C107" s="9"/>
      <c r="D107" s="9"/>
      <c r="E107" s="9"/>
      <c r="N107" s="57" t="s">
        <v>2860</v>
      </c>
    </row>
    <row r="108" customFormat="false" ht="17.25" hidden="false" customHeight="true" outlineLevel="0" collapsed="false">
      <c r="B108" s="9" t="s">
        <v>2861</v>
      </c>
      <c r="C108" s="9"/>
      <c r="D108" s="9"/>
      <c r="E108" s="9"/>
      <c r="N108" s="57" t="s">
        <v>2862</v>
      </c>
    </row>
    <row r="110" customFormat="false" ht="15.75" hidden="false" customHeight="true" outlineLevel="0" collapsed="false">
      <c r="B110" s="7" t="s">
        <v>1522</v>
      </c>
      <c r="C110" s="8"/>
      <c r="D110" s="8"/>
      <c r="E110" s="8"/>
      <c r="F110" s="8"/>
      <c r="G110" s="8"/>
      <c r="H110" s="8"/>
      <c r="I110" s="8"/>
      <c r="J110" s="8"/>
      <c r="K110" s="8"/>
    </row>
    <row r="111" customFormat="false" ht="16.5" hidden="false" customHeight="true" outlineLevel="0" collapsed="false">
      <c r="B111" s="11" t="s">
        <v>1523</v>
      </c>
      <c r="C111" s="11" t="s">
        <v>1524</v>
      </c>
      <c r="D111" s="11" t="s">
        <v>1615</v>
      </c>
    </row>
    <row r="112" customFormat="false" ht="30.75" hidden="false" customHeight="true" outlineLevel="0" collapsed="false">
      <c r="B112" s="58" t="s">
        <v>1051</v>
      </c>
      <c r="C112" s="58" t="s">
        <v>2199</v>
      </c>
      <c r="D112" s="58" t="s">
        <v>1074</v>
      </c>
    </row>
  </sheetData>
  <mergeCells count="38">
    <mergeCell ref="B2:J2"/>
    <mergeCell ref="D3:E3"/>
    <mergeCell ref="C6:D6"/>
    <mergeCell ref="C7:D7"/>
    <mergeCell ref="C8:D8"/>
    <mergeCell ref="B11:F12"/>
    <mergeCell ref="B13:F15"/>
    <mergeCell ref="B16:F18"/>
    <mergeCell ref="B19:F22"/>
    <mergeCell ref="B25:D25"/>
    <mergeCell ref="E25:F25"/>
    <mergeCell ref="B26:D26"/>
    <mergeCell ref="E26:F26"/>
    <mergeCell ref="B27:D27"/>
    <mergeCell ref="E27:F27"/>
    <mergeCell ref="B28:D28"/>
    <mergeCell ref="E28:F28"/>
    <mergeCell ref="B29:F29"/>
    <mergeCell ref="B37:F37"/>
    <mergeCell ref="B38:F38"/>
    <mergeCell ref="B39:F39"/>
    <mergeCell ref="B40:F40"/>
    <mergeCell ref="B41:F41"/>
    <mergeCell ref="B42:F42"/>
    <mergeCell ref="B43:F43"/>
    <mergeCell ref="B44:F45"/>
    <mergeCell ref="B54:F54"/>
    <mergeCell ref="B57:F58"/>
    <mergeCell ref="C89:E89"/>
    <mergeCell ref="B98:F98"/>
    <mergeCell ref="B99:F99"/>
    <mergeCell ref="B100:F100"/>
    <mergeCell ref="B101:F101"/>
    <mergeCell ref="B102:F102"/>
    <mergeCell ref="B105:E105"/>
    <mergeCell ref="B106:E106"/>
    <mergeCell ref="B107:E107"/>
    <mergeCell ref="B108:E108"/>
  </mergeCells>
  <hyperlinks>
    <hyperlink ref="B3" location="'N-03 Index DMAIC'!A1" display="← Back to Index"/>
    <hyperlink ref="E32" location="'E-52 p and np Charts'!A1" display="E-52  p and np Charts"/>
    <hyperlink ref="E33" location="'E-32 Normality Testing'!A1" display="E-32  Normality Testing and Probability Plots"/>
    <hyperlink ref="B112" location="'E-15 CI Mean'!A1" display="E-15  Confidence Intervals for the Mean"/>
    <hyperlink ref="C112" location="'E-17 Hypothesis Framework'!A1" display="E-17  The Hypothesis Testing Framework"/>
    <hyperlink ref="D112" location="'E-29 Proportion Tests'!A1" display="E-29  One and Two Proportion Tes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2863</v>
      </c>
      <c r="C2" s="3"/>
      <c r="D2" s="3"/>
      <c r="E2" s="3"/>
      <c r="F2" s="3"/>
      <c r="G2" s="3"/>
      <c r="H2" s="3"/>
      <c r="I2" s="3"/>
      <c r="J2" s="3"/>
      <c r="K2" s="80" t="s">
        <v>2864</v>
      </c>
    </row>
    <row r="3" customFormat="false" ht="28.5" hidden="false" customHeight="true" outlineLevel="0" collapsed="false">
      <c r="B3" s="5" t="s">
        <v>3</v>
      </c>
      <c r="D3" s="6" t="s">
        <v>2865</v>
      </c>
      <c r="E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2866</v>
      </c>
      <c r="D6" s="9"/>
    </row>
    <row r="7" customFormat="false" ht="17.25" hidden="false" customHeight="true" outlineLevel="0" collapsed="false">
      <c r="B7" s="47" t="s">
        <v>1394</v>
      </c>
      <c r="C7" s="9" t="s">
        <v>2867</v>
      </c>
      <c r="D7" s="9"/>
    </row>
    <row r="8" customFormat="false" ht="31.5" hidden="false" customHeight="true" outlineLevel="0" collapsed="false">
      <c r="B8" s="47" t="s">
        <v>1396</v>
      </c>
      <c r="C8" s="9" t="s">
        <v>2868</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5.75" hidden="false" customHeight="true" outlineLevel="0" collapsed="false">
      <c r="B11" s="9" t="s">
        <v>2869</v>
      </c>
      <c r="C11" s="9"/>
      <c r="D11" s="9"/>
      <c r="E11" s="9"/>
      <c r="F11" s="9"/>
    </row>
    <row r="12" customFormat="false" ht="15.75" hidden="false" customHeight="true" outlineLevel="0" collapsed="false">
      <c r="B12" s="9"/>
      <c r="C12" s="9"/>
      <c r="D12" s="9"/>
      <c r="E12" s="9"/>
      <c r="F12" s="9"/>
    </row>
    <row r="13" customFormat="false" ht="15.75" hidden="false" customHeight="true" outlineLevel="0" collapsed="false">
      <c r="B13" s="9" t="s">
        <v>2870</v>
      </c>
      <c r="C13" s="9"/>
      <c r="D13" s="9"/>
      <c r="E13" s="9"/>
      <c r="F13" s="9"/>
    </row>
    <row r="14" customFormat="false" ht="15.75" hidden="false" customHeight="true" outlineLevel="0" collapsed="false">
      <c r="B14" s="9"/>
      <c r="C14" s="9"/>
      <c r="D14" s="9"/>
      <c r="E14" s="9"/>
      <c r="F14" s="9"/>
    </row>
    <row r="15" customFormat="false" ht="17.25" hidden="false" customHeight="true" outlineLevel="0" collapsed="false">
      <c r="B15" s="9" t="s">
        <v>2871</v>
      </c>
      <c r="C15" s="9"/>
      <c r="D15" s="9"/>
      <c r="E15" s="9"/>
      <c r="F15" s="9"/>
    </row>
    <row r="16" customFormat="false" ht="15.75" hidden="false" customHeight="true" outlineLevel="0" collapsed="false">
      <c r="B16" s="9" t="s">
        <v>2872</v>
      </c>
      <c r="C16" s="9"/>
      <c r="D16" s="9"/>
      <c r="E16" s="9"/>
      <c r="F16" s="9"/>
    </row>
    <row r="17" customFormat="false" ht="15.75" hidden="false" customHeight="true" outlineLevel="0" collapsed="false">
      <c r="B17" s="9"/>
      <c r="C17" s="9"/>
      <c r="D17" s="9"/>
      <c r="E17" s="9"/>
      <c r="F17" s="9"/>
    </row>
    <row r="18" customFormat="false" ht="17.25" hidden="false" customHeight="true" outlineLevel="0" collapsed="false">
      <c r="B18" s="9" t="s">
        <v>2873</v>
      </c>
      <c r="C18" s="9"/>
      <c r="D18" s="9"/>
      <c r="E18" s="9"/>
      <c r="F18" s="9"/>
    </row>
    <row r="19" customFormat="false" ht="15" hidden="false" customHeight="true" outlineLevel="0" collapsed="false">
      <c r="B19" s="9" t="s">
        <v>2874</v>
      </c>
      <c r="C19" s="9"/>
      <c r="D19" s="9"/>
      <c r="E19" s="9"/>
      <c r="F19" s="9"/>
    </row>
    <row r="20" customFormat="false" ht="15" hidden="false" customHeight="true" outlineLevel="0" collapsed="false">
      <c r="B20" s="9"/>
      <c r="C20" s="9"/>
      <c r="D20" s="9"/>
      <c r="E20" s="9"/>
      <c r="F20" s="9"/>
    </row>
    <row r="21" customFormat="false" ht="15" hidden="false" customHeight="true" outlineLevel="0" collapsed="false">
      <c r="B21" s="9"/>
      <c r="C21" s="9"/>
      <c r="D21" s="9"/>
      <c r="E21" s="9"/>
      <c r="F21" s="9"/>
    </row>
    <row r="23" customFormat="false" ht="15.75" hidden="false" customHeight="true" outlineLevel="0" collapsed="false">
      <c r="B23" s="7" t="s">
        <v>1406</v>
      </c>
      <c r="C23" s="8"/>
      <c r="D23" s="8"/>
      <c r="E23" s="8"/>
      <c r="F23" s="8"/>
      <c r="G23" s="8"/>
      <c r="H23" s="8"/>
      <c r="I23" s="8"/>
      <c r="J23" s="8"/>
      <c r="K23" s="8"/>
    </row>
    <row r="24" customFormat="false" ht="17.25" hidden="false" customHeight="true" outlineLevel="0" collapsed="false">
      <c r="B24" s="48" t="s">
        <v>1407</v>
      </c>
      <c r="C24" s="48"/>
      <c r="D24" s="48"/>
      <c r="E24" s="49" t="s">
        <v>1408</v>
      </c>
      <c r="F24" s="49"/>
    </row>
    <row r="25" customFormat="false" ht="31.5" hidden="false" customHeight="true" outlineLevel="0" collapsed="false">
      <c r="B25" s="23" t="s">
        <v>2875</v>
      </c>
      <c r="C25" s="23"/>
      <c r="D25" s="23"/>
      <c r="E25" s="23" t="s">
        <v>2876</v>
      </c>
      <c r="F25" s="23"/>
    </row>
    <row r="26" customFormat="false" ht="31.5" hidden="false" customHeight="true" outlineLevel="0" collapsed="false">
      <c r="B26" s="23" t="s">
        <v>2877</v>
      </c>
      <c r="C26" s="23"/>
      <c r="D26" s="23"/>
      <c r="E26" s="23" t="s">
        <v>2878</v>
      </c>
      <c r="F26" s="23"/>
    </row>
    <row r="27" customFormat="false" ht="31.5" hidden="false" customHeight="true" outlineLevel="0" collapsed="false">
      <c r="B27" s="23" t="s">
        <v>2879</v>
      </c>
      <c r="C27" s="23"/>
      <c r="D27" s="23"/>
      <c r="E27" s="23" t="s">
        <v>2880</v>
      </c>
      <c r="F27" s="23"/>
    </row>
    <row r="28" customFormat="false" ht="17.25" hidden="false" customHeight="true" outlineLevel="0" collapsed="false">
      <c r="B28" s="23" t="s">
        <v>2881</v>
      </c>
      <c r="C28" s="23"/>
      <c r="D28" s="23"/>
      <c r="E28" s="23"/>
      <c r="F28" s="23"/>
    </row>
    <row r="30" customFormat="false" ht="16.5" hidden="false" customHeight="true" outlineLevel="0" collapsed="false">
      <c r="B30" s="11" t="s">
        <v>1416</v>
      </c>
      <c r="C30" s="11" t="s">
        <v>1417</v>
      </c>
      <c r="D30" s="11" t="s">
        <v>1418</v>
      </c>
      <c r="E30" s="11" t="s">
        <v>1419</v>
      </c>
    </row>
    <row r="31" customFormat="false" ht="30.75" hidden="false" customHeight="true" outlineLevel="0" collapsed="false">
      <c r="B31" s="12" t="s">
        <v>2882</v>
      </c>
      <c r="C31" s="12" t="s">
        <v>2883</v>
      </c>
      <c r="D31" s="12" t="s">
        <v>2884</v>
      </c>
      <c r="E31" s="50" t="s">
        <v>1159</v>
      </c>
    </row>
    <row r="32" customFormat="false" ht="44.25" hidden="false" customHeight="true" outlineLevel="0" collapsed="false">
      <c r="B32" s="12" t="s">
        <v>2885</v>
      </c>
      <c r="C32" s="12" t="s">
        <v>2886</v>
      </c>
      <c r="D32" s="12" t="s">
        <v>2887</v>
      </c>
      <c r="E32" s="50" t="s">
        <v>2888</v>
      </c>
    </row>
    <row r="33" customFormat="false" ht="30.75" hidden="false" customHeight="true" outlineLevel="0" collapsed="false">
      <c r="B33" s="12" t="s">
        <v>2889</v>
      </c>
      <c r="C33" s="12" t="s">
        <v>2890</v>
      </c>
      <c r="D33" s="12" t="s">
        <v>2891</v>
      </c>
      <c r="E33" s="50" t="s">
        <v>2892</v>
      </c>
    </row>
    <row r="35" customFormat="false" ht="15.75" hidden="false" customHeight="true" outlineLevel="0" collapsed="false">
      <c r="B35" s="7" t="s">
        <v>1429</v>
      </c>
      <c r="C35" s="8"/>
      <c r="D35" s="8"/>
      <c r="E35" s="8"/>
      <c r="F35" s="8"/>
      <c r="G35" s="8"/>
      <c r="H35" s="8"/>
      <c r="I35" s="8"/>
      <c r="J35" s="8"/>
      <c r="K35" s="8"/>
    </row>
    <row r="36" customFormat="false" ht="15" hidden="false" customHeight="true" outlineLevel="0" collapsed="false">
      <c r="B36" s="47" t="s">
        <v>2893</v>
      </c>
    </row>
    <row r="37" customFormat="false" ht="17.25" hidden="false" customHeight="true" outlineLevel="0" collapsed="false">
      <c r="B37" s="52" t="s">
        <v>2894</v>
      </c>
      <c r="C37" s="52"/>
      <c r="D37" s="52"/>
      <c r="E37" s="52"/>
      <c r="F37" s="52"/>
    </row>
    <row r="38" customFormat="false" ht="17.25" hidden="false" customHeight="true" outlineLevel="0" collapsed="false">
      <c r="B38" s="52" t="s">
        <v>2895</v>
      </c>
      <c r="C38" s="52"/>
      <c r="D38" s="52"/>
      <c r="E38" s="52"/>
      <c r="F38" s="52"/>
    </row>
    <row r="39" customFormat="false" ht="15" hidden="false" customHeight="true" outlineLevel="0" collapsed="false">
      <c r="B39" s="47" t="s">
        <v>2896</v>
      </c>
    </row>
    <row r="40" customFormat="false" ht="10.5" hidden="false" customHeight="true" outlineLevel="0" collapsed="false">
      <c r="B40" s="52" t="s">
        <v>2897</v>
      </c>
      <c r="C40" s="52"/>
      <c r="D40" s="52"/>
      <c r="E40" s="52"/>
      <c r="F40" s="52"/>
    </row>
    <row r="41" customFormat="false" ht="10.5" hidden="false" customHeight="true" outlineLevel="0" collapsed="false">
      <c r="B41" s="52"/>
      <c r="C41" s="52"/>
      <c r="D41" s="52"/>
      <c r="E41" s="52"/>
      <c r="F41" s="52"/>
    </row>
    <row r="42" customFormat="false" ht="10.5" hidden="false" customHeight="true" outlineLevel="0" collapsed="false">
      <c r="B42" s="52"/>
      <c r="C42" s="52"/>
      <c r="D42" s="52"/>
      <c r="E42" s="52"/>
      <c r="F42" s="52"/>
    </row>
    <row r="43" customFormat="false" ht="15" hidden="false" customHeight="true" outlineLevel="0" collapsed="false">
      <c r="B43" s="47" t="s">
        <v>2898</v>
      </c>
    </row>
    <row r="44" customFormat="false" ht="17.25" hidden="false" customHeight="true" outlineLevel="0" collapsed="false">
      <c r="B44" s="52" t="s">
        <v>2899</v>
      </c>
      <c r="C44" s="52"/>
      <c r="D44" s="52"/>
      <c r="E44" s="52"/>
      <c r="F44" s="52"/>
    </row>
    <row r="46" customFormat="false" ht="15.75" hidden="false" customHeight="true" outlineLevel="0" collapsed="false">
      <c r="B46" s="7" t="s">
        <v>1437</v>
      </c>
      <c r="C46" s="8"/>
      <c r="D46" s="8"/>
      <c r="E46" s="8"/>
      <c r="F46" s="8"/>
      <c r="G46" s="8"/>
      <c r="H46" s="8"/>
      <c r="I46" s="8"/>
      <c r="J46" s="8"/>
      <c r="K46" s="8"/>
    </row>
    <row r="47" customFormat="false" ht="16.5" hidden="false" customHeight="true" outlineLevel="0" collapsed="false">
      <c r="B47" s="11" t="s">
        <v>1438</v>
      </c>
      <c r="C47" s="11" t="s">
        <v>1439</v>
      </c>
      <c r="D47" s="11" t="s">
        <v>1440</v>
      </c>
    </row>
    <row r="48" customFormat="false" ht="30.75" hidden="false" customHeight="true" outlineLevel="0" collapsed="false">
      <c r="B48" s="12" t="s">
        <v>2900</v>
      </c>
      <c r="C48" s="12" t="s">
        <v>2901</v>
      </c>
      <c r="D48" s="12" t="s">
        <v>2902</v>
      </c>
    </row>
    <row r="49" customFormat="false" ht="30.75" hidden="false" customHeight="true" outlineLevel="0" collapsed="false">
      <c r="B49" s="12" t="s">
        <v>1671</v>
      </c>
      <c r="C49" s="12" t="s">
        <v>2903</v>
      </c>
      <c r="D49" s="12" t="s">
        <v>2904</v>
      </c>
    </row>
    <row r="50" customFormat="false" ht="30.75" hidden="false" customHeight="true" outlineLevel="0" collapsed="false">
      <c r="B50" s="12" t="s">
        <v>2127</v>
      </c>
      <c r="C50" s="12" t="s">
        <v>2905</v>
      </c>
      <c r="D50" s="12" t="s">
        <v>2906</v>
      </c>
    </row>
    <row r="51" customFormat="false" ht="30.75" hidden="false" customHeight="true" outlineLevel="0" collapsed="false">
      <c r="B51" s="12" t="s">
        <v>2591</v>
      </c>
      <c r="C51" s="12" t="s">
        <v>2907</v>
      </c>
      <c r="D51" s="12" t="s">
        <v>2908</v>
      </c>
    </row>
    <row r="52" customFormat="false" ht="28.5" hidden="false" customHeight="true" outlineLevel="0" collapsed="false">
      <c r="B52" s="16" t="s">
        <v>1453</v>
      </c>
      <c r="C52" s="16"/>
      <c r="D52" s="16"/>
      <c r="E52" s="16"/>
      <c r="F52" s="16"/>
    </row>
    <row r="54" customFormat="false" ht="15.75" hidden="false" customHeight="true" outlineLevel="0" collapsed="false">
      <c r="B54" s="7" t="s">
        <v>1454</v>
      </c>
      <c r="C54" s="8"/>
      <c r="D54" s="8"/>
      <c r="E54" s="8"/>
      <c r="F54" s="8"/>
      <c r="G54" s="8"/>
      <c r="H54" s="8"/>
      <c r="I54" s="8"/>
      <c r="J54" s="8"/>
      <c r="K54" s="8"/>
    </row>
    <row r="55" customFormat="false" ht="15.75" hidden="false" customHeight="true" outlineLevel="0" collapsed="false">
      <c r="B55" s="9" t="s">
        <v>2909</v>
      </c>
      <c r="C55" s="9"/>
      <c r="D55" s="9"/>
      <c r="E55" s="9"/>
      <c r="F55" s="9"/>
    </row>
    <row r="56" customFormat="false" ht="15.75" hidden="false" customHeight="true" outlineLevel="0" collapsed="false">
      <c r="B56" s="9"/>
      <c r="C56" s="9"/>
      <c r="D56" s="9"/>
      <c r="E56" s="9"/>
      <c r="F56" s="9"/>
    </row>
    <row r="57" customFormat="false" ht="15" hidden="false" customHeight="true" outlineLevel="0" collapsed="false">
      <c r="B57" s="19" t="s">
        <v>85</v>
      </c>
      <c r="C57" s="41" t="s">
        <v>86</v>
      </c>
    </row>
    <row r="59" customFormat="false" ht="15" hidden="false" customHeight="true" outlineLevel="0" collapsed="false">
      <c r="B59" s="10" t="s">
        <v>2910</v>
      </c>
      <c r="C59" s="19" t="s">
        <v>2911</v>
      </c>
    </row>
    <row r="60" customFormat="false" ht="15" hidden="false" customHeight="true" outlineLevel="0" collapsed="false">
      <c r="B60" s="10" t="s">
        <v>2912</v>
      </c>
      <c r="C60" s="19" t="s">
        <v>2913</v>
      </c>
    </row>
    <row r="61" customFormat="false" ht="15" hidden="false" customHeight="true" outlineLevel="0" collapsed="false">
      <c r="B61" s="10" t="s">
        <v>2914</v>
      </c>
      <c r="C61" s="75" t="n">
        <v>500</v>
      </c>
    </row>
    <row r="62" customFormat="false" ht="15" hidden="false" customHeight="true" outlineLevel="0" collapsed="false">
      <c r="B62" s="10" t="s">
        <v>2228</v>
      </c>
      <c r="C62" s="75" t="n">
        <v>0.05</v>
      </c>
    </row>
    <row r="63" customFormat="false" ht="15" hidden="false" customHeight="true" outlineLevel="0" collapsed="false">
      <c r="B63" s="10" t="s">
        <v>2915</v>
      </c>
      <c r="C63" s="19" t="s">
        <v>2916</v>
      </c>
    </row>
    <row r="65" customFormat="false" ht="31.5" hidden="false" customHeight="true" outlineLevel="0" collapsed="false">
      <c r="B65" s="10" t="s">
        <v>2917</v>
      </c>
      <c r="C65" s="81" t="str">
        <f aca="false">"H0:  the "&amp;$C$59&amp;" of "&amp;$C$63&amp;" IS EQUAL TO "&amp;TEXT(C61,"0.000")</f>
        <v>H0:  the mean of fill volume of the 500 ml SKU (ml) IS EQUAL TO 500.000</v>
      </c>
      <c r="D65" s="81"/>
    </row>
    <row r="66" customFormat="false" ht="31.5" hidden="false" customHeight="true" outlineLevel="0" collapsed="false">
      <c r="B66" s="10" t="s">
        <v>2918</v>
      </c>
      <c r="C66" s="81" t="str">
        <f aca="false">"H1:  the "&amp;$C$59&amp;" of "&amp;$C$63&amp;" IS "&amp;UPPER($C$60)&amp;" "&amp;TEXT(C61,"0.000")</f>
        <v>H1:  the mean of fill volume of the 500 ml SKU (ml) IS GREATER THAN 500.000</v>
      </c>
      <c r="D66" s="81"/>
    </row>
    <row r="67" customFormat="false" ht="17.25" hidden="false" customHeight="true" outlineLevel="0" collapsed="false">
      <c r="B67" s="10" t="s">
        <v>2919</v>
      </c>
      <c r="C67" s="74" t="n">
        <f aca="false">IF($C$60="different from",2,1)</f>
        <v>1</v>
      </c>
      <c r="D67" s="74"/>
    </row>
    <row r="68" customFormat="false" ht="17.25" hidden="false" customHeight="true" outlineLevel="0" collapsed="false">
      <c r="B68" s="10" t="s">
        <v>2920</v>
      </c>
      <c r="C68" s="81" t="str">
        <f aca="false">"Reject H0 when p &lt; "&amp;TEXT(C62,"0.000")&amp;"   ("&amp;TEXT(C67,"0")&amp;"-tailed test)"</f>
        <v>Reject H0 when p &lt; 0.050   (1-tailed test)</v>
      </c>
      <c r="D68" s="81"/>
    </row>
    <row r="70" customFormat="false" ht="16.5" hidden="false" customHeight="true" outlineLevel="0" collapsed="false">
      <c r="B70" s="11" t="s">
        <v>2921</v>
      </c>
      <c r="C70" s="11" t="s">
        <v>2922</v>
      </c>
      <c r="D70" s="11" t="s">
        <v>2923</v>
      </c>
      <c r="E70" s="11" t="s">
        <v>2924</v>
      </c>
    </row>
    <row r="71" customFormat="false" ht="16.5" hidden="false" customHeight="true" outlineLevel="0" collapsed="false">
      <c r="B71" s="12" t="s">
        <v>2911</v>
      </c>
      <c r="C71" s="12" t="s">
        <v>2925</v>
      </c>
      <c r="D71" s="12" t="s">
        <v>2926</v>
      </c>
      <c r="E71" s="12" t="s">
        <v>2927</v>
      </c>
    </row>
    <row r="72" customFormat="false" ht="16.5" hidden="false" customHeight="true" outlineLevel="0" collapsed="false">
      <c r="B72" s="12" t="s">
        <v>2928</v>
      </c>
      <c r="C72" s="12" t="s">
        <v>2929</v>
      </c>
      <c r="D72" s="12" t="s">
        <v>2930</v>
      </c>
      <c r="E72" s="12" t="s">
        <v>2931</v>
      </c>
    </row>
    <row r="73" customFormat="false" ht="16.5" hidden="false" customHeight="true" outlineLevel="0" collapsed="false">
      <c r="B73" s="12" t="s">
        <v>2932</v>
      </c>
      <c r="C73" s="12" t="s">
        <v>2933</v>
      </c>
      <c r="D73" s="12" t="s">
        <v>2934</v>
      </c>
      <c r="E73" s="12" t="s">
        <v>2935</v>
      </c>
    </row>
    <row r="75" customFormat="false" ht="15" hidden="false" customHeight="true" outlineLevel="0" collapsed="false">
      <c r="B75" s="10" t="s">
        <v>2936</v>
      </c>
      <c r="C75" s="41" t="str">
        <f aca="false">INDEX($C$71:$C$73,MATCH($C$59,$B$71:$B$73,0))</f>
        <v>E-23 One-Sample t-Test</v>
      </c>
    </row>
    <row r="76" customFormat="false" ht="15" hidden="false" customHeight="true" outlineLevel="0" collapsed="false">
      <c r="B76" s="10" t="s">
        <v>2937</v>
      </c>
      <c r="C76" s="41" t="str">
        <f aca="false">INDEX($D$71:$D$73,MATCH($C$59,$B$71:$B$73,0))</f>
        <v>E-24 Two-Sample t-Test</v>
      </c>
    </row>
    <row r="78" customFormat="false" ht="15.75" hidden="false" customHeight="true" outlineLevel="0" collapsed="false">
      <c r="B78" s="7" t="s">
        <v>1493</v>
      </c>
      <c r="C78" s="8"/>
      <c r="D78" s="8"/>
      <c r="E78" s="8"/>
      <c r="F78" s="8"/>
      <c r="G78" s="8"/>
      <c r="H78" s="8"/>
      <c r="I78" s="8"/>
      <c r="J78" s="8"/>
      <c r="K78" s="8"/>
    </row>
    <row r="79" customFormat="false" ht="49.5" hidden="false" customHeight="true" outlineLevel="0" collapsed="false">
      <c r="B79" s="53" t="s">
        <v>1494</v>
      </c>
      <c r="C79" s="54" t="str">
        <f aca="false">C65&amp;"     |     "&amp;C66&amp;"     |     "&amp;C68</f>
        <v>H0:  the mean of fill volume of the 500 ml SKU (ml) IS EQUAL TO 500.000     |     H1:  the mean of fill volume of the 500 ml SKU (ml) IS GREATER THAN 500.000     |     Reject H0 when p &lt; 0.050   (1-tailed test)</v>
      </c>
      <c r="D79" s="54"/>
      <c r="E79" s="54"/>
      <c r="F79" s="54"/>
    </row>
    <row r="81" customFormat="false" ht="16.5" hidden="false" customHeight="true" outlineLevel="0" collapsed="false">
      <c r="B81" s="11" t="s">
        <v>1495</v>
      </c>
      <c r="C81" s="11" t="s">
        <v>1496</v>
      </c>
      <c r="D81" s="11" t="s">
        <v>1497</v>
      </c>
    </row>
    <row r="82" customFormat="false" ht="30.75" hidden="false" customHeight="true" outlineLevel="0" collapsed="false">
      <c r="B82" s="12" t="s">
        <v>2938</v>
      </c>
      <c r="C82" s="12" t="s">
        <v>2939</v>
      </c>
      <c r="D82" s="12" t="s">
        <v>2940</v>
      </c>
    </row>
    <row r="83" customFormat="false" ht="30.75" hidden="false" customHeight="true" outlineLevel="0" collapsed="false">
      <c r="B83" s="12" t="s">
        <v>2941</v>
      </c>
      <c r="C83" s="12" t="s">
        <v>2939</v>
      </c>
      <c r="D83" s="12" t="s">
        <v>2942</v>
      </c>
    </row>
    <row r="84" customFormat="false" ht="30.75" hidden="false" customHeight="true" outlineLevel="0" collapsed="false">
      <c r="B84" s="12" t="s">
        <v>2943</v>
      </c>
      <c r="C84" s="12" t="s">
        <v>2944</v>
      </c>
      <c r="D84" s="12" t="s">
        <v>2945</v>
      </c>
    </row>
    <row r="85" customFormat="false" ht="30.75" hidden="false" customHeight="true" outlineLevel="0" collapsed="false">
      <c r="B85" s="12" t="s">
        <v>2946</v>
      </c>
      <c r="C85" s="12" t="s">
        <v>2947</v>
      </c>
      <c r="D85" s="12" t="s">
        <v>2948</v>
      </c>
    </row>
    <row r="87" customFormat="false" ht="15" hidden="false" customHeight="true" outlineLevel="0" collapsed="false">
      <c r="B87" s="55" t="s">
        <v>1507</v>
      </c>
    </row>
    <row r="88" customFormat="false" ht="17.25" hidden="false" customHeight="true" outlineLevel="0" collapsed="false">
      <c r="B88" s="9" t="s">
        <v>2949</v>
      </c>
      <c r="C88" s="9"/>
      <c r="D88" s="9"/>
      <c r="E88" s="9"/>
      <c r="F88" s="9"/>
    </row>
    <row r="89" customFormat="false" ht="31.5" hidden="false" customHeight="true" outlineLevel="0" collapsed="false">
      <c r="B89" s="9" t="s">
        <v>2950</v>
      </c>
      <c r="C89" s="9"/>
      <c r="D89" s="9"/>
      <c r="E89" s="9"/>
      <c r="F89" s="9"/>
    </row>
    <row r="90" customFormat="false" ht="17.25" hidden="false" customHeight="true" outlineLevel="0" collapsed="false">
      <c r="B90" s="9" t="s">
        <v>2951</v>
      </c>
      <c r="C90" s="9"/>
      <c r="D90" s="9"/>
      <c r="E90" s="9"/>
      <c r="F90" s="9"/>
    </row>
    <row r="91" customFormat="false" ht="17.25" hidden="false" customHeight="true" outlineLevel="0" collapsed="false">
      <c r="B91" s="9" t="s">
        <v>2952</v>
      </c>
      <c r="C91" s="9"/>
      <c r="D91" s="9"/>
      <c r="E91" s="9"/>
      <c r="F91" s="9"/>
    </row>
    <row r="92" customFormat="false" ht="17.25" hidden="false" customHeight="true" outlineLevel="0" collapsed="false">
      <c r="B92" s="9" t="s">
        <v>2953</v>
      </c>
      <c r="C92" s="9"/>
      <c r="D92" s="9"/>
      <c r="E92" s="9"/>
      <c r="F92" s="9"/>
    </row>
    <row r="94" customFormat="false" ht="15.75" hidden="false" customHeight="true" outlineLevel="0" collapsed="false">
      <c r="B94" s="7" t="s">
        <v>1513</v>
      </c>
      <c r="C94" s="8"/>
      <c r="D94" s="8"/>
      <c r="E94" s="8"/>
      <c r="F94" s="8"/>
      <c r="G94" s="8"/>
      <c r="H94" s="8"/>
      <c r="I94" s="8"/>
      <c r="J94" s="8"/>
      <c r="K94" s="8"/>
    </row>
    <row r="95" customFormat="false" ht="17.25" hidden="false" customHeight="true" outlineLevel="0" collapsed="false">
      <c r="B95" s="9" t="s">
        <v>1514</v>
      </c>
      <c r="C95" s="9"/>
      <c r="D95" s="9"/>
      <c r="E95" s="9"/>
      <c r="N95" s="56" t="s">
        <v>1515</v>
      </c>
    </row>
    <row r="96" customFormat="false" ht="17.25" hidden="false" customHeight="true" outlineLevel="0" collapsed="false">
      <c r="B96" s="9" t="s">
        <v>2954</v>
      </c>
      <c r="C96" s="9"/>
      <c r="D96" s="9"/>
      <c r="E96" s="9"/>
      <c r="N96" s="57" t="s">
        <v>2955</v>
      </c>
    </row>
    <row r="97" customFormat="false" ht="31.5" hidden="false" customHeight="true" outlineLevel="0" collapsed="false">
      <c r="B97" s="9" t="s">
        <v>2956</v>
      </c>
      <c r="C97" s="9"/>
      <c r="D97" s="9"/>
      <c r="E97" s="9"/>
      <c r="N97" s="57" t="s">
        <v>2957</v>
      </c>
    </row>
    <row r="98" customFormat="false" ht="17.25" hidden="false" customHeight="true" outlineLevel="0" collapsed="false">
      <c r="B98" s="9" t="s">
        <v>2958</v>
      </c>
      <c r="C98" s="9"/>
      <c r="D98" s="9"/>
      <c r="E98" s="9"/>
      <c r="N98" s="57" t="s">
        <v>2959</v>
      </c>
    </row>
    <row r="100" customFormat="false" ht="15.75" hidden="false" customHeight="true" outlineLevel="0" collapsed="false">
      <c r="B100" s="7" t="s">
        <v>1522</v>
      </c>
      <c r="C100" s="8"/>
      <c r="D100" s="8"/>
      <c r="E100" s="8"/>
      <c r="F100" s="8"/>
      <c r="G100" s="8"/>
      <c r="H100" s="8"/>
      <c r="I100" s="8"/>
      <c r="J100" s="8"/>
      <c r="K100" s="8"/>
    </row>
    <row r="101" customFormat="false" ht="16.5" hidden="false" customHeight="true" outlineLevel="0" collapsed="false">
      <c r="B101" s="11" t="s">
        <v>1523</v>
      </c>
      <c r="C101" s="11" t="s">
        <v>1524</v>
      </c>
      <c r="D101" s="11" t="s">
        <v>1615</v>
      </c>
    </row>
    <row r="102" customFormat="false" ht="30.75" hidden="false" customHeight="true" outlineLevel="0" collapsed="false">
      <c r="B102" s="58" t="s">
        <v>2015</v>
      </c>
      <c r="C102" s="58" t="s">
        <v>2888</v>
      </c>
      <c r="D102" s="58" t="s">
        <v>1293</v>
      </c>
    </row>
  </sheetData>
  <mergeCells count="40">
    <mergeCell ref="B2:J2"/>
    <mergeCell ref="D3:E3"/>
    <mergeCell ref="C6:D6"/>
    <mergeCell ref="C7:D7"/>
    <mergeCell ref="C8:D8"/>
    <mergeCell ref="B11:F12"/>
    <mergeCell ref="B13:F14"/>
    <mergeCell ref="B15:F15"/>
    <mergeCell ref="B16:F17"/>
    <mergeCell ref="B18:F18"/>
    <mergeCell ref="B19:F21"/>
    <mergeCell ref="B24:D24"/>
    <mergeCell ref="E24:F24"/>
    <mergeCell ref="B25:D25"/>
    <mergeCell ref="E25:F25"/>
    <mergeCell ref="B26:D26"/>
    <mergeCell ref="E26:F26"/>
    <mergeCell ref="B27:D27"/>
    <mergeCell ref="E27:F27"/>
    <mergeCell ref="B28:F28"/>
    <mergeCell ref="B37:F37"/>
    <mergeCell ref="B38:F38"/>
    <mergeCell ref="B40:F42"/>
    <mergeCell ref="B44:F44"/>
    <mergeCell ref="B52:F52"/>
    <mergeCell ref="B55:F56"/>
    <mergeCell ref="C65:D65"/>
    <mergeCell ref="C66:D66"/>
    <mergeCell ref="C67:D67"/>
    <mergeCell ref="C68:D68"/>
    <mergeCell ref="C79:F79"/>
    <mergeCell ref="B88:F88"/>
    <mergeCell ref="B89:F89"/>
    <mergeCell ref="B90:F90"/>
    <mergeCell ref="B91:F91"/>
    <mergeCell ref="B92:F92"/>
    <mergeCell ref="B95:E95"/>
    <mergeCell ref="B96:E96"/>
    <mergeCell ref="B97:E97"/>
    <mergeCell ref="B98:E98"/>
  </mergeCells>
  <dataValidations count="2">
    <dataValidation allowBlank="false" errorStyle="stop" operator="between" showDropDown="false" showErrorMessage="false" showInputMessage="false" sqref="C59" type="list">
      <formula1>"mean,proportion,standard deviation"</formula1>
      <formula2>0</formula2>
    </dataValidation>
    <dataValidation allowBlank="false" errorStyle="stop" operator="between" showDropDown="false" showErrorMessage="false" showInputMessage="false" sqref="C60" type="list">
      <formula1>"different from,greater than,less than"</formula1>
      <formula2>0</formula2>
    </dataValidation>
  </dataValidations>
  <hyperlinks>
    <hyperlink ref="B3" location="'N-03 Index DMAIC'!A1" display="← Back to Index"/>
    <hyperlink ref="E31" location="'L-26 Pilot and Confirmation'!A1" display="L-26  Pilot Design and Confirmation Run"/>
    <hyperlink ref="E32" location="'E-18 The p-Value'!A1" display="E-18  Understanding the p-Value (and What It Is Not)"/>
    <hyperlink ref="E33" location="'E-19 Type I II Error Power'!A1" display="E-19  Type I Error, Type II Error and Power"/>
    <hyperlink ref="B102" location="'E-16 CI Proportion StdDev'!A1" display="E-16  Confidence Intervals for Proportion and Std Dev"/>
    <hyperlink ref="C102" location="'E-18 The p-Value'!A1" display="E-18  Understanding the p-Value (and What It Is Not)"/>
    <hyperlink ref="D102" location="'E-22 Test Selection Roadmap'!A1" display="E-22  Hypothesis Test Selection Roadma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2960</v>
      </c>
      <c r="C2" s="3"/>
      <c r="D2" s="3"/>
      <c r="E2" s="3"/>
      <c r="F2" s="3"/>
      <c r="G2" s="3"/>
      <c r="H2" s="3"/>
      <c r="I2" s="3"/>
      <c r="J2" s="3"/>
      <c r="K2" s="80" t="s">
        <v>2864</v>
      </c>
    </row>
    <row r="3" customFormat="false" ht="28.5" hidden="false" customHeight="true" outlineLevel="0" collapsed="false">
      <c r="B3" s="5" t="s">
        <v>3</v>
      </c>
      <c r="D3" s="6" t="s">
        <v>2961</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2962</v>
      </c>
      <c r="D6" s="9"/>
    </row>
    <row r="7" customFormat="false" ht="31.5" hidden="false" customHeight="true" outlineLevel="0" collapsed="false">
      <c r="B7" s="47" t="s">
        <v>1394</v>
      </c>
      <c r="C7" s="9" t="s">
        <v>2963</v>
      </c>
      <c r="D7" s="9"/>
    </row>
    <row r="8" customFormat="false" ht="31.5" hidden="false" customHeight="true" outlineLevel="0" collapsed="false">
      <c r="B8" s="47" t="s">
        <v>1396</v>
      </c>
      <c r="C8" s="9" t="s">
        <v>2964</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2965</v>
      </c>
      <c r="C11" s="9"/>
      <c r="D11" s="9"/>
      <c r="E11" s="9"/>
      <c r="F11" s="9"/>
    </row>
    <row r="12" customFormat="false" ht="17.25" hidden="false" customHeight="true" outlineLevel="0" collapsed="false">
      <c r="B12" s="9" t="s">
        <v>2966</v>
      </c>
      <c r="C12" s="9"/>
      <c r="D12" s="9"/>
      <c r="E12" s="9"/>
      <c r="F12" s="9"/>
    </row>
    <row r="13" customFormat="false" ht="15.75" hidden="false" customHeight="true" outlineLevel="0" collapsed="false">
      <c r="B13" s="9" t="s">
        <v>2967</v>
      </c>
      <c r="C13" s="9"/>
      <c r="D13" s="9"/>
      <c r="E13" s="9"/>
      <c r="F13" s="9"/>
    </row>
    <row r="14" customFormat="false" ht="15.75" hidden="false" customHeight="true" outlineLevel="0" collapsed="false">
      <c r="B14" s="9"/>
      <c r="C14" s="9"/>
      <c r="D14" s="9"/>
      <c r="E14" s="9"/>
      <c r="F14" s="9"/>
    </row>
    <row r="15" customFormat="false" ht="17.25" hidden="false" customHeight="true" outlineLevel="0" collapsed="false">
      <c r="B15" s="9" t="s">
        <v>2968</v>
      </c>
      <c r="C15" s="9"/>
      <c r="D15" s="9"/>
      <c r="E15" s="9"/>
      <c r="F15" s="9"/>
    </row>
    <row r="16" customFormat="false" ht="15.75" hidden="false" customHeight="true" outlineLevel="0" collapsed="false">
      <c r="B16" s="9" t="s">
        <v>2969</v>
      </c>
      <c r="C16" s="9"/>
      <c r="D16" s="9"/>
      <c r="E16" s="9"/>
      <c r="F16" s="9"/>
    </row>
    <row r="17" customFormat="false" ht="15.75" hidden="false" customHeight="true" outlineLevel="0" collapsed="false">
      <c r="B17" s="9"/>
      <c r="C17" s="9"/>
      <c r="D17" s="9"/>
      <c r="E17" s="9"/>
      <c r="F17" s="9"/>
    </row>
    <row r="18" customFormat="false" ht="17.25" hidden="false" customHeight="true" outlineLevel="0" collapsed="false">
      <c r="B18" s="9" t="s">
        <v>2970</v>
      </c>
      <c r="C18" s="9"/>
      <c r="D18" s="9"/>
      <c r="E18" s="9"/>
      <c r="F18" s="9"/>
    </row>
    <row r="19" customFormat="false" ht="15.75" hidden="false" customHeight="true" outlineLevel="0" collapsed="false">
      <c r="B19" s="9" t="s">
        <v>2971</v>
      </c>
      <c r="C19" s="9"/>
      <c r="D19" s="9"/>
      <c r="E19" s="9"/>
      <c r="F19" s="9"/>
    </row>
    <row r="20" customFormat="false" ht="15.75" hidden="false" customHeight="true" outlineLevel="0" collapsed="false">
      <c r="B20" s="9"/>
      <c r="C20" s="9"/>
      <c r="D20" s="9"/>
      <c r="E20" s="9"/>
      <c r="F20" s="9"/>
    </row>
    <row r="22" customFormat="false" ht="15.75" hidden="false" customHeight="true" outlineLevel="0" collapsed="false">
      <c r="B22" s="7" t="s">
        <v>1406</v>
      </c>
      <c r="C22" s="8"/>
      <c r="D22" s="8"/>
      <c r="E22" s="8"/>
      <c r="F22" s="8"/>
      <c r="G22" s="8"/>
      <c r="H22" s="8"/>
      <c r="I22" s="8"/>
      <c r="J22" s="8"/>
      <c r="K22" s="8"/>
    </row>
    <row r="23" customFormat="false" ht="17.25" hidden="false" customHeight="true" outlineLevel="0" collapsed="false">
      <c r="B23" s="48" t="s">
        <v>1407</v>
      </c>
      <c r="C23" s="48"/>
      <c r="D23" s="48"/>
      <c r="E23" s="55" t="s">
        <v>1408</v>
      </c>
    </row>
    <row r="24" customFormat="false" ht="44.25" hidden="false" customHeight="true" outlineLevel="0" collapsed="false">
      <c r="B24" s="23" t="s">
        <v>2972</v>
      </c>
      <c r="C24" s="23"/>
      <c r="D24" s="23"/>
      <c r="E24" s="82" t="s">
        <v>2973</v>
      </c>
    </row>
    <row r="25" customFormat="false" ht="44.25" hidden="false" customHeight="true" outlineLevel="0" collapsed="false">
      <c r="B25" s="23" t="s">
        <v>2974</v>
      </c>
      <c r="C25" s="23"/>
      <c r="D25" s="23"/>
      <c r="E25" s="82" t="s">
        <v>2975</v>
      </c>
    </row>
    <row r="26" customFormat="false" ht="30.75" hidden="false" customHeight="true" outlineLevel="0" collapsed="false">
      <c r="B26" s="23" t="s">
        <v>2976</v>
      </c>
      <c r="C26" s="23"/>
      <c r="D26" s="23"/>
      <c r="E26" s="82" t="s">
        <v>2977</v>
      </c>
    </row>
    <row r="27" customFormat="false" ht="17.25" hidden="false" customHeight="true" outlineLevel="0" collapsed="false">
      <c r="B27" s="23" t="s">
        <v>2978</v>
      </c>
      <c r="C27" s="23"/>
      <c r="D27" s="23"/>
      <c r="E27" s="23"/>
      <c r="F27" s="23"/>
    </row>
    <row r="29" customFormat="false" ht="16.5" hidden="false" customHeight="true" outlineLevel="0" collapsed="false">
      <c r="B29" s="11" t="s">
        <v>1416</v>
      </c>
      <c r="C29" s="11" t="s">
        <v>1417</v>
      </c>
      <c r="D29" s="11" t="s">
        <v>1418</v>
      </c>
      <c r="E29" s="11" t="s">
        <v>1419</v>
      </c>
    </row>
    <row r="30" customFormat="false" ht="30.75" hidden="false" customHeight="true" outlineLevel="0" collapsed="false">
      <c r="B30" s="12" t="s">
        <v>2979</v>
      </c>
      <c r="C30" s="12" t="s">
        <v>2980</v>
      </c>
      <c r="D30" s="12" t="s">
        <v>2981</v>
      </c>
      <c r="E30" s="50" t="s">
        <v>2199</v>
      </c>
    </row>
    <row r="31" customFormat="false" ht="44.25" hidden="false" customHeight="true" outlineLevel="0" collapsed="false">
      <c r="B31" s="12" t="s">
        <v>2982</v>
      </c>
      <c r="C31" s="12" t="s">
        <v>2983</v>
      </c>
      <c r="D31" s="12" t="s">
        <v>2984</v>
      </c>
      <c r="E31" s="50" t="s">
        <v>1037</v>
      </c>
    </row>
    <row r="32" customFormat="false" ht="30.75" hidden="false" customHeight="true" outlineLevel="0" collapsed="false">
      <c r="B32" s="12" t="s">
        <v>2985</v>
      </c>
      <c r="C32" s="12" t="s">
        <v>2986</v>
      </c>
      <c r="D32" s="12" t="s">
        <v>2987</v>
      </c>
      <c r="E32" s="50" t="s">
        <v>970</v>
      </c>
    </row>
    <row r="34" customFormat="false" ht="15.75" hidden="false" customHeight="true" outlineLevel="0" collapsed="false">
      <c r="B34" s="7" t="s">
        <v>1429</v>
      </c>
      <c r="C34" s="8"/>
      <c r="D34" s="8"/>
      <c r="E34" s="8"/>
      <c r="F34" s="8"/>
      <c r="G34" s="8"/>
      <c r="H34" s="8"/>
      <c r="I34" s="8"/>
      <c r="J34" s="8"/>
      <c r="K34" s="8"/>
    </row>
    <row r="35" customFormat="false" ht="15" hidden="false" customHeight="true" outlineLevel="0" collapsed="false">
      <c r="B35" s="47" t="s">
        <v>2988</v>
      </c>
    </row>
    <row r="36" customFormat="false" ht="17.25" hidden="false" customHeight="true" outlineLevel="0" collapsed="false">
      <c r="B36" s="52" t="s">
        <v>2989</v>
      </c>
      <c r="C36" s="52"/>
      <c r="D36" s="52"/>
      <c r="E36" s="52"/>
      <c r="F36" s="52"/>
    </row>
    <row r="37" customFormat="false" ht="15" hidden="false" customHeight="true" outlineLevel="0" collapsed="false">
      <c r="B37" s="47" t="s">
        <v>2990</v>
      </c>
    </row>
    <row r="38" customFormat="false" ht="17.25" hidden="false" customHeight="true" outlineLevel="0" collapsed="false">
      <c r="B38" s="52" t="s">
        <v>2991</v>
      </c>
      <c r="C38" s="52"/>
      <c r="D38" s="52"/>
      <c r="E38" s="52"/>
      <c r="F38" s="52"/>
    </row>
    <row r="39" customFormat="false" ht="17.25" hidden="false" customHeight="true" outlineLevel="0" collapsed="false">
      <c r="B39" s="52" t="s">
        <v>2992</v>
      </c>
      <c r="C39" s="52"/>
      <c r="D39" s="52"/>
      <c r="E39" s="52"/>
      <c r="F39" s="52"/>
    </row>
    <row r="40" customFormat="false" ht="15" hidden="false" customHeight="true" outlineLevel="0" collapsed="false">
      <c r="B40" s="47" t="s">
        <v>2898</v>
      </c>
    </row>
    <row r="41" customFormat="false" ht="15" hidden="false" customHeight="true" outlineLevel="0" collapsed="false">
      <c r="B41" s="59" t="s">
        <v>2993</v>
      </c>
    </row>
    <row r="42" customFormat="false" ht="15" hidden="false" customHeight="true" outlineLevel="0" collapsed="false">
      <c r="B42" s="47" t="s">
        <v>2994</v>
      </c>
    </row>
    <row r="43" customFormat="false" ht="15" hidden="false" customHeight="true" outlineLevel="0" collapsed="false">
      <c r="B43" s="59" t="s">
        <v>2995</v>
      </c>
    </row>
    <row r="44" customFormat="false" ht="8.25" hidden="false" customHeight="true" outlineLevel="0" collapsed="false">
      <c r="B44" s="52" t="s">
        <v>2996</v>
      </c>
      <c r="C44" s="52"/>
      <c r="D44" s="52"/>
      <c r="E44" s="52"/>
      <c r="F44" s="52"/>
    </row>
    <row r="45" customFormat="false" ht="8.25" hidden="false" customHeight="true" outlineLevel="0" collapsed="false">
      <c r="B45" s="52"/>
      <c r="C45" s="52"/>
      <c r="D45" s="52"/>
      <c r="E45" s="52"/>
      <c r="F45" s="52"/>
    </row>
    <row r="47" customFormat="false" ht="15.75" hidden="false" customHeight="true" outlineLevel="0" collapsed="false">
      <c r="B47" s="7" t="s">
        <v>1437</v>
      </c>
      <c r="C47" s="8"/>
      <c r="D47" s="8"/>
      <c r="E47" s="8"/>
      <c r="F47" s="8"/>
      <c r="G47" s="8"/>
      <c r="H47" s="8"/>
      <c r="I47" s="8"/>
      <c r="J47" s="8"/>
      <c r="K47" s="8"/>
    </row>
    <row r="48" customFormat="false" ht="16.5" hidden="false" customHeight="true" outlineLevel="0" collapsed="false">
      <c r="B48" s="11" t="s">
        <v>1438</v>
      </c>
      <c r="C48" s="11" t="s">
        <v>1439</v>
      </c>
      <c r="D48" s="11" t="s">
        <v>1440</v>
      </c>
    </row>
    <row r="49" customFormat="false" ht="30.75" hidden="false" customHeight="true" outlineLevel="0" collapsed="false">
      <c r="B49" s="12" t="s">
        <v>2211</v>
      </c>
      <c r="C49" s="12" t="s">
        <v>2212</v>
      </c>
      <c r="D49" s="12" t="s">
        <v>2997</v>
      </c>
    </row>
    <row r="50" customFormat="false" ht="30.75" hidden="false" customHeight="true" outlineLevel="0" collapsed="false">
      <c r="B50" s="12" t="s">
        <v>2217</v>
      </c>
      <c r="C50" s="12" t="s">
        <v>2218</v>
      </c>
      <c r="D50" s="12" t="s">
        <v>2998</v>
      </c>
    </row>
    <row r="51" customFormat="false" ht="30.75" hidden="false" customHeight="true" outlineLevel="0" collapsed="false">
      <c r="B51" s="12" t="s">
        <v>2223</v>
      </c>
      <c r="C51" s="12" t="s">
        <v>2224</v>
      </c>
      <c r="D51" s="12" t="s">
        <v>2999</v>
      </c>
    </row>
    <row r="52" customFormat="false" ht="30.75" hidden="false" customHeight="true" outlineLevel="0" collapsed="false">
      <c r="B52" s="12" t="s">
        <v>1834</v>
      </c>
      <c r="C52" s="12" t="s">
        <v>1835</v>
      </c>
      <c r="D52" s="12" t="s">
        <v>3000</v>
      </c>
    </row>
    <row r="53" customFormat="false" ht="30.75" hidden="false" customHeight="true" outlineLevel="0" collapsed="false">
      <c r="B53" s="12" t="s">
        <v>2127</v>
      </c>
      <c r="C53" s="12" t="s">
        <v>3001</v>
      </c>
      <c r="D53" s="12" t="s">
        <v>3002</v>
      </c>
    </row>
    <row r="54" customFormat="false" ht="28.5" hidden="false" customHeight="true" outlineLevel="0" collapsed="false">
      <c r="B54" s="16" t="s">
        <v>1453</v>
      </c>
      <c r="C54" s="16"/>
      <c r="D54" s="16"/>
      <c r="E54" s="16"/>
      <c r="F54" s="16"/>
    </row>
    <row r="56" customFormat="false" ht="15.75" hidden="false" customHeight="true" outlineLevel="0" collapsed="false">
      <c r="B56" s="7" t="s">
        <v>1454</v>
      </c>
      <c r="C56" s="8"/>
      <c r="D56" s="8"/>
      <c r="E56" s="8"/>
      <c r="F56" s="8"/>
      <c r="G56" s="8"/>
      <c r="H56" s="8"/>
      <c r="I56" s="8"/>
      <c r="J56" s="8"/>
      <c r="K56" s="8"/>
    </row>
    <row r="57" customFormat="false" ht="15.75" hidden="false" customHeight="true" outlineLevel="0" collapsed="false">
      <c r="B57" s="9" t="s">
        <v>3003</v>
      </c>
      <c r="C57" s="9"/>
      <c r="D57" s="9"/>
      <c r="E57" s="9"/>
      <c r="F57" s="9"/>
    </row>
    <row r="58" customFormat="false" ht="15.75" hidden="false" customHeight="true" outlineLevel="0" collapsed="false">
      <c r="B58" s="9"/>
      <c r="C58" s="9"/>
      <c r="D58" s="9"/>
      <c r="E58" s="9"/>
      <c r="F58" s="9"/>
    </row>
    <row r="59" customFormat="false" ht="15" hidden="false" customHeight="true" outlineLevel="0" collapsed="false">
      <c r="B59" s="19" t="s">
        <v>85</v>
      </c>
      <c r="C59" s="41" t="s">
        <v>86</v>
      </c>
    </row>
    <row r="61" customFormat="false" ht="15" hidden="false" customHeight="true" outlineLevel="0" collapsed="false">
      <c r="B61" s="10" t="s">
        <v>3004</v>
      </c>
      <c r="C61" s="75" t="n">
        <v>2.31</v>
      </c>
    </row>
    <row r="62" customFormat="false" ht="15" hidden="false" customHeight="true" outlineLevel="0" collapsed="false">
      <c r="B62" s="10" t="s">
        <v>2834</v>
      </c>
      <c r="C62" s="65" t="n">
        <v>28</v>
      </c>
    </row>
    <row r="63" customFormat="false" ht="15" hidden="false" customHeight="true" outlineLevel="0" collapsed="false">
      <c r="B63" s="10" t="s">
        <v>3005</v>
      </c>
      <c r="C63" s="65" t="n">
        <v>2</v>
      </c>
    </row>
    <row r="64" customFormat="false" ht="15" hidden="false" customHeight="true" outlineLevel="0" collapsed="false">
      <c r="B64" s="10" t="s">
        <v>2228</v>
      </c>
      <c r="C64" s="75" t="n">
        <v>0.05</v>
      </c>
    </row>
    <row r="65" customFormat="false" ht="15" hidden="false" customHeight="true" outlineLevel="0" collapsed="false">
      <c r="B65" s="10" t="s">
        <v>3006</v>
      </c>
      <c r="C65" s="75" t="n">
        <v>0.62</v>
      </c>
    </row>
    <row r="67" customFormat="false" ht="15" hidden="false" customHeight="true" outlineLevel="0" collapsed="false">
      <c r="B67" s="10" t="s">
        <v>3007</v>
      </c>
      <c r="C67" s="77" t="n">
        <f aca="false">TDIST(ABS(C61),C62,C63)</f>
        <v>0.0284752828122929</v>
      </c>
    </row>
    <row r="68" customFormat="false" ht="15" hidden="false" customHeight="true" outlineLevel="0" collapsed="false">
      <c r="B68" s="10" t="s">
        <v>3008</v>
      </c>
      <c r="C68" s="41" t="str">
        <f aca="false">IF(C67&lt;C64,"Reject H0","Fail to reject H0")</f>
        <v>Reject H0</v>
      </c>
    </row>
    <row r="69" customFormat="false" ht="15" hidden="false" customHeight="true" outlineLevel="0" collapsed="false">
      <c r="B69" s="10" t="s">
        <v>3009</v>
      </c>
      <c r="C69" s="41" t="str">
        <f aca="false">IF(C67&lt;0.001,"Very strong",IF(C67&lt;0.01,"Strong",IF(C67&lt;0.05,"Moderate",IF(C67&lt;0.1,"Weak - borderline","None"))))</f>
        <v>Moderate</v>
      </c>
    </row>
    <row r="70" customFormat="false" ht="15" hidden="false" customHeight="true" outlineLevel="0" collapsed="false">
      <c r="B70" s="10" t="s">
        <v>3010</v>
      </c>
      <c r="C70" s="66" t="n">
        <f aca="false">IF(C63=2,TINV(C64,C62),TINV(2*C64,C62))</f>
        <v>2.04840714179524</v>
      </c>
    </row>
    <row r="71" customFormat="false" ht="15" hidden="false" customHeight="true" outlineLevel="0" collapsed="false">
      <c r="B71" s="10" t="s">
        <v>3011</v>
      </c>
      <c r="C71" s="66" t="n">
        <f aca="false">ABS(C61)-C70</f>
        <v>0.261592858204758</v>
      </c>
    </row>
    <row r="73" customFormat="false" ht="15.75" hidden="false" customHeight="true" outlineLevel="0" collapsed="false">
      <c r="B73" s="7" t="s">
        <v>3012</v>
      </c>
      <c r="C73" s="8"/>
      <c r="D73" s="8"/>
      <c r="E73" s="8"/>
      <c r="F73" s="8"/>
      <c r="G73" s="8"/>
      <c r="H73" s="8"/>
      <c r="I73" s="8"/>
      <c r="J73" s="8"/>
      <c r="K73" s="8"/>
    </row>
    <row r="74" customFormat="false" ht="15" hidden="false" customHeight="true" outlineLevel="0" collapsed="false">
      <c r="B74" s="83" t="s">
        <v>3013</v>
      </c>
      <c r="C74" s="84"/>
      <c r="D74" s="84"/>
      <c r="E74" s="84"/>
      <c r="F74" s="84"/>
      <c r="G74" s="84"/>
      <c r="H74" s="84"/>
      <c r="I74" s="84"/>
      <c r="J74" s="84"/>
      <c r="K74" s="84"/>
    </row>
    <row r="75" customFormat="false" ht="31.5" hidden="false" customHeight="true" outlineLevel="0" collapsed="false">
      <c r="B75" s="23" t="s">
        <v>3014</v>
      </c>
      <c r="C75" s="23"/>
      <c r="D75" s="23"/>
      <c r="E75" s="23"/>
      <c r="F75" s="23"/>
    </row>
    <row r="77" customFormat="false" ht="15" hidden="false" customHeight="true" outlineLevel="0" collapsed="false">
      <c r="B77" s="83" t="s">
        <v>3015</v>
      </c>
      <c r="C77" s="84"/>
      <c r="D77" s="84"/>
      <c r="E77" s="84"/>
      <c r="F77" s="84"/>
      <c r="G77" s="84"/>
      <c r="H77" s="84"/>
      <c r="I77" s="84"/>
      <c r="J77" s="84"/>
      <c r="K77" s="84"/>
    </row>
    <row r="78" customFormat="false" ht="31.5" hidden="false" customHeight="true" outlineLevel="0" collapsed="false">
      <c r="B78" s="23" t="s">
        <v>3016</v>
      </c>
      <c r="C78" s="23"/>
      <c r="D78" s="23"/>
      <c r="E78" s="23"/>
      <c r="F78" s="23"/>
    </row>
    <row r="80" customFormat="false" ht="15" hidden="false" customHeight="true" outlineLevel="0" collapsed="false">
      <c r="B80" s="83" t="s">
        <v>3017</v>
      </c>
      <c r="C80" s="84"/>
      <c r="D80" s="84"/>
      <c r="E80" s="84"/>
      <c r="F80" s="84"/>
      <c r="G80" s="84"/>
      <c r="H80" s="84"/>
      <c r="I80" s="84"/>
      <c r="J80" s="84"/>
      <c r="K80" s="84"/>
    </row>
    <row r="81" customFormat="false" ht="31.5" hidden="false" customHeight="true" outlineLevel="0" collapsed="false">
      <c r="B81" s="23" t="s">
        <v>3018</v>
      </c>
      <c r="C81" s="23"/>
      <c r="D81" s="23"/>
      <c r="E81" s="23"/>
      <c r="F81" s="23"/>
    </row>
    <row r="83" customFormat="false" ht="15.75" hidden="false" customHeight="true" outlineLevel="0" collapsed="false">
      <c r="B83" s="7" t="s">
        <v>1493</v>
      </c>
      <c r="C83" s="8"/>
      <c r="D83" s="8"/>
      <c r="E83" s="8"/>
      <c r="F83" s="8"/>
      <c r="G83" s="8"/>
      <c r="H83" s="8"/>
      <c r="I83" s="8"/>
      <c r="J83" s="8"/>
      <c r="K83" s="8"/>
    </row>
    <row r="84" customFormat="false" ht="33.75" hidden="false" customHeight="true" outlineLevel="0" collapsed="false">
      <c r="B84" s="53" t="s">
        <v>1494</v>
      </c>
      <c r="C84" s="54" t="str">
        <f aca="false">IF(C67&lt;C64,"STATISTICALLY SIGNIFICANT (p = "&amp;TEXT(C67,"0.0000")&amp;") - now go to E-21 and decide whether a difference of "&amp;TEXT(C65,"0.000")&amp;" ml is worth acting on.","NOT SIGNIFICANT (p = "&amp;TEXT(C67,"0.0000")&amp;") - this does NOT mean there is no difference. Check the power of the study on E-19 before concluding anything.")</f>
        <v>STATISTICALLY SIGNIFICANT (p = 0.0285) - now go to E-21 and decide whether a difference of 0.620 ml is worth acting on.</v>
      </c>
      <c r="D84" s="54"/>
    </row>
    <row r="86" customFormat="false" ht="16.5" hidden="false" customHeight="true" outlineLevel="0" collapsed="false">
      <c r="B86" s="11" t="s">
        <v>1495</v>
      </c>
      <c r="C86" s="11" t="s">
        <v>1496</v>
      </c>
      <c r="D86" s="11" t="s">
        <v>1497</v>
      </c>
    </row>
    <row r="87" customFormat="false" ht="30.75" hidden="false" customHeight="true" outlineLevel="0" collapsed="false">
      <c r="B87" s="12" t="s">
        <v>3019</v>
      </c>
      <c r="C87" s="12" t="s">
        <v>3020</v>
      </c>
      <c r="D87" s="12" t="s">
        <v>3021</v>
      </c>
    </row>
    <row r="88" customFormat="false" ht="30.75" hidden="false" customHeight="true" outlineLevel="0" collapsed="false">
      <c r="B88" s="12" t="s">
        <v>3022</v>
      </c>
      <c r="C88" s="12" t="s">
        <v>3023</v>
      </c>
      <c r="D88" s="12" t="s">
        <v>3024</v>
      </c>
    </row>
    <row r="89" customFormat="false" ht="30.75" hidden="false" customHeight="true" outlineLevel="0" collapsed="false">
      <c r="B89" s="12" t="s">
        <v>2425</v>
      </c>
      <c r="C89" s="12" t="s">
        <v>3025</v>
      </c>
      <c r="D89" s="12" t="s">
        <v>3026</v>
      </c>
    </row>
    <row r="90" customFormat="false" ht="30.75" hidden="false" customHeight="true" outlineLevel="0" collapsed="false">
      <c r="B90" s="12" t="s">
        <v>3027</v>
      </c>
      <c r="C90" s="12" t="s">
        <v>3028</v>
      </c>
      <c r="D90" s="12" t="s">
        <v>3029</v>
      </c>
    </row>
    <row r="92" customFormat="false" ht="15" hidden="false" customHeight="true" outlineLevel="0" collapsed="false">
      <c r="B92" s="55" t="s">
        <v>1507</v>
      </c>
    </row>
    <row r="93" customFormat="false" ht="17.25" hidden="false" customHeight="true" outlineLevel="0" collapsed="false">
      <c r="B93" s="9" t="s">
        <v>3030</v>
      </c>
      <c r="C93" s="9"/>
      <c r="D93" s="9"/>
      <c r="E93" s="9"/>
      <c r="F93" s="9"/>
    </row>
    <row r="94" customFormat="false" ht="17.25" hidden="false" customHeight="true" outlineLevel="0" collapsed="false">
      <c r="B94" s="9" t="s">
        <v>3031</v>
      </c>
      <c r="C94" s="9"/>
      <c r="D94" s="9"/>
      <c r="E94" s="9"/>
      <c r="F94" s="9"/>
    </row>
    <row r="95" customFormat="false" ht="17.25" hidden="false" customHeight="true" outlineLevel="0" collapsed="false">
      <c r="B95" s="9" t="s">
        <v>3032</v>
      </c>
      <c r="C95" s="9"/>
      <c r="D95" s="9"/>
      <c r="E95" s="9"/>
      <c r="F95" s="9"/>
    </row>
    <row r="96" customFormat="false" ht="31.5" hidden="false" customHeight="true" outlineLevel="0" collapsed="false">
      <c r="B96" s="9" t="s">
        <v>3033</v>
      </c>
      <c r="C96" s="9"/>
      <c r="D96" s="9"/>
      <c r="E96" s="9"/>
      <c r="F96" s="9"/>
    </row>
    <row r="97" customFormat="false" ht="17.25" hidden="false" customHeight="true" outlineLevel="0" collapsed="false">
      <c r="B97" s="9" t="s">
        <v>3034</v>
      </c>
      <c r="C97" s="9"/>
      <c r="D97" s="9"/>
      <c r="E97" s="9"/>
      <c r="F97" s="9"/>
    </row>
    <row r="99" customFormat="false" ht="15.75" hidden="false" customHeight="true" outlineLevel="0" collapsed="false">
      <c r="B99" s="7" t="s">
        <v>1513</v>
      </c>
      <c r="C99" s="8"/>
      <c r="D99" s="8"/>
      <c r="E99" s="8"/>
      <c r="F99" s="8"/>
      <c r="G99" s="8"/>
      <c r="H99" s="8"/>
      <c r="I99" s="8"/>
      <c r="J99" s="8"/>
      <c r="K99" s="8"/>
    </row>
    <row r="100" customFormat="false" ht="17.25" hidden="false" customHeight="true" outlineLevel="0" collapsed="false">
      <c r="B100" s="9" t="s">
        <v>1514</v>
      </c>
      <c r="C100" s="9"/>
      <c r="D100" s="9"/>
      <c r="E100" s="9"/>
      <c r="N100" s="56" t="s">
        <v>1515</v>
      </c>
    </row>
    <row r="101" customFormat="false" ht="17.25" hidden="false" customHeight="true" outlineLevel="0" collapsed="false">
      <c r="B101" s="9" t="s">
        <v>3035</v>
      </c>
      <c r="C101" s="9"/>
      <c r="D101" s="9"/>
      <c r="E101" s="9"/>
      <c r="N101" s="57" t="s">
        <v>3036</v>
      </c>
    </row>
    <row r="102" customFormat="false" ht="17.25" hidden="false" customHeight="true" outlineLevel="0" collapsed="false">
      <c r="B102" s="9" t="s">
        <v>3037</v>
      </c>
      <c r="C102" s="9"/>
      <c r="D102" s="9"/>
      <c r="E102" s="9"/>
      <c r="N102" s="57" t="s">
        <v>3038</v>
      </c>
    </row>
    <row r="103" customFormat="false" ht="17.25" hidden="false" customHeight="true" outlineLevel="0" collapsed="false">
      <c r="B103" s="9" t="s">
        <v>3039</v>
      </c>
      <c r="C103" s="9"/>
      <c r="D103" s="9"/>
      <c r="E103" s="9"/>
      <c r="N103" s="57" t="s">
        <v>3040</v>
      </c>
    </row>
    <row r="105" customFormat="false" ht="15.75" hidden="false" customHeight="true" outlineLevel="0" collapsed="false">
      <c r="B105" s="7" t="s">
        <v>1522</v>
      </c>
      <c r="C105" s="8"/>
      <c r="D105" s="8"/>
      <c r="E105" s="8"/>
      <c r="F105" s="8"/>
      <c r="G105" s="8"/>
      <c r="H105" s="8"/>
      <c r="I105" s="8"/>
      <c r="J105" s="8"/>
      <c r="K105" s="8"/>
    </row>
    <row r="106" customFormat="false" ht="16.5" hidden="false" customHeight="true" outlineLevel="0" collapsed="false">
      <c r="B106" s="11" t="s">
        <v>1523</v>
      </c>
      <c r="C106" s="11" t="s">
        <v>1524</v>
      </c>
      <c r="D106" s="11" t="s">
        <v>1615</v>
      </c>
    </row>
    <row r="107" customFormat="false" ht="30.75" hidden="false" customHeight="true" outlineLevel="0" collapsed="false">
      <c r="B107" s="58" t="s">
        <v>2199</v>
      </c>
      <c r="C107" s="58" t="s">
        <v>2892</v>
      </c>
      <c r="D107" s="58" t="s">
        <v>1194</v>
      </c>
    </row>
  </sheetData>
  <mergeCells count="36">
    <mergeCell ref="B2:J2"/>
    <mergeCell ref="D3:F3"/>
    <mergeCell ref="C6:D6"/>
    <mergeCell ref="C7:D7"/>
    <mergeCell ref="C8:D8"/>
    <mergeCell ref="B11:F11"/>
    <mergeCell ref="B12:F12"/>
    <mergeCell ref="B13:F14"/>
    <mergeCell ref="B15:F15"/>
    <mergeCell ref="B16:F17"/>
    <mergeCell ref="B18:F18"/>
    <mergeCell ref="B19:F20"/>
    <mergeCell ref="B23:D23"/>
    <mergeCell ref="B24:D24"/>
    <mergeCell ref="B25:D25"/>
    <mergeCell ref="B26:D26"/>
    <mergeCell ref="B27:F27"/>
    <mergeCell ref="B36:F36"/>
    <mergeCell ref="B38:F38"/>
    <mergeCell ref="B39:F39"/>
    <mergeCell ref="B44:F45"/>
    <mergeCell ref="B54:F54"/>
    <mergeCell ref="B57:F58"/>
    <mergeCell ref="B75:F75"/>
    <mergeCell ref="B78:F78"/>
    <mergeCell ref="B81:F81"/>
    <mergeCell ref="C84:D84"/>
    <mergeCell ref="B93:F93"/>
    <mergeCell ref="B94:F94"/>
    <mergeCell ref="B95:F95"/>
    <mergeCell ref="B96:F96"/>
    <mergeCell ref="B97:F97"/>
    <mergeCell ref="B100:E100"/>
    <mergeCell ref="B101:E101"/>
    <mergeCell ref="B102:E102"/>
    <mergeCell ref="B103:E103"/>
  </mergeCells>
  <hyperlinks>
    <hyperlink ref="B3" location="'N-03 Index DMAIC'!A1" display="← Back to Index"/>
    <hyperlink ref="E30" location="'E-17 Hypothesis Framework'!A1" display="E-17  The Hypothesis Testing Framework"/>
    <hyperlink ref="E31" location="'E-26 One-Way ANOVA'!A1" display="E-26  One-Way ANOVA with Tukey HSD"/>
    <hyperlink ref="E32" location="'E-33 When Assumptions Fail'!A1" display="E-33  When Assumptions Fail: Transformations and Alternatives"/>
    <hyperlink ref="B107" location="'E-17 Hypothesis Framework'!A1" display="E-17  The Hypothesis Testing Framework"/>
    <hyperlink ref="C107" location="'E-19 Type I II Error Power'!A1" display="E-19  Type I Error, Type II Error and Power"/>
    <hyperlink ref="D107" location="'E-21 Statistical vs Practical'!A1" display="E-21  Statistical vs Practical Significan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3041</v>
      </c>
      <c r="C2" s="3"/>
      <c r="D2" s="3"/>
      <c r="E2" s="3"/>
      <c r="F2" s="3"/>
      <c r="G2" s="3"/>
      <c r="H2" s="3"/>
      <c r="I2" s="3"/>
      <c r="J2" s="3"/>
      <c r="K2" s="80" t="s">
        <v>2864</v>
      </c>
    </row>
    <row r="3" customFormat="false" ht="42" hidden="false" customHeight="true" outlineLevel="0" collapsed="false">
      <c r="B3" s="5" t="s">
        <v>3</v>
      </c>
      <c r="D3" s="6" t="s">
        <v>3042</v>
      </c>
      <c r="E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3043</v>
      </c>
      <c r="D6" s="9"/>
    </row>
    <row r="7" customFormat="false" ht="31.5" hidden="false" customHeight="true" outlineLevel="0" collapsed="false">
      <c r="B7" s="47" t="s">
        <v>1394</v>
      </c>
      <c r="C7" s="9" t="s">
        <v>3044</v>
      </c>
      <c r="D7" s="9"/>
    </row>
    <row r="8" customFormat="false" ht="31.5" hidden="false" customHeight="true" outlineLevel="0" collapsed="false">
      <c r="B8" s="47" t="s">
        <v>1396</v>
      </c>
      <c r="C8" s="9" t="s">
        <v>3045</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3046</v>
      </c>
      <c r="C11" s="9"/>
      <c r="D11" s="9"/>
      <c r="E11" s="9"/>
      <c r="F11" s="9"/>
    </row>
    <row r="12" customFormat="false" ht="15.75" hidden="false" customHeight="true" outlineLevel="0" collapsed="false">
      <c r="B12" s="9" t="s">
        <v>3047</v>
      </c>
      <c r="C12" s="9"/>
      <c r="D12" s="9"/>
      <c r="E12" s="9"/>
      <c r="F12" s="9"/>
    </row>
    <row r="13" customFormat="false" ht="15.75" hidden="false" customHeight="true" outlineLevel="0" collapsed="false">
      <c r="B13" s="9"/>
      <c r="C13" s="9"/>
      <c r="D13" s="9"/>
      <c r="E13" s="9"/>
      <c r="F13" s="9"/>
    </row>
    <row r="14" customFormat="false" ht="15.75" hidden="false" customHeight="true" outlineLevel="0" collapsed="false">
      <c r="B14" s="9" t="s">
        <v>3048</v>
      </c>
      <c r="C14" s="9"/>
      <c r="D14" s="9"/>
      <c r="E14" s="9"/>
      <c r="F14" s="9"/>
    </row>
    <row r="15" customFormat="false" ht="15.75" hidden="false" customHeight="true" outlineLevel="0" collapsed="false">
      <c r="B15" s="9"/>
      <c r="C15" s="9"/>
      <c r="D15" s="9"/>
      <c r="E15" s="9"/>
      <c r="F15" s="9"/>
    </row>
    <row r="16" customFormat="false" ht="17.25" hidden="false" customHeight="true" outlineLevel="0" collapsed="false">
      <c r="B16" s="9" t="s">
        <v>3049</v>
      </c>
      <c r="C16" s="9"/>
      <c r="D16" s="9"/>
      <c r="E16" s="9"/>
      <c r="F16" s="9"/>
    </row>
    <row r="17" customFormat="false" ht="15.75" hidden="false" customHeight="true" outlineLevel="0" collapsed="false">
      <c r="B17" s="9" t="s">
        <v>3050</v>
      </c>
      <c r="C17" s="9"/>
      <c r="D17" s="9"/>
      <c r="E17" s="9"/>
      <c r="F17" s="9"/>
    </row>
    <row r="18" customFormat="false" ht="15.75" hidden="false" customHeight="true" outlineLevel="0" collapsed="false">
      <c r="B18" s="9"/>
      <c r="C18" s="9"/>
      <c r="D18" s="9"/>
      <c r="E18" s="9"/>
      <c r="F18" s="9"/>
    </row>
    <row r="19" customFormat="false" ht="10.5" hidden="false" customHeight="true" outlineLevel="0" collapsed="false">
      <c r="B19" s="9" t="s">
        <v>3051</v>
      </c>
      <c r="C19" s="9"/>
      <c r="D19" s="9"/>
      <c r="E19" s="9"/>
      <c r="F19" s="9"/>
    </row>
    <row r="20" customFormat="false" ht="10.5" hidden="false" customHeight="true" outlineLevel="0" collapsed="false">
      <c r="B20" s="9"/>
      <c r="C20" s="9"/>
      <c r="D20" s="9"/>
      <c r="E20" s="9"/>
      <c r="F20" s="9"/>
    </row>
    <row r="21" customFormat="false" ht="10.5" hidden="false" customHeight="true" outlineLevel="0" collapsed="false">
      <c r="B21" s="9"/>
      <c r="C21" s="9"/>
      <c r="D21" s="9"/>
      <c r="E21" s="9"/>
      <c r="F21" s="9"/>
    </row>
    <row r="23" customFormat="false" ht="15.75" hidden="false" customHeight="true" outlineLevel="0" collapsed="false">
      <c r="B23" s="7" t="s">
        <v>1406</v>
      </c>
      <c r="C23" s="8"/>
      <c r="D23" s="8"/>
      <c r="E23" s="8"/>
      <c r="F23" s="8"/>
      <c r="G23" s="8"/>
      <c r="H23" s="8"/>
      <c r="I23" s="8"/>
      <c r="J23" s="8"/>
      <c r="K23" s="8"/>
    </row>
    <row r="24" customFormat="false" ht="17.25" hidden="false" customHeight="true" outlineLevel="0" collapsed="false">
      <c r="B24" s="48" t="s">
        <v>1407</v>
      </c>
      <c r="C24" s="48"/>
      <c r="D24" s="48"/>
      <c r="E24" s="49" t="s">
        <v>1408</v>
      </c>
      <c r="F24" s="49"/>
    </row>
    <row r="25" customFormat="false" ht="45.75" hidden="false" customHeight="true" outlineLevel="0" collapsed="false">
      <c r="B25" s="23" t="s">
        <v>3052</v>
      </c>
      <c r="C25" s="23"/>
      <c r="D25" s="23"/>
      <c r="E25" s="23" t="s">
        <v>3053</v>
      </c>
      <c r="F25" s="23"/>
    </row>
    <row r="26" customFormat="false" ht="31.5" hidden="false" customHeight="true" outlineLevel="0" collapsed="false">
      <c r="B26" s="23" t="s">
        <v>3054</v>
      </c>
      <c r="C26" s="23"/>
      <c r="D26" s="23"/>
      <c r="E26" s="23" t="s">
        <v>3055</v>
      </c>
      <c r="F26" s="23"/>
    </row>
    <row r="27" customFormat="false" ht="31.5" hidden="false" customHeight="true" outlineLevel="0" collapsed="false">
      <c r="B27" s="23" t="s">
        <v>3056</v>
      </c>
      <c r="C27" s="23"/>
      <c r="D27" s="23"/>
      <c r="E27" s="23" t="s">
        <v>3057</v>
      </c>
      <c r="F27" s="23"/>
    </row>
    <row r="28" customFormat="false" ht="17.25" hidden="false" customHeight="true" outlineLevel="0" collapsed="false">
      <c r="B28" s="23" t="s">
        <v>3058</v>
      </c>
      <c r="C28" s="23"/>
      <c r="D28" s="23"/>
      <c r="E28" s="23"/>
      <c r="F28" s="23"/>
    </row>
    <row r="30" customFormat="false" ht="16.5" hidden="false" customHeight="true" outlineLevel="0" collapsed="false">
      <c r="B30" s="11" t="s">
        <v>1416</v>
      </c>
      <c r="C30" s="11" t="s">
        <v>1417</v>
      </c>
      <c r="D30" s="11" t="s">
        <v>1418</v>
      </c>
      <c r="E30" s="11" t="s">
        <v>1419</v>
      </c>
    </row>
    <row r="31" customFormat="false" ht="44.25" hidden="false" customHeight="true" outlineLevel="0" collapsed="false">
      <c r="B31" s="12" t="s">
        <v>3059</v>
      </c>
      <c r="C31" s="12" t="s">
        <v>3060</v>
      </c>
      <c r="D31" s="12" t="s">
        <v>3061</v>
      </c>
      <c r="E31" s="50" t="s">
        <v>1194</v>
      </c>
    </row>
    <row r="32" customFormat="false" ht="44.25" hidden="false" customHeight="true" outlineLevel="0" collapsed="false">
      <c r="B32" s="12" t="s">
        <v>3062</v>
      </c>
      <c r="C32" s="12" t="s">
        <v>3063</v>
      </c>
      <c r="D32" s="12" t="s">
        <v>3064</v>
      </c>
      <c r="E32" s="50" t="s">
        <v>2015</v>
      </c>
    </row>
    <row r="33" customFormat="false" ht="30.75" hidden="false" customHeight="true" outlineLevel="0" collapsed="false">
      <c r="B33" s="12" t="s">
        <v>3065</v>
      </c>
      <c r="C33" s="12" t="s">
        <v>2980</v>
      </c>
      <c r="D33" s="12" t="s">
        <v>3066</v>
      </c>
      <c r="E33" s="50" t="s">
        <v>2199</v>
      </c>
    </row>
    <row r="35" customFormat="false" ht="15.75" hidden="false" customHeight="true" outlineLevel="0" collapsed="false">
      <c r="B35" s="7" t="s">
        <v>1429</v>
      </c>
      <c r="C35" s="8"/>
      <c r="D35" s="8"/>
      <c r="E35" s="8"/>
      <c r="F35" s="8"/>
      <c r="G35" s="8"/>
      <c r="H35" s="8"/>
      <c r="I35" s="8"/>
      <c r="J35" s="8"/>
      <c r="K35" s="8"/>
    </row>
    <row r="36" customFormat="false" ht="15" hidden="false" customHeight="true" outlineLevel="0" collapsed="false">
      <c r="B36" s="47" t="s">
        <v>3067</v>
      </c>
    </row>
    <row r="37" customFormat="false" ht="17.25" hidden="false" customHeight="true" outlineLevel="0" collapsed="false">
      <c r="B37" s="52" t="s">
        <v>3068</v>
      </c>
      <c r="C37" s="52"/>
      <c r="D37" s="52"/>
      <c r="E37" s="52"/>
      <c r="F37" s="52"/>
    </row>
    <row r="38" customFormat="false" ht="8.25" hidden="false" customHeight="true" outlineLevel="0" collapsed="false">
      <c r="B38" s="52" t="s">
        <v>3069</v>
      </c>
      <c r="C38" s="52"/>
      <c r="D38" s="52"/>
      <c r="E38" s="52"/>
      <c r="F38" s="52"/>
    </row>
    <row r="39" customFormat="false" ht="8.25" hidden="false" customHeight="true" outlineLevel="0" collapsed="false">
      <c r="B39" s="52"/>
      <c r="C39" s="52"/>
      <c r="D39" s="52"/>
      <c r="E39" s="52"/>
      <c r="F39" s="52"/>
    </row>
    <row r="40" customFormat="false" ht="17.25" hidden="false" customHeight="true" outlineLevel="0" collapsed="false">
      <c r="B40" s="51" t="s">
        <v>3070</v>
      </c>
      <c r="C40" s="51"/>
      <c r="D40" s="51"/>
      <c r="E40" s="51"/>
      <c r="F40" s="51"/>
    </row>
    <row r="41" customFormat="false" ht="8.25" hidden="false" customHeight="true" outlineLevel="0" collapsed="false">
      <c r="B41" s="52" t="s">
        <v>3071</v>
      </c>
      <c r="C41" s="52"/>
      <c r="D41" s="52"/>
      <c r="E41" s="52"/>
      <c r="F41" s="52"/>
    </row>
    <row r="42" customFormat="false" ht="8.25" hidden="false" customHeight="true" outlineLevel="0" collapsed="false">
      <c r="B42" s="52"/>
      <c r="C42" s="52"/>
      <c r="D42" s="52"/>
      <c r="E42" s="52"/>
      <c r="F42" s="52"/>
    </row>
    <row r="43" customFormat="false" ht="17.25" hidden="false" customHeight="true" outlineLevel="0" collapsed="false">
      <c r="B43" s="52" t="s">
        <v>3072</v>
      </c>
      <c r="C43" s="52"/>
      <c r="D43" s="52"/>
      <c r="E43" s="52"/>
      <c r="F43" s="52"/>
    </row>
    <row r="44" customFormat="false" ht="17.25" hidden="false" customHeight="true" outlineLevel="0" collapsed="false">
      <c r="B44" s="51" t="s">
        <v>3073</v>
      </c>
      <c r="C44" s="51"/>
      <c r="D44" s="51"/>
      <c r="E44" s="51"/>
      <c r="F44" s="51"/>
    </row>
    <row r="45" customFormat="false" ht="17.25" hidden="false" customHeight="true" outlineLevel="0" collapsed="false">
      <c r="B45" s="52" t="s">
        <v>3074</v>
      </c>
      <c r="C45" s="52"/>
      <c r="D45" s="52"/>
      <c r="E45" s="52"/>
      <c r="F45" s="52"/>
    </row>
    <row r="47" customFormat="false" ht="15.75" hidden="false" customHeight="true" outlineLevel="0" collapsed="false">
      <c r="B47" s="7" t="s">
        <v>1437</v>
      </c>
      <c r="C47" s="8"/>
      <c r="D47" s="8"/>
      <c r="E47" s="8"/>
      <c r="F47" s="8"/>
      <c r="G47" s="8"/>
      <c r="H47" s="8"/>
      <c r="I47" s="8"/>
      <c r="J47" s="8"/>
      <c r="K47" s="8"/>
    </row>
    <row r="48" customFormat="false" ht="16.5" hidden="false" customHeight="true" outlineLevel="0" collapsed="false">
      <c r="B48" s="11" t="s">
        <v>1438</v>
      </c>
      <c r="C48" s="11" t="s">
        <v>1439</v>
      </c>
      <c r="D48" s="11" t="s">
        <v>1440</v>
      </c>
    </row>
    <row r="49" customFormat="false" ht="16.5" hidden="false" customHeight="true" outlineLevel="0" collapsed="false">
      <c r="B49" s="12" t="s">
        <v>1574</v>
      </c>
      <c r="C49" s="12" t="s">
        <v>2810</v>
      </c>
      <c r="D49" s="12" t="s">
        <v>3075</v>
      </c>
    </row>
    <row r="50" customFormat="false" ht="30.75" hidden="false" customHeight="true" outlineLevel="0" collapsed="false">
      <c r="B50" s="12" t="s">
        <v>1834</v>
      </c>
      <c r="C50" s="12" t="s">
        <v>1835</v>
      </c>
      <c r="D50" s="12" t="s">
        <v>3076</v>
      </c>
    </row>
    <row r="51" customFormat="false" ht="30.75" hidden="false" customHeight="true" outlineLevel="0" collapsed="false">
      <c r="B51" s="12" t="s">
        <v>1571</v>
      </c>
      <c r="C51" s="12" t="s">
        <v>1837</v>
      </c>
      <c r="D51" s="12" t="s">
        <v>3077</v>
      </c>
    </row>
    <row r="52" customFormat="false" ht="16.5" hidden="false" customHeight="true" outlineLevel="0" collapsed="false">
      <c r="B52" s="12" t="s">
        <v>2667</v>
      </c>
      <c r="C52" s="12" t="s">
        <v>2668</v>
      </c>
      <c r="D52" s="12" t="s">
        <v>3078</v>
      </c>
    </row>
    <row r="53" customFormat="false" ht="28.5" hidden="false" customHeight="true" outlineLevel="0" collapsed="false">
      <c r="B53" s="16" t="s">
        <v>1453</v>
      </c>
      <c r="C53" s="16"/>
      <c r="D53" s="16"/>
      <c r="E53" s="16"/>
      <c r="F53" s="16"/>
    </row>
    <row r="55" customFormat="false" ht="15.75" hidden="false" customHeight="true" outlineLevel="0" collapsed="false">
      <c r="B55" s="7" t="s">
        <v>1454</v>
      </c>
      <c r="C55" s="8"/>
      <c r="D55" s="8"/>
      <c r="E55" s="8"/>
      <c r="F55" s="8"/>
      <c r="G55" s="8"/>
      <c r="H55" s="8"/>
      <c r="I55" s="8"/>
      <c r="J55" s="8"/>
      <c r="K55" s="8"/>
    </row>
    <row r="56" customFormat="false" ht="15.75" hidden="false" customHeight="true" outlineLevel="0" collapsed="false">
      <c r="B56" s="9" t="s">
        <v>3079</v>
      </c>
      <c r="C56" s="9"/>
      <c r="D56" s="9"/>
      <c r="E56" s="9"/>
      <c r="F56" s="9"/>
    </row>
    <row r="57" customFormat="false" ht="15.75" hidden="false" customHeight="true" outlineLevel="0" collapsed="false">
      <c r="B57" s="9"/>
      <c r="C57" s="9"/>
      <c r="D57" s="9"/>
      <c r="E57" s="9"/>
      <c r="F57" s="9"/>
    </row>
    <row r="58" customFormat="false" ht="15" hidden="false" customHeight="true" outlineLevel="0" collapsed="false">
      <c r="B58" s="19" t="s">
        <v>85</v>
      </c>
      <c r="C58" s="41" t="s">
        <v>86</v>
      </c>
    </row>
    <row r="60" customFormat="false" ht="15" hidden="false" customHeight="true" outlineLevel="0" collapsed="false">
      <c r="B60" s="10" t="s">
        <v>2228</v>
      </c>
      <c r="C60" s="75" t="n">
        <v>0.05</v>
      </c>
    </row>
    <row r="61" customFormat="false" ht="15" hidden="false" customHeight="true" outlineLevel="0" collapsed="false">
      <c r="B61" s="10" t="s">
        <v>3080</v>
      </c>
      <c r="C61" s="61" t="n">
        <v>1</v>
      </c>
    </row>
    <row r="62" customFormat="false" ht="15" hidden="false" customHeight="true" outlineLevel="0" collapsed="false">
      <c r="B62" s="10" t="s">
        <v>3081</v>
      </c>
      <c r="C62" s="61" t="n">
        <v>1.1</v>
      </c>
    </row>
    <row r="63" customFormat="false" ht="15" hidden="false" customHeight="true" outlineLevel="0" collapsed="false">
      <c r="B63" s="10" t="s">
        <v>3082</v>
      </c>
      <c r="C63" s="65" t="n">
        <v>25</v>
      </c>
    </row>
    <row r="64" customFormat="false" ht="15" hidden="false" customHeight="true" outlineLevel="0" collapsed="false">
      <c r="B64" s="10" t="s">
        <v>3083</v>
      </c>
      <c r="C64" s="62" t="n">
        <v>0.8</v>
      </c>
    </row>
    <row r="66" customFormat="false" ht="15" hidden="false" customHeight="true" outlineLevel="0" collapsed="false">
      <c r="B66" s="10" t="s">
        <v>3084</v>
      </c>
      <c r="C66" s="66" t="n">
        <f aca="false">NORMSINV(1-C60/2)</f>
        <v>1.95996398454005</v>
      </c>
    </row>
    <row r="67" customFormat="false" ht="15" hidden="false" customHeight="true" outlineLevel="0" collapsed="false">
      <c r="B67" s="10" t="s">
        <v>3085</v>
      </c>
      <c r="C67" s="66" t="n">
        <f aca="false">C61/(C62/SQRT(C63))</f>
        <v>4.54545454545455</v>
      </c>
    </row>
    <row r="68" customFormat="false" ht="15" hidden="false" customHeight="true" outlineLevel="0" collapsed="false">
      <c r="B68" s="10" t="s">
        <v>3086</v>
      </c>
      <c r="C68" s="76" t="n">
        <f aca="false">1-NORMSDIST(C66-C67)+NORMSDIST(-C66-C67)</f>
        <v>0.995137973273644</v>
      </c>
    </row>
    <row r="69" customFormat="false" ht="15" hidden="false" customHeight="true" outlineLevel="0" collapsed="false">
      <c r="B69" s="10" t="s">
        <v>3087</v>
      </c>
      <c r="C69" s="76" t="n">
        <f aca="false">1-C68</f>
        <v>0.00486202672635638</v>
      </c>
    </row>
    <row r="70" customFormat="false" ht="15" hidden="false" customHeight="true" outlineLevel="0" collapsed="false">
      <c r="B70" s="10" t="s">
        <v>3088</v>
      </c>
      <c r="C70" s="63" t="n">
        <f aca="false">(C66+NORMSINV(C64))*C62/SQRT(C63)</f>
        <v>0.616348747984853</v>
      </c>
    </row>
    <row r="71" customFormat="false" ht="15" hidden="false" customHeight="true" outlineLevel="0" collapsed="false">
      <c r="B71" s="10" t="s">
        <v>3089</v>
      </c>
      <c r="C71" s="44" t="n">
        <f aca="false">ROUNDUP(((C66+NORMSINV(C64))*C62/C61)^2,0)</f>
        <v>10</v>
      </c>
    </row>
    <row r="72" customFormat="false" ht="15" hidden="false" customHeight="true" outlineLevel="0" collapsed="false">
      <c r="B72" s="10" t="s">
        <v>3090</v>
      </c>
      <c r="C72" s="44" t="n">
        <f aca="false">MAX(0,C71-C63)</f>
        <v>0</v>
      </c>
    </row>
    <row r="74" customFormat="false" ht="15.75" hidden="false" customHeight="true" outlineLevel="0" collapsed="false">
      <c r="B74" s="7" t="s">
        <v>3091</v>
      </c>
      <c r="C74" s="8"/>
      <c r="D74" s="8"/>
      <c r="E74" s="8"/>
      <c r="F74" s="8"/>
      <c r="G74" s="8"/>
      <c r="H74" s="8"/>
      <c r="I74" s="8"/>
      <c r="J74" s="8"/>
      <c r="K74" s="8"/>
    </row>
    <row r="75" customFormat="false" ht="16.5" hidden="false" customHeight="true" outlineLevel="0" collapsed="false">
      <c r="B75" s="11" t="s">
        <v>3092</v>
      </c>
      <c r="C75" s="11" t="s">
        <v>3093</v>
      </c>
      <c r="D75" s="11" t="s">
        <v>3094</v>
      </c>
      <c r="E75" s="11" t="s">
        <v>3095</v>
      </c>
    </row>
    <row r="76" customFormat="false" ht="15" hidden="false" customHeight="true" outlineLevel="0" collapsed="false">
      <c r="B76" s="27" t="n">
        <v>5</v>
      </c>
      <c r="C76" s="63" t="n">
        <f aca="false">C61/(C62/SQRT(B76))</f>
        <v>2.03278907045435</v>
      </c>
      <c r="D76" s="76" t="n">
        <f aca="false">1-NORMSDIST(C66-C76)+NORMSDIST(-C66-C76)</f>
        <v>0.529060001146017</v>
      </c>
      <c r="E76" s="76" t="n">
        <f aca="false">1-D76</f>
        <v>0.470939998853983</v>
      </c>
    </row>
    <row r="77" customFormat="false" ht="15" hidden="false" customHeight="true" outlineLevel="0" collapsed="false">
      <c r="B77" s="27" t="n">
        <v>10</v>
      </c>
      <c r="C77" s="63" t="n">
        <f aca="false">C61/(C62/SQRT(B77))</f>
        <v>2.87479787288035</v>
      </c>
      <c r="D77" s="76" t="n">
        <f aca="false">1-NORMSDIST(C66-C77)+NORMSDIST(-C66-C77)</f>
        <v>0.81986124588011</v>
      </c>
      <c r="E77" s="76" t="n">
        <f aca="false">1-D77</f>
        <v>0.18013875411989</v>
      </c>
    </row>
    <row r="78" customFormat="false" ht="15" hidden="false" customHeight="true" outlineLevel="0" collapsed="false">
      <c r="B78" s="27" t="n">
        <v>15</v>
      </c>
      <c r="C78" s="63" t="n">
        <f aca="false">C61/(C62/SQRT(B78))</f>
        <v>3.52089395109765</v>
      </c>
      <c r="D78" s="76" t="n">
        <f aca="false">1-NORMSDIST(C66-C78)+NORMSDIST(-C66-C78)</f>
        <v>0.940729883218493</v>
      </c>
      <c r="E78" s="76" t="n">
        <f aca="false">1-D78</f>
        <v>0.0592701167815072</v>
      </c>
    </row>
    <row r="79" customFormat="false" ht="15" hidden="false" customHeight="true" outlineLevel="0" collapsed="false">
      <c r="B79" s="27" t="n">
        <v>20</v>
      </c>
      <c r="C79" s="63" t="n">
        <f aca="false">C61/(C62/SQRT(B79))</f>
        <v>4.06557814090871</v>
      </c>
      <c r="D79" s="76" t="n">
        <f aca="false">1-NORMSDIST(C66-C79)+NORMSDIST(-C66-C79)</f>
        <v>0.982381059859859</v>
      </c>
      <c r="E79" s="76" t="n">
        <f aca="false">1-D79</f>
        <v>0.0176189401401412</v>
      </c>
    </row>
    <row r="80" customFormat="false" ht="15" hidden="false" customHeight="true" outlineLevel="0" collapsed="false">
      <c r="B80" s="27" t="n">
        <v>25</v>
      </c>
      <c r="C80" s="63" t="n">
        <f aca="false">C61/(C62/SQRT(B80))</f>
        <v>4.54545454545455</v>
      </c>
      <c r="D80" s="76" t="n">
        <f aca="false">1-NORMSDIST(C66-C80)+NORMSDIST(-C66-C80)</f>
        <v>0.995137973273644</v>
      </c>
      <c r="E80" s="76" t="n">
        <f aca="false">1-D80</f>
        <v>0.00486202672635638</v>
      </c>
    </row>
    <row r="81" customFormat="false" ht="15" hidden="false" customHeight="true" outlineLevel="0" collapsed="false">
      <c r="B81" s="27" t="n">
        <v>30</v>
      </c>
      <c r="C81" s="63" t="n">
        <f aca="false">C61/(C62/SQRT(B81))</f>
        <v>4.97929597731969</v>
      </c>
      <c r="D81" s="76" t="n">
        <f aca="false">1-NORMSDIST(C66-C81)+NORMSDIST(-C66-C81)</f>
        <v>0.998733336218162</v>
      </c>
      <c r="E81" s="76" t="n">
        <f aca="false">1-D81</f>
        <v>0.00126666378183826</v>
      </c>
    </row>
    <row r="82" customFormat="false" ht="15" hidden="false" customHeight="true" outlineLevel="0" collapsed="false">
      <c r="B82" s="27" t="n">
        <v>40</v>
      </c>
      <c r="C82" s="63" t="n">
        <f aca="false">C61/(C62/SQRT(B82))</f>
        <v>5.74959574576069</v>
      </c>
      <c r="D82" s="76" t="n">
        <f aca="false">1-NORMSDIST(C66-C82)+NORMSDIST(-C66-C82)</f>
        <v>0.99992456461523</v>
      </c>
      <c r="E82" s="76" t="n">
        <f aca="false">1-D82</f>
        <v>7.54353847700617E-005</v>
      </c>
    </row>
    <row r="83" customFormat="false" ht="15" hidden="false" customHeight="true" outlineLevel="0" collapsed="false">
      <c r="B83" s="27" t="n">
        <v>50</v>
      </c>
      <c r="C83" s="63" t="n">
        <f aca="false">C61/(C62/SQRT(B83))</f>
        <v>6.42824346533225</v>
      </c>
      <c r="D83" s="76" t="n">
        <f aca="false">1-NORMSDIST(C66-C83)+NORMSDIST(-C66-C83)</f>
        <v>0.999996057437883</v>
      </c>
      <c r="E83" s="76" t="n">
        <f aca="false">1-D83</f>
        <v>3.94256211699862E-006</v>
      </c>
    </row>
    <row r="84" customFormat="false" ht="15" hidden="false" customHeight="true" outlineLevel="0" collapsed="false">
      <c r="B84" s="27" t="n">
        <v>75</v>
      </c>
      <c r="C84" s="63" t="n">
        <f aca="false">C61/(C62/SQRT(B84))</f>
        <v>7.87295821622217</v>
      </c>
      <c r="D84" s="76" t="n">
        <f aca="false">1-NORMSDIST(C66-C84)+NORMSDIST(-C66-C84)</f>
        <v>0.99999999832028</v>
      </c>
      <c r="E84" s="76" t="n">
        <f aca="false">1-D84</f>
        <v>1.6797196966678E-009</v>
      </c>
    </row>
    <row r="85" customFormat="false" ht="15" hidden="false" customHeight="true" outlineLevel="0" collapsed="false">
      <c r="B85" s="27" t="n">
        <v>100</v>
      </c>
      <c r="C85" s="63" t="n">
        <f aca="false">C61/(C62/SQRT(B85))</f>
        <v>9.09090909090909</v>
      </c>
      <c r="D85" s="76" t="n">
        <f aca="false">1-NORMSDIST(C66-C85)+NORMSDIST(-C66-C85)</f>
        <v>0.999999999999502</v>
      </c>
      <c r="E85" s="76" t="n">
        <f aca="false">1-D85</f>
        <v>4.98379115754233E-013</v>
      </c>
    </row>
    <row r="86" customFormat="false" ht="15" hidden="false" customHeight="true" outlineLevel="0" collapsed="false">
      <c r="B86" s="27" t="n">
        <v>150</v>
      </c>
      <c r="C86" s="63" t="n">
        <f aca="false">C61/(C62/SQRT(B86))</f>
        <v>11.1340442853781</v>
      </c>
      <c r="D86" s="76" t="n">
        <f aca="false">1-NORMSDIST(C66-C86)+NORMSDIST(-C66-C86)</f>
        <v>1</v>
      </c>
      <c r="E86" s="76" t="n">
        <f aca="false">1-D86</f>
        <v>0</v>
      </c>
    </row>
    <row r="87" customFormat="false" ht="15" hidden="false" customHeight="true" outlineLevel="0" collapsed="false">
      <c r="B87" s="27" t="n">
        <v>200</v>
      </c>
      <c r="C87" s="63" t="n">
        <f aca="false">C61/(C62/SQRT(B87))</f>
        <v>12.8564869306645</v>
      </c>
      <c r="D87" s="76" t="n">
        <f aca="false">1-NORMSDIST(C66-C87)+NORMSDIST(-C66-C87)</f>
        <v>1</v>
      </c>
      <c r="E87" s="76" t="n">
        <f aca="false">1-D87</f>
        <v>0</v>
      </c>
    </row>
    <row r="89" customFormat="false" ht="15.75" hidden="false" customHeight="true" outlineLevel="0" collapsed="false">
      <c r="B89" s="7" t="s">
        <v>1493</v>
      </c>
      <c r="C89" s="8"/>
      <c r="D89" s="8"/>
      <c r="E89" s="8"/>
      <c r="F89" s="8"/>
      <c r="G89" s="8"/>
      <c r="H89" s="8"/>
      <c r="I89" s="8"/>
      <c r="J89" s="8"/>
      <c r="K89" s="8"/>
    </row>
    <row r="90" customFormat="false" ht="33.75" hidden="false" customHeight="true" outlineLevel="0" collapsed="false">
      <c r="B90" s="53" t="s">
        <v>1494</v>
      </c>
      <c r="C90" s="54" t="str">
        <f aca="false">IF(C68&gt;=C64,"ADEQUATELY POWERED - this study can detect a difference of "&amp;TEXT(C61,"0.00")&amp;" ml with the power you asked for.",IF(C68&gt;=0.5,"UNDERPOWERED - roughly a coin toss. Increase n to "&amp;TEXT(C71,"0")&amp;" per group, or accept that only a difference of "&amp;TEXT(C70,"0.00")&amp;" ml or larger will be found.","SEVERELY UNDERPOWERED - a non-significant result from this study would carry no information at all."))</f>
        <v>ADEQUATELY POWERED - this study can detect a difference of 1.00 ml with the power you asked for.</v>
      </c>
      <c r="D90" s="54"/>
    </row>
    <row r="92" customFormat="false" ht="16.5" hidden="false" customHeight="true" outlineLevel="0" collapsed="false">
      <c r="B92" s="11" t="s">
        <v>1495</v>
      </c>
      <c r="C92" s="11" t="s">
        <v>1496</v>
      </c>
      <c r="D92" s="11" t="s">
        <v>1497</v>
      </c>
    </row>
    <row r="93" customFormat="false" ht="30.75" hidden="false" customHeight="true" outlineLevel="0" collapsed="false">
      <c r="B93" s="12" t="s">
        <v>3094</v>
      </c>
      <c r="C93" s="12" t="s">
        <v>3096</v>
      </c>
      <c r="D93" s="12" t="s">
        <v>3097</v>
      </c>
    </row>
    <row r="94" customFormat="false" ht="30.75" hidden="false" customHeight="true" outlineLevel="0" collapsed="false">
      <c r="B94" s="12" t="s">
        <v>3094</v>
      </c>
      <c r="C94" s="12" t="s">
        <v>3098</v>
      </c>
      <c r="D94" s="12" t="s">
        <v>3099</v>
      </c>
    </row>
    <row r="95" customFormat="false" ht="30.75" hidden="false" customHeight="true" outlineLevel="0" collapsed="false">
      <c r="B95" s="12" t="s">
        <v>3095</v>
      </c>
      <c r="C95" s="12" t="s">
        <v>3100</v>
      </c>
      <c r="D95" s="12" t="s">
        <v>3101</v>
      </c>
    </row>
    <row r="96" customFormat="false" ht="30.75" hidden="false" customHeight="true" outlineLevel="0" collapsed="false">
      <c r="B96" s="12" t="s">
        <v>1602</v>
      </c>
      <c r="C96" s="12" t="s">
        <v>3102</v>
      </c>
      <c r="D96" s="12" t="s">
        <v>3103</v>
      </c>
    </row>
    <row r="98" customFormat="false" ht="15" hidden="false" customHeight="true" outlineLevel="0" collapsed="false">
      <c r="B98" s="55" t="s">
        <v>1507</v>
      </c>
    </row>
    <row r="99" customFormat="false" ht="31.5" hidden="false" customHeight="true" outlineLevel="0" collapsed="false">
      <c r="B99" s="9" t="s">
        <v>3104</v>
      </c>
      <c r="C99" s="9"/>
      <c r="D99" s="9"/>
      <c r="E99" s="9"/>
      <c r="F99" s="9"/>
    </row>
    <row r="100" customFormat="false" ht="17.25" hidden="false" customHeight="true" outlineLevel="0" collapsed="false">
      <c r="B100" s="9" t="s">
        <v>3105</v>
      </c>
      <c r="C100" s="9"/>
      <c r="D100" s="9"/>
      <c r="E100" s="9"/>
      <c r="F100" s="9"/>
    </row>
    <row r="101" customFormat="false" ht="31.5" hidden="false" customHeight="true" outlineLevel="0" collapsed="false">
      <c r="B101" s="9" t="s">
        <v>3106</v>
      </c>
      <c r="C101" s="9"/>
      <c r="D101" s="9"/>
      <c r="E101" s="9"/>
      <c r="F101" s="9"/>
    </row>
    <row r="102" customFormat="false" ht="17.25" hidden="false" customHeight="true" outlineLevel="0" collapsed="false">
      <c r="B102" s="9" t="s">
        <v>3107</v>
      </c>
      <c r="C102" s="9"/>
      <c r="D102" s="9"/>
      <c r="E102" s="9"/>
      <c r="F102" s="9"/>
    </row>
    <row r="103" customFormat="false" ht="17.25" hidden="false" customHeight="true" outlineLevel="0" collapsed="false">
      <c r="B103" s="9" t="s">
        <v>3108</v>
      </c>
      <c r="C103" s="9"/>
      <c r="D103" s="9"/>
      <c r="E103" s="9"/>
      <c r="F103" s="9"/>
    </row>
    <row r="105" customFormat="false" ht="15.75" hidden="false" customHeight="true" outlineLevel="0" collapsed="false">
      <c r="B105" s="7" t="s">
        <v>1513</v>
      </c>
      <c r="C105" s="8"/>
      <c r="D105" s="8"/>
      <c r="E105" s="8"/>
      <c r="F105" s="8"/>
      <c r="G105" s="8"/>
      <c r="H105" s="8"/>
      <c r="I105" s="8"/>
      <c r="J105" s="8"/>
      <c r="K105" s="8"/>
    </row>
    <row r="106" customFormat="false" ht="17.25" hidden="false" customHeight="true" outlineLevel="0" collapsed="false">
      <c r="B106" s="9" t="s">
        <v>1514</v>
      </c>
      <c r="C106" s="9"/>
      <c r="D106" s="9"/>
      <c r="E106" s="9"/>
      <c r="N106" s="56" t="s">
        <v>1515</v>
      </c>
    </row>
    <row r="107" customFormat="false" ht="17.25" hidden="false" customHeight="true" outlineLevel="0" collapsed="false">
      <c r="B107" s="9" t="s">
        <v>3109</v>
      </c>
      <c r="C107" s="9"/>
      <c r="D107" s="9"/>
      <c r="E107" s="9"/>
      <c r="N107" s="57" t="s">
        <v>3110</v>
      </c>
    </row>
    <row r="108" customFormat="false" ht="17.25" hidden="false" customHeight="true" outlineLevel="0" collapsed="false">
      <c r="B108" s="9" t="s">
        <v>3111</v>
      </c>
      <c r="C108" s="9"/>
      <c r="D108" s="9"/>
      <c r="E108" s="9"/>
      <c r="N108" s="57" t="s">
        <v>3112</v>
      </c>
    </row>
    <row r="109" customFormat="false" ht="17.25" hidden="false" customHeight="true" outlineLevel="0" collapsed="false">
      <c r="B109" s="9" t="s">
        <v>3113</v>
      </c>
      <c r="C109" s="9"/>
      <c r="D109" s="9"/>
      <c r="E109" s="9"/>
      <c r="N109" s="57" t="s">
        <v>3114</v>
      </c>
    </row>
    <row r="111" customFormat="false" ht="15.75" hidden="false" customHeight="true" outlineLevel="0" collapsed="false">
      <c r="B111" s="7" t="s">
        <v>1522</v>
      </c>
      <c r="C111" s="8"/>
      <c r="D111" s="8"/>
      <c r="E111" s="8"/>
      <c r="F111" s="8"/>
      <c r="G111" s="8"/>
      <c r="H111" s="8"/>
      <c r="I111" s="8"/>
      <c r="J111" s="8"/>
      <c r="K111" s="8"/>
    </row>
    <row r="112" customFormat="false" ht="16.5" hidden="false" customHeight="true" outlineLevel="0" collapsed="false">
      <c r="B112" s="11" t="s">
        <v>1523</v>
      </c>
      <c r="C112" s="11" t="s">
        <v>1524</v>
      </c>
      <c r="D112" s="11" t="s">
        <v>1615</v>
      </c>
    </row>
    <row r="113" customFormat="false" ht="30.75" hidden="false" customHeight="true" outlineLevel="0" collapsed="false">
      <c r="B113" s="58" t="s">
        <v>2888</v>
      </c>
      <c r="C113" s="58" t="s">
        <v>973</v>
      </c>
      <c r="D113" s="58" t="s">
        <v>1194</v>
      </c>
    </row>
  </sheetData>
  <mergeCells count="39">
    <mergeCell ref="B2:J2"/>
    <mergeCell ref="D3:E3"/>
    <mergeCell ref="C6:D6"/>
    <mergeCell ref="C7:D7"/>
    <mergeCell ref="C8:D8"/>
    <mergeCell ref="B11:F11"/>
    <mergeCell ref="B12:F13"/>
    <mergeCell ref="B14:F15"/>
    <mergeCell ref="B16:F16"/>
    <mergeCell ref="B17:F18"/>
    <mergeCell ref="B19:F21"/>
    <mergeCell ref="B24:D24"/>
    <mergeCell ref="E24:F24"/>
    <mergeCell ref="B25:D25"/>
    <mergeCell ref="E25:F25"/>
    <mergeCell ref="B26:D26"/>
    <mergeCell ref="E26:F26"/>
    <mergeCell ref="B27:D27"/>
    <mergeCell ref="E27:F27"/>
    <mergeCell ref="B28:F28"/>
    <mergeCell ref="B37:F37"/>
    <mergeCell ref="B38:F39"/>
    <mergeCell ref="B40:F40"/>
    <mergeCell ref="B41:F42"/>
    <mergeCell ref="B43:F43"/>
    <mergeCell ref="B44:F44"/>
    <mergeCell ref="B45:F45"/>
    <mergeCell ref="B53:F53"/>
    <mergeCell ref="B56:F57"/>
    <mergeCell ref="C90:D90"/>
    <mergeCell ref="B99:F99"/>
    <mergeCell ref="B100:F100"/>
    <mergeCell ref="B101:F101"/>
    <mergeCell ref="B102:F102"/>
    <mergeCell ref="B103:F103"/>
    <mergeCell ref="B106:E106"/>
    <mergeCell ref="B107:E107"/>
    <mergeCell ref="B108:E108"/>
    <mergeCell ref="B109:E109"/>
  </mergeCells>
  <hyperlinks>
    <hyperlink ref="B3" location="'N-03 Index DMAIC'!A1" display="← Back to Index"/>
    <hyperlink ref="E31" location="'E-21 Statistical vs Practical'!A1" display="E-21  Statistical vs Practical Significance"/>
    <hyperlink ref="E32" location="'E-16 CI Proportion StdDev'!A1" display="E-16  Confidence Intervals for Proportion and Std Dev"/>
    <hyperlink ref="E33" location="'E-17 Hypothesis Framework'!A1" display="E-17  The Hypothesis Testing Framework"/>
    <hyperlink ref="B113" location="'E-18 The p-Value'!A1" display="E-18  Understanding the p-Value (and What It Is Not)"/>
    <hyperlink ref="C113" location="'E-20 Sample Size'!A1" display="E-20  Sample Size Determination"/>
    <hyperlink ref="D113" location="'E-21 Statistical vs Practical'!A1" display="E-21  Statistical vs Practical Significan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3115</v>
      </c>
      <c r="C2" s="3"/>
      <c r="D2" s="3"/>
      <c r="E2" s="3"/>
      <c r="F2" s="3"/>
      <c r="G2" s="3"/>
      <c r="H2" s="3"/>
      <c r="I2" s="3"/>
      <c r="J2" s="3"/>
      <c r="K2" s="46" t="s">
        <v>1389</v>
      </c>
    </row>
    <row r="3" customFormat="false" ht="42" hidden="false" customHeight="true" outlineLevel="0" collapsed="false">
      <c r="B3" s="5" t="s">
        <v>3</v>
      </c>
      <c r="D3" s="6" t="s">
        <v>3116</v>
      </c>
      <c r="E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303</v>
      </c>
      <c r="D6" s="9"/>
    </row>
    <row r="7" customFormat="false" ht="31.5" hidden="false" customHeight="true" outlineLevel="0" collapsed="false">
      <c r="B7" s="47" t="s">
        <v>1394</v>
      </c>
      <c r="C7" s="9" t="s">
        <v>3117</v>
      </c>
      <c r="D7" s="9"/>
    </row>
    <row r="8" customFormat="false" ht="31.5" hidden="false" customHeight="true" outlineLevel="0" collapsed="false">
      <c r="B8" s="47" t="s">
        <v>1396</v>
      </c>
      <c r="C8" s="9" t="s">
        <v>3118</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5.75" hidden="false" customHeight="true" outlineLevel="0" collapsed="false">
      <c r="B11" s="9" t="s">
        <v>3119</v>
      </c>
      <c r="C11" s="9"/>
      <c r="D11" s="9"/>
      <c r="E11" s="9"/>
      <c r="F11" s="9"/>
    </row>
    <row r="12" customFormat="false" ht="15.75" hidden="false" customHeight="true" outlineLevel="0" collapsed="false">
      <c r="B12" s="9"/>
      <c r="C12" s="9"/>
      <c r="D12" s="9"/>
      <c r="E12" s="9"/>
      <c r="F12" s="9"/>
    </row>
    <row r="13" customFormat="false" ht="10.5" hidden="false" customHeight="true" outlineLevel="0" collapsed="false">
      <c r="B13" s="9" t="s">
        <v>3120</v>
      </c>
      <c r="C13" s="9"/>
      <c r="D13" s="9"/>
      <c r="E13" s="9"/>
      <c r="F13" s="9"/>
    </row>
    <row r="14" customFormat="false" ht="10.5" hidden="false" customHeight="true" outlineLevel="0" collapsed="false">
      <c r="B14" s="9"/>
      <c r="C14" s="9"/>
      <c r="D14" s="9"/>
      <c r="E14" s="9"/>
      <c r="F14" s="9"/>
    </row>
    <row r="15" customFormat="false" ht="10.5" hidden="false" customHeight="true" outlineLevel="0" collapsed="false">
      <c r="B15" s="9"/>
      <c r="C15" s="9"/>
      <c r="D15" s="9"/>
      <c r="E15" s="9"/>
      <c r="F15" s="9"/>
    </row>
    <row r="16" customFormat="false" ht="17.25" hidden="false" customHeight="true" outlineLevel="0" collapsed="false">
      <c r="B16" s="9" t="s">
        <v>3121</v>
      </c>
      <c r="C16" s="9"/>
      <c r="D16" s="9"/>
      <c r="E16" s="9"/>
      <c r="F16" s="9"/>
    </row>
    <row r="17" customFormat="false" ht="15.75" hidden="false" customHeight="true" outlineLevel="0" collapsed="false">
      <c r="B17" s="9" t="s">
        <v>3122</v>
      </c>
      <c r="C17" s="9"/>
      <c r="D17" s="9"/>
      <c r="E17" s="9"/>
      <c r="F17" s="9"/>
    </row>
    <row r="18" customFormat="false" ht="15.75" hidden="false" customHeight="true" outlineLevel="0" collapsed="false">
      <c r="B18" s="9"/>
      <c r="C18" s="9"/>
      <c r="D18" s="9"/>
      <c r="E18" s="9"/>
      <c r="F18" s="9"/>
    </row>
    <row r="19" customFormat="false" ht="15.75" hidden="false" customHeight="true" outlineLevel="0" collapsed="false">
      <c r="B19" s="9" t="s">
        <v>3123</v>
      </c>
      <c r="C19" s="9"/>
      <c r="D19" s="9"/>
      <c r="E19" s="9"/>
      <c r="F19" s="9"/>
    </row>
    <row r="20" customFormat="false" ht="15.75" hidden="false" customHeight="true" outlineLevel="0" collapsed="false">
      <c r="B20" s="9"/>
      <c r="C20" s="9"/>
      <c r="D20" s="9"/>
      <c r="E20" s="9"/>
      <c r="F20" s="9"/>
    </row>
    <row r="21" customFormat="false" ht="15.75" hidden="false" customHeight="true" outlineLevel="0" collapsed="false">
      <c r="B21" s="9" t="s">
        <v>3124</v>
      </c>
      <c r="C21" s="9"/>
      <c r="D21" s="9"/>
      <c r="E21" s="9"/>
      <c r="F21" s="9"/>
    </row>
    <row r="22" customFormat="false" ht="15.75" hidden="false" customHeight="true" outlineLevel="0" collapsed="false">
      <c r="B22" s="9"/>
      <c r="C22" s="9"/>
      <c r="D22" s="9"/>
      <c r="E22" s="9"/>
      <c r="F22" s="9"/>
    </row>
    <row r="24" customFormat="false" ht="15.75" hidden="false" customHeight="true" outlineLevel="0" collapsed="false">
      <c r="B24" s="7" t="s">
        <v>1406</v>
      </c>
      <c r="C24" s="8"/>
      <c r="D24" s="8"/>
      <c r="E24" s="8"/>
      <c r="F24" s="8"/>
      <c r="G24" s="8"/>
      <c r="H24" s="8"/>
      <c r="I24" s="8"/>
      <c r="J24" s="8"/>
      <c r="K24" s="8"/>
    </row>
    <row r="25" customFormat="false" ht="17.25" hidden="false" customHeight="true" outlineLevel="0" collapsed="false">
      <c r="B25" s="48" t="s">
        <v>1407</v>
      </c>
      <c r="C25" s="48"/>
      <c r="D25" s="48"/>
      <c r="E25" s="49" t="s">
        <v>1408</v>
      </c>
      <c r="F25" s="49"/>
    </row>
    <row r="26" customFormat="false" ht="45.75" hidden="false" customHeight="true" outlineLevel="0" collapsed="false">
      <c r="B26" s="23" t="s">
        <v>3125</v>
      </c>
      <c r="C26" s="23"/>
      <c r="D26" s="23"/>
      <c r="E26" s="23" t="s">
        <v>3126</v>
      </c>
      <c r="F26" s="23"/>
    </row>
    <row r="27" customFormat="false" ht="31.5" hidden="false" customHeight="true" outlineLevel="0" collapsed="false">
      <c r="B27" s="23" t="s">
        <v>3127</v>
      </c>
      <c r="C27" s="23"/>
      <c r="D27" s="23"/>
      <c r="E27" s="23" t="s">
        <v>3128</v>
      </c>
      <c r="F27" s="23"/>
    </row>
    <row r="28" customFormat="false" ht="31.5" hidden="false" customHeight="true" outlineLevel="0" collapsed="false">
      <c r="B28" s="23" t="s">
        <v>3129</v>
      </c>
      <c r="C28" s="23"/>
      <c r="D28" s="23"/>
      <c r="E28" s="23" t="s">
        <v>3130</v>
      </c>
      <c r="F28" s="23"/>
    </row>
    <row r="29" customFormat="false" ht="17.25" hidden="false" customHeight="true" outlineLevel="0" collapsed="false">
      <c r="B29" s="23" t="s">
        <v>3131</v>
      </c>
      <c r="C29" s="23"/>
      <c r="D29" s="23"/>
      <c r="E29" s="23"/>
      <c r="F29" s="23"/>
    </row>
    <row r="31" customFormat="false" ht="16.5" hidden="false" customHeight="true" outlineLevel="0" collapsed="false">
      <c r="B31" s="11" t="s">
        <v>1416</v>
      </c>
      <c r="C31" s="11" t="s">
        <v>1417</v>
      </c>
      <c r="D31" s="11" t="s">
        <v>1418</v>
      </c>
      <c r="E31" s="11" t="s">
        <v>1419</v>
      </c>
    </row>
    <row r="32" customFormat="false" ht="44.25" hidden="false" customHeight="true" outlineLevel="0" collapsed="false">
      <c r="B32" s="12" t="s">
        <v>3132</v>
      </c>
      <c r="C32" s="12" t="s">
        <v>3133</v>
      </c>
      <c r="D32" s="12" t="s">
        <v>3134</v>
      </c>
      <c r="E32" s="50" t="s">
        <v>2015</v>
      </c>
    </row>
    <row r="33" customFormat="false" ht="44.25" hidden="false" customHeight="true" outlineLevel="0" collapsed="false">
      <c r="B33" s="12" t="s">
        <v>3135</v>
      </c>
      <c r="C33" s="12" t="s">
        <v>3136</v>
      </c>
      <c r="D33" s="12" t="s">
        <v>3137</v>
      </c>
      <c r="E33" s="50" t="s">
        <v>1194</v>
      </c>
    </row>
    <row r="34" customFormat="false" ht="44.25" hidden="false" customHeight="true" outlineLevel="0" collapsed="false">
      <c r="B34" s="12" t="s">
        <v>3138</v>
      </c>
      <c r="C34" s="12" t="s">
        <v>3139</v>
      </c>
      <c r="D34" s="12" t="s">
        <v>3140</v>
      </c>
      <c r="E34" s="50" t="s">
        <v>1546</v>
      </c>
    </row>
    <row r="36" customFormat="false" ht="15.75" hidden="false" customHeight="true" outlineLevel="0" collapsed="false">
      <c r="B36" s="7" t="s">
        <v>1429</v>
      </c>
      <c r="C36" s="8"/>
      <c r="D36" s="8"/>
      <c r="E36" s="8"/>
      <c r="F36" s="8"/>
      <c r="G36" s="8"/>
      <c r="H36" s="8"/>
      <c r="I36" s="8"/>
      <c r="J36" s="8"/>
      <c r="K36" s="8"/>
    </row>
    <row r="37" customFormat="false" ht="17.25" hidden="false" customHeight="true" outlineLevel="0" collapsed="false">
      <c r="B37" s="51" t="s">
        <v>3141</v>
      </c>
      <c r="C37" s="51"/>
      <c r="D37" s="51"/>
      <c r="E37" s="51"/>
      <c r="F37" s="51"/>
    </row>
    <row r="38" customFormat="false" ht="17.25" hidden="false" customHeight="true" outlineLevel="0" collapsed="false">
      <c r="B38" s="52" t="s">
        <v>3142</v>
      </c>
      <c r="C38" s="52"/>
      <c r="D38" s="52"/>
      <c r="E38" s="52"/>
      <c r="F38" s="52"/>
    </row>
    <row r="39" customFormat="false" ht="17.25" hidden="false" customHeight="true" outlineLevel="0" collapsed="false">
      <c r="B39" s="51" t="s">
        <v>3143</v>
      </c>
      <c r="C39" s="51"/>
      <c r="D39" s="51"/>
      <c r="E39" s="51"/>
      <c r="F39" s="51"/>
    </row>
    <row r="40" customFormat="false" ht="17.25" hidden="false" customHeight="true" outlineLevel="0" collapsed="false">
      <c r="B40" s="52" t="s">
        <v>3144</v>
      </c>
      <c r="C40" s="52"/>
      <c r="D40" s="52"/>
      <c r="E40" s="52"/>
      <c r="F40" s="52"/>
    </row>
    <row r="41" customFormat="false" ht="17.25" hidden="false" customHeight="true" outlineLevel="0" collapsed="false">
      <c r="B41" s="51" t="s">
        <v>3145</v>
      </c>
      <c r="C41" s="51"/>
      <c r="D41" s="51"/>
      <c r="E41" s="51"/>
      <c r="F41" s="51"/>
    </row>
    <row r="42" customFormat="false" ht="17.25" hidden="false" customHeight="true" outlineLevel="0" collapsed="false">
      <c r="B42" s="52" t="s">
        <v>3146</v>
      </c>
      <c r="C42" s="52"/>
      <c r="D42" s="52"/>
      <c r="E42" s="52"/>
      <c r="F42" s="52"/>
    </row>
    <row r="43" customFormat="false" ht="17.25" hidden="false" customHeight="true" outlineLevel="0" collapsed="false">
      <c r="B43" s="51" t="s">
        <v>3147</v>
      </c>
      <c r="C43" s="51"/>
      <c r="D43" s="51"/>
      <c r="E43" s="51"/>
      <c r="F43" s="51"/>
    </row>
    <row r="44" customFormat="false" ht="17.25" hidden="false" customHeight="true" outlineLevel="0" collapsed="false">
      <c r="B44" s="52" t="s">
        <v>3148</v>
      </c>
      <c r="C44" s="52"/>
      <c r="D44" s="52"/>
      <c r="E44" s="52"/>
      <c r="F44" s="52"/>
    </row>
    <row r="45" customFormat="false" ht="15" hidden="false" customHeight="true" outlineLevel="0" collapsed="false">
      <c r="B45" s="47" t="s">
        <v>3149</v>
      </c>
    </row>
    <row r="47" customFormat="false" ht="15.75" hidden="false" customHeight="true" outlineLevel="0" collapsed="false">
      <c r="B47" s="7" t="s">
        <v>1437</v>
      </c>
      <c r="C47" s="8"/>
      <c r="D47" s="8"/>
      <c r="E47" s="8"/>
      <c r="F47" s="8"/>
      <c r="G47" s="8"/>
      <c r="H47" s="8"/>
      <c r="I47" s="8"/>
      <c r="J47" s="8"/>
      <c r="K47" s="8"/>
    </row>
    <row r="48" customFormat="false" ht="16.5" hidden="false" customHeight="true" outlineLevel="0" collapsed="false">
      <c r="B48" s="11" t="s">
        <v>1438</v>
      </c>
      <c r="C48" s="11" t="s">
        <v>1439</v>
      </c>
      <c r="D48" s="11" t="s">
        <v>1440</v>
      </c>
    </row>
    <row r="49" customFormat="false" ht="30.75" hidden="false" customHeight="true" outlineLevel="0" collapsed="false">
      <c r="B49" s="12" t="s">
        <v>1574</v>
      </c>
      <c r="C49" s="12" t="s">
        <v>2810</v>
      </c>
      <c r="D49" s="12" t="s">
        <v>1590</v>
      </c>
    </row>
    <row r="50" customFormat="false" ht="30.75" hidden="false" customHeight="true" outlineLevel="0" collapsed="false">
      <c r="B50" s="12" t="s">
        <v>1574</v>
      </c>
      <c r="C50" s="12" t="s">
        <v>3150</v>
      </c>
      <c r="D50" s="12" t="s">
        <v>3151</v>
      </c>
    </row>
    <row r="51" customFormat="false" ht="30.75" hidden="false" customHeight="true" outlineLevel="0" collapsed="false">
      <c r="B51" s="12" t="s">
        <v>2208</v>
      </c>
      <c r="C51" s="12" t="s">
        <v>3152</v>
      </c>
      <c r="D51" s="12" t="s">
        <v>3153</v>
      </c>
    </row>
    <row r="52" customFormat="false" ht="30.75" hidden="false" customHeight="true" outlineLevel="0" collapsed="false">
      <c r="B52" s="12" t="s">
        <v>2667</v>
      </c>
      <c r="C52" s="12" t="s">
        <v>2668</v>
      </c>
      <c r="D52" s="12" t="s">
        <v>3154</v>
      </c>
    </row>
    <row r="53" customFormat="false" ht="30.75" hidden="false" customHeight="true" outlineLevel="0" collapsed="false">
      <c r="B53" s="12" t="s">
        <v>2588</v>
      </c>
      <c r="C53" s="12" t="s">
        <v>3155</v>
      </c>
      <c r="D53" s="12" t="s">
        <v>3156</v>
      </c>
    </row>
    <row r="54" customFormat="false" ht="28.5" hidden="false" customHeight="true" outlineLevel="0" collapsed="false">
      <c r="B54" s="16" t="s">
        <v>1453</v>
      </c>
      <c r="C54" s="16"/>
      <c r="D54" s="16"/>
      <c r="E54" s="16"/>
      <c r="F54" s="16"/>
    </row>
    <row r="56" customFormat="false" ht="15.75" hidden="false" customHeight="true" outlineLevel="0" collapsed="false">
      <c r="B56" s="7" t="s">
        <v>1454</v>
      </c>
      <c r="C56" s="8"/>
      <c r="D56" s="8"/>
      <c r="E56" s="8"/>
      <c r="F56" s="8"/>
      <c r="G56" s="8"/>
      <c r="H56" s="8"/>
      <c r="I56" s="8"/>
      <c r="J56" s="8"/>
      <c r="K56" s="8"/>
    </row>
    <row r="57" customFormat="false" ht="17.25" hidden="false" customHeight="true" outlineLevel="0" collapsed="false">
      <c r="B57" s="9" t="s">
        <v>3157</v>
      </c>
      <c r="C57" s="9"/>
      <c r="D57" s="9"/>
      <c r="E57" s="9"/>
      <c r="F57" s="9"/>
    </row>
    <row r="58" customFormat="false" ht="17.25" hidden="false" customHeight="true" outlineLevel="0" collapsed="false">
      <c r="B58" s="9" t="s">
        <v>3158</v>
      </c>
      <c r="C58" s="9"/>
      <c r="D58" s="9"/>
      <c r="E58" s="9"/>
      <c r="F58" s="9"/>
    </row>
    <row r="59" customFormat="false" ht="15" hidden="false" customHeight="true" outlineLevel="0" collapsed="false">
      <c r="B59" s="19" t="s">
        <v>85</v>
      </c>
      <c r="C59" s="41" t="s">
        <v>86</v>
      </c>
    </row>
    <row r="61" customFormat="false" ht="15.75" hidden="false" customHeight="true" outlineLevel="0" collapsed="false">
      <c r="B61" s="7" t="s">
        <v>3159</v>
      </c>
      <c r="C61" s="8"/>
      <c r="D61" s="8"/>
      <c r="E61" s="8"/>
      <c r="F61" s="8"/>
      <c r="G61" s="8"/>
      <c r="H61" s="8"/>
      <c r="I61" s="8"/>
      <c r="J61" s="8"/>
      <c r="K61" s="8"/>
    </row>
    <row r="62" customFormat="false" ht="15" hidden="false" customHeight="true" outlineLevel="0" collapsed="false">
      <c r="B62" s="10" t="s">
        <v>2946</v>
      </c>
      <c r="C62" s="75" t="n">
        <v>0.05</v>
      </c>
    </row>
    <row r="63" customFormat="false" ht="15" hidden="false" customHeight="true" outlineLevel="0" collapsed="false">
      <c r="B63" s="10" t="s">
        <v>3160</v>
      </c>
      <c r="C63" s="61" t="n">
        <v>1.1</v>
      </c>
    </row>
    <row r="64" customFormat="false" ht="15" hidden="false" customHeight="true" outlineLevel="0" collapsed="false">
      <c r="B64" s="10" t="s">
        <v>3161</v>
      </c>
      <c r="C64" s="61" t="n">
        <v>0.4</v>
      </c>
    </row>
    <row r="65" customFormat="false" ht="15" hidden="false" customHeight="true" outlineLevel="0" collapsed="false">
      <c r="B65" s="10" t="s">
        <v>2822</v>
      </c>
      <c r="C65" s="66" t="n">
        <f aca="false">NORMSINV(1-C62/2)</f>
        <v>1.95996398454005</v>
      </c>
    </row>
    <row r="66" customFormat="false" ht="15" hidden="false" customHeight="true" outlineLevel="0" collapsed="false">
      <c r="B66" s="10" t="s">
        <v>3162</v>
      </c>
      <c r="C66" s="44" t="n">
        <f aca="false">ROUNDUP((C65*C63/C64)^2,0)</f>
        <v>30</v>
      </c>
    </row>
    <row r="68" customFormat="false" ht="15.75" hidden="false" customHeight="true" outlineLevel="0" collapsed="false">
      <c r="B68" s="7" t="s">
        <v>3163</v>
      </c>
      <c r="C68" s="8"/>
      <c r="D68" s="8"/>
      <c r="E68" s="8"/>
      <c r="F68" s="8"/>
      <c r="G68" s="8"/>
      <c r="H68" s="8"/>
      <c r="I68" s="8"/>
      <c r="J68" s="8"/>
      <c r="K68" s="8"/>
    </row>
    <row r="69" customFormat="false" ht="15" hidden="false" customHeight="true" outlineLevel="0" collapsed="false">
      <c r="B69" s="10" t="s">
        <v>2946</v>
      </c>
      <c r="C69" s="75" t="n">
        <v>0.05</v>
      </c>
    </row>
    <row r="70" customFormat="false" ht="15" hidden="false" customHeight="true" outlineLevel="0" collapsed="false">
      <c r="B70" s="10" t="s">
        <v>3164</v>
      </c>
      <c r="C70" s="61" t="n">
        <v>1.1</v>
      </c>
    </row>
    <row r="71" customFormat="false" ht="15" hidden="false" customHeight="true" outlineLevel="0" collapsed="false">
      <c r="B71" s="10" t="s">
        <v>3161</v>
      </c>
      <c r="C71" s="61" t="n">
        <v>0.4</v>
      </c>
    </row>
    <row r="72" customFormat="false" ht="15" hidden="false" customHeight="true" outlineLevel="0" collapsed="false">
      <c r="B72" s="10" t="s">
        <v>3165</v>
      </c>
      <c r="C72" s="44" t="n">
        <f aca="false">ROUNDUP((NORMSINV(1-C69/2)*C70/C71)^2,0)</f>
        <v>30</v>
      </c>
    </row>
    <row r="73" customFormat="false" ht="15" hidden="false" customHeight="true" outlineLevel="0" collapsed="false">
      <c r="B73" s="10" t="s">
        <v>3166</v>
      </c>
      <c r="C73" s="66" t="n">
        <f aca="false">TINV(C69,MAX(1,C72-1))</f>
        <v>2.04522964213271</v>
      </c>
    </row>
    <row r="74" customFormat="false" ht="15" hidden="false" customHeight="true" outlineLevel="0" collapsed="false">
      <c r="B74" s="10" t="s">
        <v>3167</v>
      </c>
      <c r="C74" s="44" t="n">
        <f aca="false">ROUNDUP((C73*C70/C71)^2,0)</f>
        <v>32</v>
      </c>
    </row>
    <row r="76" customFormat="false" ht="15.75" hidden="false" customHeight="true" outlineLevel="0" collapsed="false">
      <c r="B76" s="7" t="s">
        <v>3168</v>
      </c>
      <c r="C76" s="8"/>
      <c r="D76" s="8"/>
      <c r="E76" s="8"/>
      <c r="F76" s="8"/>
      <c r="G76" s="8"/>
      <c r="H76" s="8"/>
      <c r="I76" s="8"/>
      <c r="J76" s="8"/>
      <c r="K76" s="8"/>
    </row>
    <row r="77" customFormat="false" ht="15" hidden="false" customHeight="true" outlineLevel="0" collapsed="false">
      <c r="B77" s="10" t="s">
        <v>2946</v>
      </c>
      <c r="C77" s="75" t="n">
        <v>0.05</v>
      </c>
    </row>
    <row r="78" customFormat="false" ht="15" hidden="false" customHeight="true" outlineLevel="0" collapsed="false">
      <c r="B78" s="10" t="s">
        <v>3169</v>
      </c>
      <c r="C78" s="75" t="n">
        <v>0.015</v>
      </c>
    </row>
    <row r="79" customFormat="false" ht="15" hidden="false" customHeight="true" outlineLevel="0" collapsed="false">
      <c r="B79" s="10" t="s">
        <v>3170</v>
      </c>
      <c r="C79" s="75" t="n">
        <v>0.005</v>
      </c>
    </row>
    <row r="80" customFormat="false" ht="15" hidden="false" customHeight="true" outlineLevel="0" collapsed="false">
      <c r="B80" s="10" t="s">
        <v>2822</v>
      </c>
      <c r="C80" s="66" t="n">
        <f aca="false">NORMSINV(1-C77/2)</f>
        <v>1.95996398454005</v>
      </c>
    </row>
    <row r="81" customFormat="false" ht="15" hidden="false" customHeight="true" outlineLevel="0" collapsed="false">
      <c r="B81" s="10" t="s">
        <v>3162</v>
      </c>
      <c r="C81" s="70" t="n">
        <f aca="false">ROUNDUP(C80^2*C78*(1-C78)/C79^2,0)</f>
        <v>2271</v>
      </c>
    </row>
    <row r="82" customFormat="false" ht="15" hidden="false" customHeight="true" outlineLevel="0" collapsed="false">
      <c r="B82" s="10" t="s">
        <v>3171</v>
      </c>
      <c r="C82" s="70" t="n">
        <f aca="false">ROUNDUP(C80^2*0.25/C79^2,0)</f>
        <v>38415</v>
      </c>
    </row>
    <row r="84" customFormat="false" ht="15.75" hidden="false" customHeight="true" outlineLevel="0" collapsed="false">
      <c r="B84" s="7" t="s">
        <v>3172</v>
      </c>
      <c r="C84" s="8"/>
      <c r="D84" s="8"/>
      <c r="E84" s="8"/>
      <c r="F84" s="8"/>
      <c r="G84" s="8"/>
      <c r="H84" s="8"/>
      <c r="I84" s="8"/>
      <c r="J84" s="8"/>
      <c r="K84" s="8"/>
    </row>
    <row r="85" customFormat="false" ht="15" hidden="false" customHeight="true" outlineLevel="0" collapsed="false">
      <c r="B85" s="10" t="s">
        <v>2946</v>
      </c>
      <c r="C85" s="75" t="n">
        <v>0.05</v>
      </c>
    </row>
    <row r="86" customFormat="false" ht="15" hidden="false" customHeight="true" outlineLevel="0" collapsed="false">
      <c r="B86" s="10" t="s">
        <v>3173</v>
      </c>
      <c r="C86" s="62" t="n">
        <v>0.8</v>
      </c>
    </row>
    <row r="87" customFormat="false" ht="15" hidden="false" customHeight="true" outlineLevel="0" collapsed="false">
      <c r="B87" s="10" t="s">
        <v>3174</v>
      </c>
      <c r="C87" s="61" t="n">
        <v>1.1</v>
      </c>
    </row>
    <row r="88" customFormat="false" ht="15" hidden="false" customHeight="true" outlineLevel="0" collapsed="false">
      <c r="B88" s="10" t="s">
        <v>3175</v>
      </c>
      <c r="C88" s="61" t="n">
        <v>1</v>
      </c>
    </row>
    <row r="89" customFormat="false" ht="15" hidden="false" customHeight="true" outlineLevel="0" collapsed="false">
      <c r="B89" s="10" t="s">
        <v>3176</v>
      </c>
      <c r="C89" s="44" t="n">
        <f aca="false">ROUNDUP(2*(NORMSINV(1-C85/2)+NORMSINV(C86))^2*C87^2/C88^2,0)</f>
        <v>19</v>
      </c>
    </row>
    <row r="90" customFormat="false" ht="15" hidden="false" customHeight="true" outlineLevel="0" collapsed="false">
      <c r="B90" s="10" t="s">
        <v>3177</v>
      </c>
      <c r="C90" s="44" t="n">
        <f aca="false">2*C89</f>
        <v>38</v>
      </c>
    </row>
    <row r="92" customFormat="false" ht="15.75" hidden="false" customHeight="true" outlineLevel="0" collapsed="false">
      <c r="B92" s="7" t="s">
        <v>1493</v>
      </c>
      <c r="C92" s="8"/>
      <c r="D92" s="8"/>
      <c r="E92" s="8"/>
      <c r="F92" s="8"/>
      <c r="G92" s="8"/>
      <c r="H92" s="8"/>
      <c r="I92" s="8"/>
      <c r="J92" s="8"/>
      <c r="K92" s="8"/>
    </row>
    <row r="93" customFormat="false" ht="33.75" hidden="false" customHeight="true" outlineLevel="0" collapsed="false">
      <c r="B93" s="53" t="s">
        <v>1494</v>
      </c>
      <c r="C93" s="54" t="str">
        <f aca="false">"Sigma known: "&amp;TEXT(C66,"0")&amp;" units   |   Sigma unknown: "&amp;TEXT(C74,"0")&amp;" units   |   Proportion: "&amp;TEXT(C81,"#,##0")&amp;" units   |   Two means: "&amp;TEXT(C89,"0")&amp;" per group"</f>
        <v>Sigma known: 30 units   |   Sigma unknown: 32 units   |   Proportion: 2,271 units   |   Two means: 19 per group</v>
      </c>
      <c r="D93" s="54"/>
    </row>
    <row r="95" customFormat="false" ht="16.5" hidden="false" customHeight="true" outlineLevel="0" collapsed="false">
      <c r="B95" s="11" t="s">
        <v>1495</v>
      </c>
      <c r="C95" s="11" t="s">
        <v>1496</v>
      </c>
      <c r="D95" s="11" t="s">
        <v>1497</v>
      </c>
    </row>
    <row r="96" customFormat="false" ht="16.5" hidden="false" customHeight="true" outlineLevel="0" collapsed="false">
      <c r="B96" s="12" t="s">
        <v>3178</v>
      </c>
      <c r="C96" s="12" t="s">
        <v>3179</v>
      </c>
      <c r="D96" s="12" t="s">
        <v>3180</v>
      </c>
    </row>
    <row r="97" customFormat="false" ht="30.75" hidden="false" customHeight="true" outlineLevel="0" collapsed="false">
      <c r="B97" s="12" t="s">
        <v>3181</v>
      </c>
      <c r="C97" s="12" t="s">
        <v>3182</v>
      </c>
      <c r="D97" s="12" t="s">
        <v>3183</v>
      </c>
    </row>
    <row r="98" customFormat="false" ht="30.75" hidden="false" customHeight="true" outlineLevel="0" collapsed="false">
      <c r="B98" s="12" t="s">
        <v>3184</v>
      </c>
      <c r="C98" s="12" t="s">
        <v>3185</v>
      </c>
      <c r="D98" s="12" t="s">
        <v>3186</v>
      </c>
    </row>
    <row r="99" customFormat="false" ht="30.75" hidden="false" customHeight="true" outlineLevel="0" collapsed="false">
      <c r="B99" s="12" t="s">
        <v>3187</v>
      </c>
      <c r="C99" s="12" t="s">
        <v>3188</v>
      </c>
      <c r="D99" s="12" t="s">
        <v>3189</v>
      </c>
    </row>
    <row r="101" customFormat="false" ht="15" hidden="false" customHeight="true" outlineLevel="0" collapsed="false">
      <c r="B101" s="55" t="s">
        <v>1507</v>
      </c>
    </row>
    <row r="102" customFormat="false" ht="17.25" hidden="false" customHeight="true" outlineLevel="0" collapsed="false">
      <c r="B102" s="9" t="s">
        <v>3190</v>
      </c>
      <c r="C102" s="9"/>
      <c r="D102" s="9"/>
      <c r="E102" s="9"/>
      <c r="F102" s="9"/>
    </row>
    <row r="103" customFormat="false" ht="17.25" hidden="false" customHeight="true" outlineLevel="0" collapsed="false">
      <c r="B103" s="9" t="s">
        <v>3191</v>
      </c>
      <c r="C103" s="9"/>
      <c r="D103" s="9"/>
      <c r="E103" s="9"/>
      <c r="F103" s="9"/>
    </row>
    <row r="104" customFormat="false" ht="17.25" hidden="false" customHeight="true" outlineLevel="0" collapsed="false">
      <c r="B104" s="9" t="s">
        <v>3192</v>
      </c>
      <c r="C104" s="9"/>
      <c r="D104" s="9"/>
      <c r="E104" s="9"/>
      <c r="F104" s="9"/>
    </row>
    <row r="105" customFormat="false" ht="17.25" hidden="false" customHeight="true" outlineLevel="0" collapsed="false">
      <c r="B105" s="9" t="s">
        <v>3193</v>
      </c>
      <c r="C105" s="9"/>
      <c r="D105" s="9"/>
      <c r="E105" s="9"/>
      <c r="F105" s="9"/>
    </row>
    <row r="106" customFormat="false" ht="17.25" hidden="false" customHeight="true" outlineLevel="0" collapsed="false">
      <c r="B106" s="9" t="s">
        <v>3194</v>
      </c>
      <c r="C106" s="9"/>
      <c r="D106" s="9"/>
      <c r="E106" s="9"/>
      <c r="F106" s="9"/>
    </row>
    <row r="108" customFormat="false" ht="15.75" hidden="false" customHeight="true" outlineLevel="0" collapsed="false">
      <c r="B108" s="7" t="s">
        <v>1513</v>
      </c>
      <c r="C108" s="8"/>
      <c r="D108" s="8"/>
      <c r="E108" s="8"/>
      <c r="F108" s="8"/>
      <c r="G108" s="8"/>
      <c r="H108" s="8"/>
      <c r="I108" s="8"/>
      <c r="J108" s="8"/>
      <c r="K108" s="8"/>
    </row>
    <row r="109" customFormat="false" ht="17.25" hidden="false" customHeight="true" outlineLevel="0" collapsed="false">
      <c r="B109" s="9" t="s">
        <v>1514</v>
      </c>
      <c r="C109" s="9"/>
      <c r="D109" s="9"/>
      <c r="E109" s="9"/>
      <c r="N109" s="56" t="s">
        <v>1515</v>
      </c>
    </row>
    <row r="110" customFormat="false" ht="17.25" hidden="false" customHeight="true" outlineLevel="0" collapsed="false">
      <c r="B110" s="9" t="s">
        <v>3195</v>
      </c>
      <c r="C110" s="9"/>
      <c r="D110" s="9"/>
      <c r="E110" s="9"/>
      <c r="N110" s="57" t="s">
        <v>3196</v>
      </c>
    </row>
    <row r="111" customFormat="false" ht="31.5" hidden="false" customHeight="true" outlineLevel="0" collapsed="false">
      <c r="B111" s="9" t="s">
        <v>3197</v>
      </c>
      <c r="C111" s="9"/>
      <c r="D111" s="9"/>
      <c r="E111" s="9"/>
      <c r="N111" s="57" t="s">
        <v>3198</v>
      </c>
    </row>
    <row r="112" customFormat="false" ht="17.25" hidden="false" customHeight="true" outlineLevel="0" collapsed="false">
      <c r="B112" s="9" t="s">
        <v>3199</v>
      </c>
      <c r="C112" s="9"/>
      <c r="D112" s="9"/>
      <c r="E112" s="9"/>
      <c r="N112" s="57" t="s">
        <v>3200</v>
      </c>
    </row>
    <row r="114" customFormat="false" ht="15.75" hidden="false" customHeight="true" outlineLevel="0" collapsed="false">
      <c r="B114" s="7" t="s">
        <v>1522</v>
      </c>
      <c r="C114" s="8"/>
      <c r="D114" s="8"/>
      <c r="E114" s="8"/>
      <c r="F114" s="8"/>
      <c r="G114" s="8"/>
      <c r="H114" s="8"/>
      <c r="I114" s="8"/>
      <c r="J114" s="8"/>
      <c r="K114" s="8"/>
    </row>
    <row r="115" customFormat="false" ht="16.5" hidden="false" customHeight="true" outlineLevel="0" collapsed="false">
      <c r="B115" s="11" t="s">
        <v>1523</v>
      </c>
      <c r="C115" s="11" t="s">
        <v>1524</v>
      </c>
      <c r="D115" s="11" t="s">
        <v>3201</v>
      </c>
    </row>
    <row r="116" customFormat="false" ht="30.75" hidden="false" customHeight="true" outlineLevel="0" collapsed="false">
      <c r="B116" s="58" t="s">
        <v>2892</v>
      </c>
      <c r="C116" s="58" t="s">
        <v>1194</v>
      </c>
      <c r="D116" s="58" t="s">
        <v>3202</v>
      </c>
    </row>
  </sheetData>
  <mergeCells count="41">
    <mergeCell ref="B2:J2"/>
    <mergeCell ref="D3:E3"/>
    <mergeCell ref="C6:D6"/>
    <mergeCell ref="C7:D7"/>
    <mergeCell ref="C8:D8"/>
    <mergeCell ref="B11:F12"/>
    <mergeCell ref="B13:F15"/>
    <mergeCell ref="B16:F16"/>
    <mergeCell ref="B17:F18"/>
    <mergeCell ref="B19:F20"/>
    <mergeCell ref="B21:F22"/>
    <mergeCell ref="B25:D25"/>
    <mergeCell ref="E25:F25"/>
    <mergeCell ref="B26:D26"/>
    <mergeCell ref="E26:F26"/>
    <mergeCell ref="B27:D27"/>
    <mergeCell ref="E27:F27"/>
    <mergeCell ref="B28:D28"/>
    <mergeCell ref="E28:F28"/>
    <mergeCell ref="B29:F29"/>
    <mergeCell ref="B37:F37"/>
    <mergeCell ref="B38:F38"/>
    <mergeCell ref="B39:F39"/>
    <mergeCell ref="B40:F40"/>
    <mergeCell ref="B41:F41"/>
    <mergeCell ref="B42:F42"/>
    <mergeCell ref="B43:F43"/>
    <mergeCell ref="B44:F44"/>
    <mergeCell ref="B54:F54"/>
    <mergeCell ref="B57:F57"/>
    <mergeCell ref="B58:F58"/>
    <mergeCell ref="C93:D93"/>
    <mergeCell ref="B102:F102"/>
    <mergeCell ref="B103:F103"/>
    <mergeCell ref="B104:F104"/>
    <mergeCell ref="B105:F105"/>
    <mergeCell ref="B106:F106"/>
    <mergeCell ref="B109:E109"/>
    <mergeCell ref="B110:E110"/>
    <mergeCell ref="B111:E111"/>
    <mergeCell ref="B112:E112"/>
  </mergeCells>
  <hyperlinks>
    <hyperlink ref="B3" location="'N-03 Index DMAIC'!A1" display="← Back to Index"/>
    <hyperlink ref="E32" location="'E-16 CI Proportion StdDev'!A1" display="E-16  Confidence Intervals for Proportion and Std Dev"/>
    <hyperlink ref="E33" location="'E-21 Statistical vs Practical'!A1" display="E-21  Statistical vs Practical Significance"/>
    <hyperlink ref="E34" location="'E-05 Sampling Subgroups'!A1" display="E-05  Sampling Strategies and Rational Subgrouping"/>
    <hyperlink ref="B116" location="'E-19 Type I II Error Power'!A1" display="E-19  Type I Error, Type II Error and Power"/>
    <hyperlink ref="C116" location="'E-21 Statistical vs Practical'!A1" display="E-21  Statistical vs Practical Significance"/>
    <hyperlink ref="D116" location="'U-06 Sample Size Calculator'!A1" display="U-06  Universal Sample Size Calculato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3203</v>
      </c>
      <c r="C2" s="3"/>
      <c r="D2" s="3"/>
      <c r="E2" s="3"/>
      <c r="F2" s="3"/>
      <c r="G2" s="3"/>
      <c r="H2" s="3"/>
      <c r="I2" s="3"/>
      <c r="J2" s="3"/>
      <c r="K2" s="80" t="s">
        <v>2864</v>
      </c>
    </row>
    <row r="3" customFormat="false" ht="28.5" hidden="false" customHeight="true" outlineLevel="0" collapsed="false">
      <c r="B3" s="5" t="s">
        <v>3</v>
      </c>
      <c r="D3" s="6" t="s">
        <v>3204</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3205</v>
      </c>
      <c r="D6" s="9"/>
    </row>
    <row r="7" customFormat="false" ht="31.5" hidden="false" customHeight="true" outlineLevel="0" collapsed="false">
      <c r="B7" s="47" t="s">
        <v>1394</v>
      </c>
      <c r="C7" s="9" t="s">
        <v>3206</v>
      </c>
      <c r="D7" s="9"/>
    </row>
    <row r="8" customFormat="false" ht="31.5" hidden="false" customHeight="true" outlineLevel="0" collapsed="false">
      <c r="B8" s="47" t="s">
        <v>1396</v>
      </c>
      <c r="C8" s="9" t="s">
        <v>3207</v>
      </c>
      <c r="D8" s="9"/>
    </row>
    <row r="9" customFormat="false" ht="15" hidden="false" customHeight="true" outlineLevel="0" collapsed="false"/>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3208</v>
      </c>
      <c r="C11" s="9"/>
      <c r="D11" s="9"/>
      <c r="E11" s="9"/>
      <c r="F11" s="9"/>
    </row>
    <row r="12" customFormat="false" ht="17.25" hidden="false" customHeight="true" outlineLevel="0" collapsed="false">
      <c r="B12" s="9" t="s">
        <v>3209</v>
      </c>
      <c r="C12" s="9"/>
      <c r="D12" s="9"/>
      <c r="E12" s="9"/>
      <c r="F12" s="9"/>
    </row>
    <row r="13" customFormat="false" ht="17.25" hidden="false" customHeight="true" outlineLevel="0" collapsed="false">
      <c r="B13" s="9" t="s">
        <v>3210</v>
      </c>
      <c r="C13" s="9"/>
      <c r="D13" s="9"/>
      <c r="E13" s="9"/>
      <c r="F13" s="9"/>
    </row>
    <row r="14" customFormat="false" ht="15.75" hidden="false" customHeight="true" outlineLevel="0" collapsed="false">
      <c r="B14" s="9" t="s">
        <v>3211</v>
      </c>
      <c r="C14" s="9"/>
      <c r="D14" s="9"/>
      <c r="E14" s="9"/>
      <c r="F14" s="9"/>
    </row>
    <row r="15" customFormat="false" ht="15.75" hidden="false" customHeight="true" outlineLevel="0" collapsed="false">
      <c r="B15" s="9"/>
      <c r="C15" s="9"/>
      <c r="D15" s="9"/>
      <c r="E15" s="9"/>
      <c r="F15" s="9"/>
    </row>
    <row r="16" customFormat="false" ht="17.25" hidden="false" customHeight="true" outlineLevel="0" collapsed="false">
      <c r="B16" s="9" t="s">
        <v>3212</v>
      </c>
      <c r="C16" s="9"/>
      <c r="D16" s="9"/>
      <c r="E16" s="9"/>
      <c r="F16" s="9"/>
    </row>
    <row r="17" customFormat="false" ht="10.5" hidden="false" customHeight="true" outlineLevel="0" collapsed="false">
      <c r="B17" s="9" t="s">
        <v>3213</v>
      </c>
      <c r="C17" s="9"/>
      <c r="D17" s="9"/>
      <c r="E17" s="9"/>
      <c r="F17" s="9"/>
    </row>
    <row r="18" customFormat="false" ht="10.5" hidden="false" customHeight="true" outlineLevel="0" collapsed="false">
      <c r="B18" s="9"/>
      <c r="C18" s="9"/>
      <c r="D18" s="9"/>
      <c r="E18" s="9"/>
      <c r="F18" s="9"/>
    </row>
    <row r="19" customFormat="false" ht="10.5" hidden="false" customHeight="true" outlineLevel="0" collapsed="false">
      <c r="B19" s="9"/>
      <c r="C19" s="9"/>
      <c r="D19" s="9"/>
      <c r="E19" s="9"/>
      <c r="F19" s="9"/>
    </row>
    <row r="20" customFormat="false" ht="17.25" hidden="false" customHeight="true" outlineLevel="0" collapsed="false">
      <c r="B20" s="9" t="s">
        <v>3214</v>
      </c>
      <c r="C20" s="9"/>
      <c r="D20" s="9"/>
      <c r="E20" s="9"/>
      <c r="F20" s="9"/>
    </row>
    <row r="21" customFormat="false" ht="17.25" hidden="false" customHeight="true" outlineLevel="0" collapsed="false">
      <c r="B21" s="9" t="s">
        <v>3215</v>
      </c>
      <c r="C21" s="9"/>
      <c r="D21" s="9"/>
      <c r="E21" s="9"/>
      <c r="F21" s="9"/>
    </row>
    <row r="23" customFormat="false" ht="15.75" hidden="false" customHeight="true" outlineLevel="0" collapsed="false">
      <c r="B23" s="7" t="s">
        <v>1406</v>
      </c>
      <c r="C23" s="8"/>
      <c r="D23" s="8"/>
      <c r="E23" s="8"/>
      <c r="F23" s="8"/>
      <c r="G23" s="8"/>
      <c r="H23" s="8"/>
      <c r="I23" s="8"/>
      <c r="J23" s="8"/>
      <c r="K23" s="8"/>
    </row>
    <row r="24" customFormat="false" ht="17.25" hidden="false" customHeight="true" outlineLevel="0" collapsed="false">
      <c r="B24" s="48" t="s">
        <v>1407</v>
      </c>
      <c r="C24" s="48"/>
      <c r="D24" s="48"/>
      <c r="E24" s="49" t="s">
        <v>1408</v>
      </c>
      <c r="F24" s="49"/>
    </row>
    <row r="25" customFormat="false" ht="45.75" hidden="false" customHeight="true" outlineLevel="0" collapsed="false">
      <c r="B25" s="23" t="s">
        <v>3216</v>
      </c>
      <c r="C25" s="23"/>
      <c r="D25" s="23"/>
      <c r="E25" s="23" t="s">
        <v>3217</v>
      </c>
      <c r="F25" s="23"/>
    </row>
    <row r="26" customFormat="false" ht="31.5" hidden="false" customHeight="true" outlineLevel="0" collapsed="false">
      <c r="B26" s="23" t="s">
        <v>3218</v>
      </c>
      <c r="C26" s="23"/>
      <c r="D26" s="23"/>
      <c r="E26" s="23" t="s">
        <v>3219</v>
      </c>
      <c r="F26" s="23"/>
    </row>
    <row r="27" customFormat="false" ht="31.5" hidden="false" customHeight="true" outlineLevel="0" collapsed="false">
      <c r="B27" s="23" t="s">
        <v>3220</v>
      </c>
      <c r="C27" s="23"/>
      <c r="D27" s="23"/>
      <c r="E27" s="23" t="s">
        <v>3221</v>
      </c>
      <c r="F27" s="23"/>
    </row>
    <row r="28" customFormat="false" ht="17.25" hidden="false" customHeight="true" outlineLevel="0" collapsed="false">
      <c r="B28" s="23" t="s">
        <v>3222</v>
      </c>
      <c r="C28" s="23"/>
      <c r="D28" s="23"/>
      <c r="E28" s="23"/>
      <c r="F28" s="23"/>
    </row>
    <row r="30" customFormat="false" ht="16.5" hidden="false" customHeight="true" outlineLevel="0" collapsed="false">
      <c r="B30" s="11" t="s">
        <v>1416</v>
      </c>
      <c r="C30" s="11" t="s">
        <v>1417</v>
      </c>
      <c r="D30" s="11" t="s">
        <v>1418</v>
      </c>
      <c r="E30" s="11" t="s">
        <v>1419</v>
      </c>
    </row>
    <row r="31" customFormat="false" ht="44.25" hidden="false" customHeight="true" outlineLevel="0" collapsed="false">
      <c r="B31" s="12" t="s">
        <v>3223</v>
      </c>
      <c r="C31" s="12" t="s">
        <v>3224</v>
      </c>
      <c r="D31" s="12" t="s">
        <v>3225</v>
      </c>
      <c r="E31" s="50" t="s">
        <v>1250</v>
      </c>
    </row>
    <row r="32" customFormat="false" ht="44.25" hidden="false" customHeight="true" outlineLevel="0" collapsed="false">
      <c r="B32" s="12" t="s">
        <v>3226</v>
      </c>
      <c r="C32" s="12" t="s">
        <v>3227</v>
      </c>
      <c r="D32" s="12" t="s">
        <v>3228</v>
      </c>
      <c r="E32" s="50" t="s">
        <v>1027</v>
      </c>
    </row>
    <row r="33" customFormat="false" ht="44.25" hidden="false" customHeight="true" outlineLevel="0" collapsed="false">
      <c r="B33" s="12" t="s">
        <v>3229</v>
      </c>
      <c r="C33" s="12" t="s">
        <v>3230</v>
      </c>
      <c r="D33" s="12" t="s">
        <v>3231</v>
      </c>
      <c r="E33" s="50" t="s">
        <v>1056</v>
      </c>
    </row>
    <row r="35" customFormat="false" ht="15.75" hidden="false" customHeight="true" outlineLevel="0" collapsed="false">
      <c r="B35" s="7" t="s">
        <v>1429</v>
      </c>
      <c r="C35" s="8"/>
      <c r="D35" s="8"/>
      <c r="E35" s="8"/>
      <c r="F35" s="8"/>
      <c r="G35" s="8"/>
      <c r="H35" s="8"/>
      <c r="I35" s="8"/>
      <c r="J35" s="8"/>
      <c r="K35" s="8"/>
    </row>
    <row r="36" customFormat="false" ht="17.25" hidden="false" customHeight="true" outlineLevel="0" collapsed="false">
      <c r="B36" s="51" t="s">
        <v>3232</v>
      </c>
      <c r="C36" s="51"/>
      <c r="D36" s="51"/>
      <c r="E36" s="51"/>
      <c r="F36" s="51"/>
    </row>
    <row r="37" customFormat="false" ht="15" hidden="false" customHeight="true" outlineLevel="0" collapsed="false">
      <c r="B37" s="59" t="s">
        <v>3233</v>
      </c>
    </row>
    <row r="38" customFormat="false" ht="17.25" hidden="false" customHeight="true" outlineLevel="0" collapsed="false">
      <c r="B38" s="52" t="s">
        <v>3234</v>
      </c>
      <c r="C38" s="52"/>
      <c r="D38" s="52"/>
      <c r="E38" s="52"/>
      <c r="F38" s="52"/>
    </row>
    <row r="39" customFormat="false" ht="17.25" hidden="false" customHeight="true" outlineLevel="0" collapsed="false">
      <c r="B39" s="51" t="s">
        <v>3235</v>
      </c>
      <c r="C39" s="51"/>
      <c r="D39" s="51"/>
      <c r="E39" s="51"/>
      <c r="F39" s="51"/>
    </row>
    <row r="40" customFormat="false" ht="17.25" hidden="false" customHeight="true" outlineLevel="0" collapsed="false">
      <c r="B40" s="52" t="s">
        <v>3236</v>
      </c>
      <c r="C40" s="52"/>
      <c r="D40" s="52"/>
      <c r="E40" s="52"/>
      <c r="F40" s="52"/>
    </row>
    <row r="41" customFormat="false" ht="17.25" hidden="false" customHeight="true" outlineLevel="0" collapsed="false">
      <c r="B41" s="51" t="s">
        <v>3237</v>
      </c>
      <c r="C41" s="51"/>
      <c r="D41" s="51"/>
      <c r="E41" s="51"/>
      <c r="F41" s="51"/>
    </row>
    <row r="42" customFormat="false" ht="10.5" hidden="false" customHeight="true" outlineLevel="0" collapsed="false">
      <c r="B42" s="52" t="s">
        <v>3238</v>
      </c>
      <c r="C42" s="52"/>
      <c r="D42" s="52"/>
      <c r="E42" s="52"/>
      <c r="F42" s="52"/>
    </row>
    <row r="43" customFormat="false" ht="10.5" hidden="false" customHeight="true" outlineLevel="0" collapsed="false">
      <c r="B43" s="52"/>
      <c r="C43" s="52"/>
      <c r="D43" s="52"/>
      <c r="E43" s="52"/>
      <c r="F43" s="52"/>
    </row>
    <row r="44" customFormat="false" ht="10.5" hidden="false" customHeight="true" outlineLevel="0" collapsed="false">
      <c r="B44" s="52"/>
      <c r="C44" s="52"/>
      <c r="D44" s="52"/>
      <c r="E44" s="52"/>
      <c r="F44" s="52"/>
    </row>
    <row r="45" customFormat="false" ht="15" hidden="false" customHeight="true" outlineLevel="0" collapsed="false">
      <c r="B45" s="47" t="s">
        <v>3239</v>
      </c>
    </row>
    <row r="46" customFormat="false" ht="8.25" hidden="false" customHeight="true" outlineLevel="0" collapsed="false">
      <c r="B46" s="52" t="s">
        <v>3240</v>
      </c>
      <c r="C46" s="52"/>
      <c r="D46" s="52"/>
      <c r="E46" s="52"/>
      <c r="F46" s="52"/>
    </row>
    <row r="47" customFormat="false" ht="8.25" hidden="false" customHeight="true" outlineLevel="0" collapsed="false">
      <c r="B47" s="52"/>
      <c r="C47" s="52"/>
      <c r="D47" s="52"/>
      <c r="E47" s="52"/>
      <c r="F47" s="52"/>
    </row>
    <row r="49" customFormat="false" ht="15.75" hidden="false" customHeight="true" outlineLevel="0" collapsed="false">
      <c r="B49" s="7" t="s">
        <v>1437</v>
      </c>
      <c r="C49" s="8"/>
      <c r="D49" s="8"/>
      <c r="E49" s="8"/>
      <c r="F49" s="8"/>
      <c r="G49" s="8"/>
      <c r="H49" s="8"/>
      <c r="I49" s="8"/>
      <c r="J49" s="8"/>
      <c r="K49" s="8"/>
    </row>
    <row r="50" customFormat="false" ht="16.5" hidden="false" customHeight="true" outlineLevel="0" collapsed="false">
      <c r="B50" s="11" t="s">
        <v>1438</v>
      </c>
      <c r="C50" s="11" t="s">
        <v>1439</v>
      </c>
      <c r="D50" s="11" t="s">
        <v>1440</v>
      </c>
    </row>
    <row r="51" customFormat="false" ht="30.75" hidden="false" customHeight="true" outlineLevel="0" collapsed="false">
      <c r="B51" s="12" t="s">
        <v>2211</v>
      </c>
      <c r="C51" s="12" t="s">
        <v>3241</v>
      </c>
      <c r="D51" s="12" t="s">
        <v>3242</v>
      </c>
    </row>
    <row r="52" customFormat="false" ht="30.75" hidden="false" customHeight="true" outlineLevel="0" collapsed="false">
      <c r="B52" s="12" t="s">
        <v>1577</v>
      </c>
      <c r="C52" s="12" t="s">
        <v>1578</v>
      </c>
      <c r="D52" s="12" t="s">
        <v>3243</v>
      </c>
    </row>
    <row r="53" customFormat="false" ht="30.75" hidden="false" customHeight="true" outlineLevel="0" collapsed="false">
      <c r="B53" s="12" t="s">
        <v>2321</v>
      </c>
      <c r="C53" s="12" t="s">
        <v>3244</v>
      </c>
      <c r="D53" s="12" t="s">
        <v>3245</v>
      </c>
    </row>
    <row r="54" customFormat="false" ht="30.75" hidden="false" customHeight="true" outlineLevel="0" collapsed="false">
      <c r="B54" s="12" t="s">
        <v>1671</v>
      </c>
      <c r="C54" s="12" t="s">
        <v>3246</v>
      </c>
      <c r="D54" s="12" t="s">
        <v>3247</v>
      </c>
    </row>
    <row r="55" customFormat="false" ht="30.75" hidden="false" customHeight="true" outlineLevel="0" collapsed="false">
      <c r="B55" s="12" t="s">
        <v>2127</v>
      </c>
      <c r="C55" s="12" t="s">
        <v>3248</v>
      </c>
      <c r="D55" s="12" t="s">
        <v>3249</v>
      </c>
    </row>
    <row r="56" customFormat="false" ht="28.5" hidden="false" customHeight="true" outlineLevel="0" collapsed="false">
      <c r="B56" s="16" t="s">
        <v>1453</v>
      </c>
      <c r="C56" s="16"/>
      <c r="D56" s="16"/>
      <c r="E56" s="16"/>
      <c r="F56" s="16"/>
    </row>
    <row r="58" customFormat="false" ht="15.75" hidden="false" customHeight="true" outlineLevel="0" collapsed="false">
      <c r="B58" s="7" t="s">
        <v>1454</v>
      </c>
      <c r="C58" s="8"/>
      <c r="D58" s="8"/>
      <c r="E58" s="8"/>
      <c r="F58" s="8"/>
      <c r="G58" s="8"/>
      <c r="H58" s="8"/>
      <c r="I58" s="8"/>
      <c r="J58" s="8"/>
      <c r="K58" s="8"/>
    </row>
    <row r="59" customFormat="false" ht="17.25" hidden="false" customHeight="true" outlineLevel="0" collapsed="false">
      <c r="B59" s="9" t="s">
        <v>3250</v>
      </c>
      <c r="C59" s="9"/>
      <c r="D59" s="9"/>
      <c r="E59" s="9"/>
      <c r="F59" s="9"/>
    </row>
    <row r="60" customFormat="false" ht="17.25" hidden="false" customHeight="true" outlineLevel="0" collapsed="false">
      <c r="B60" s="9" t="s">
        <v>3251</v>
      </c>
      <c r="C60" s="9"/>
      <c r="D60" s="9"/>
      <c r="E60" s="9"/>
      <c r="F60" s="9"/>
    </row>
    <row r="61" customFormat="false" ht="17.25" hidden="false" customHeight="true" outlineLevel="0" collapsed="false">
      <c r="B61" s="9" t="s">
        <v>3252</v>
      </c>
      <c r="C61" s="9"/>
      <c r="D61" s="9"/>
      <c r="E61" s="9"/>
      <c r="F61" s="9"/>
    </row>
    <row r="62" customFormat="false" ht="15" hidden="false" customHeight="true" outlineLevel="0" collapsed="false">
      <c r="B62" s="19" t="s">
        <v>85</v>
      </c>
      <c r="C62" s="41" t="s">
        <v>86</v>
      </c>
    </row>
    <row r="64" customFormat="false" ht="15" hidden="false" customHeight="true" outlineLevel="0" collapsed="false">
      <c r="B64" s="10" t="s">
        <v>3082</v>
      </c>
      <c r="C64" s="69" t="n">
        <v>2000</v>
      </c>
    </row>
    <row r="65" customFormat="false" ht="15" hidden="false" customHeight="true" outlineLevel="0" collapsed="false">
      <c r="B65" s="10" t="s">
        <v>3253</v>
      </c>
      <c r="C65" s="75" t="n">
        <v>500.4</v>
      </c>
    </row>
    <row r="66" customFormat="false" ht="15" hidden="false" customHeight="true" outlineLevel="0" collapsed="false">
      <c r="B66" s="10" t="s">
        <v>3254</v>
      </c>
      <c r="C66" s="75" t="n">
        <v>500</v>
      </c>
    </row>
    <row r="67" customFormat="false" ht="15" hidden="false" customHeight="true" outlineLevel="0" collapsed="false">
      <c r="B67" s="10" t="s">
        <v>3255</v>
      </c>
      <c r="C67" s="75" t="n">
        <v>1.1</v>
      </c>
    </row>
    <row r="68" customFormat="false" ht="15" hidden="false" customHeight="true" outlineLevel="0" collapsed="false">
      <c r="B68" s="10" t="s">
        <v>2228</v>
      </c>
      <c r="C68" s="75" t="n">
        <v>0.05</v>
      </c>
    </row>
    <row r="69" customFormat="false" ht="15" hidden="false" customHeight="true" outlineLevel="0" collapsed="false">
      <c r="B69" s="10" t="s">
        <v>3256</v>
      </c>
      <c r="C69" s="61" t="n">
        <v>1</v>
      </c>
    </row>
    <row r="71" customFormat="false" ht="15" hidden="false" customHeight="true" outlineLevel="0" collapsed="false">
      <c r="B71" s="10" t="s">
        <v>3006</v>
      </c>
      <c r="C71" s="63" t="n">
        <f aca="false">C65-C66</f>
        <v>0.399999999999977</v>
      </c>
    </row>
    <row r="72" customFormat="false" ht="15" hidden="false" customHeight="true" outlineLevel="0" collapsed="false">
      <c r="B72" s="10" t="s">
        <v>3257</v>
      </c>
      <c r="C72" s="63" t="n">
        <f aca="false">IFERROR(C71/(C67*SQRT(2/C64)),0)</f>
        <v>11.4991914915207</v>
      </c>
    </row>
    <row r="73" customFormat="false" ht="15" hidden="false" customHeight="true" outlineLevel="0" collapsed="false">
      <c r="B73" s="10" t="s">
        <v>2834</v>
      </c>
      <c r="C73" s="70" t="n">
        <f aca="false">2*C64-2</f>
        <v>3998</v>
      </c>
    </row>
    <row r="74" customFormat="false" ht="15" hidden="false" customHeight="true" outlineLevel="0" collapsed="false">
      <c r="B74" s="10" t="s">
        <v>3258</v>
      </c>
      <c r="C74" s="72" t="n">
        <f aca="false">TDIST(ABS(C72),C73,2)</f>
        <v>3.94484947307505E-030</v>
      </c>
    </row>
    <row r="75" customFormat="false" ht="15" hidden="false" customHeight="true" outlineLevel="0" collapsed="false">
      <c r="B75" s="10" t="s">
        <v>3259</v>
      </c>
      <c r="C75" s="63" t="n">
        <f aca="false">IFERROR(C71/C67,0)</f>
        <v>0.363636363636343</v>
      </c>
    </row>
    <row r="76" customFormat="false" ht="15" hidden="false" customHeight="true" outlineLevel="0" collapsed="false">
      <c r="B76" s="10" t="s">
        <v>3260</v>
      </c>
      <c r="C76" s="41" t="str">
        <f aca="false">IF(ABS(C75)&lt;0.2,"Negligible",IF(ABS(C75)&lt;0.5,"Small",IF(ABS(C75)&lt;0.8,"Medium","Large")))</f>
        <v>Small</v>
      </c>
    </row>
    <row r="77" customFormat="false" ht="15" hidden="false" customHeight="true" outlineLevel="0" collapsed="false">
      <c r="B77" s="10" t="s">
        <v>3261</v>
      </c>
      <c r="C77" s="43" t="n">
        <f aca="false">IFERROR(ABS(C71)/C69,0)</f>
        <v>0.399999999999977</v>
      </c>
    </row>
    <row r="79" customFormat="false" ht="15.75" hidden="false" customHeight="true" outlineLevel="0" collapsed="false">
      <c r="B79" s="7" t="s">
        <v>3262</v>
      </c>
      <c r="C79" s="8"/>
      <c r="D79" s="8"/>
      <c r="E79" s="8"/>
      <c r="F79" s="8"/>
      <c r="G79" s="8"/>
      <c r="H79" s="8"/>
      <c r="I79" s="8"/>
      <c r="J79" s="8"/>
      <c r="K79" s="8"/>
    </row>
    <row r="80" customFormat="false" ht="15" hidden="false" customHeight="true" outlineLevel="0" collapsed="false">
      <c r="B80" s="10" t="s">
        <v>1846</v>
      </c>
      <c r="C80" s="69" t="n">
        <v>18000</v>
      </c>
    </row>
    <row r="81" customFormat="false" ht="15" hidden="false" customHeight="true" outlineLevel="0" collapsed="false">
      <c r="B81" s="10" t="s">
        <v>3263</v>
      </c>
      <c r="C81" s="65" t="n">
        <v>22</v>
      </c>
    </row>
    <row r="82" customFormat="false" ht="15" hidden="false" customHeight="true" outlineLevel="0" collapsed="false">
      <c r="B82" s="10" t="s">
        <v>3264</v>
      </c>
      <c r="C82" s="65" t="n">
        <v>330</v>
      </c>
    </row>
    <row r="83" customFormat="false" ht="15" hidden="false" customHeight="true" outlineLevel="0" collapsed="false">
      <c r="B83" s="10" t="s">
        <v>3265</v>
      </c>
      <c r="C83" s="61" t="n">
        <v>0.42</v>
      </c>
    </row>
    <row r="84" customFormat="false" ht="15" hidden="false" customHeight="true" outlineLevel="0" collapsed="false">
      <c r="B84" s="10" t="s">
        <v>3266</v>
      </c>
      <c r="C84" s="70" t="n">
        <f aca="false">C80*C81*C82</f>
        <v>130680000</v>
      </c>
    </row>
    <row r="85" customFormat="false" ht="15" hidden="false" customHeight="true" outlineLevel="0" collapsed="false">
      <c r="B85" s="10" t="s">
        <v>3267</v>
      </c>
      <c r="C85" s="70" t="n">
        <f aca="false">C84*ABS(C71)/1000</f>
        <v>52271.999999997</v>
      </c>
    </row>
    <row r="86" customFormat="false" ht="15" hidden="false" customHeight="true" outlineLevel="0" collapsed="false">
      <c r="B86" s="10" t="s">
        <v>3268</v>
      </c>
      <c r="C86" s="70" t="n">
        <f aca="false">C85*C83</f>
        <v>21954.2399999988</v>
      </c>
    </row>
    <row r="87" customFormat="false" ht="15" hidden="false" customHeight="true" outlineLevel="0" collapsed="false">
      <c r="B87" s="10" t="s">
        <v>3269</v>
      </c>
      <c r="C87" s="70" t="n">
        <f aca="false">C84*C69/1000*C83</f>
        <v>54885.6</v>
      </c>
    </row>
    <row r="89" customFormat="false" ht="15.75" hidden="false" customHeight="true" outlineLevel="0" collapsed="false">
      <c r="B89" s="7" t="s">
        <v>1493</v>
      </c>
      <c r="C89" s="8"/>
      <c r="D89" s="8"/>
      <c r="E89" s="8"/>
      <c r="F89" s="8"/>
      <c r="G89" s="8"/>
      <c r="H89" s="8"/>
      <c r="I89" s="8"/>
      <c r="J89" s="8"/>
      <c r="K89" s="8"/>
    </row>
    <row r="90" customFormat="false" ht="33.75" hidden="false" customHeight="true" outlineLevel="0" collapsed="false">
      <c r="B90" s="53" t="s">
        <v>1494</v>
      </c>
      <c r="C90" s="54" t="str">
        <f aca="false">IF(AND(C74&lt;C68,ABS(C71)&gt;=C69),"SIGNIFICANT AND MATERIAL - a difference of "&amp;TEXT(C71,"0.00")&amp;" ml is worth about "&amp;TEXT(C86,"#,##0")&amp;" per year. Raise the project.",IF(AND(C74&lt;C68,ABS(C71)&lt;C69),"STATISTICALLY SIGNIFICANT BUT OPERATIONALLY IRRELEVANT - the difference of "&amp;TEXT(C71,"0.00")&amp;" ml is real but below the "&amp;TEXT(C69,"0.00")&amp;" ml that matters. Do NOT raise a project; record the finding and move on.",IF(AND(C74&gt;=C68,ABS(C71)&gt;=C69),"MATERIAL BUT NOT PROVEN - the difference matters commercially but the study cannot demonstrate it. Increase the sample size (E-20) rather than dismissing it.","NEITHER SIGNIFICANT NOR MATERIAL - leave the process alone and spend the effort elsewhere.")))</f>
        <v>STATISTICALLY SIGNIFICANT BUT OPERATIONALLY IRRELEVANT - the difference of 0.40 ml is real but below the 1.00 ml that matters. Do NOT raise a project; record the finding and move on.</v>
      </c>
      <c r="D90" s="54"/>
      <c r="E90" s="54"/>
    </row>
    <row r="92" customFormat="false" ht="16.5" hidden="false" customHeight="true" outlineLevel="0" collapsed="false">
      <c r="B92" s="11" t="s">
        <v>1495</v>
      </c>
      <c r="C92" s="11" t="s">
        <v>1496</v>
      </c>
      <c r="D92" s="11" t="s">
        <v>1497</v>
      </c>
    </row>
    <row r="93" customFormat="false" ht="30.75" hidden="false" customHeight="true" outlineLevel="0" collapsed="false">
      <c r="B93" s="12" t="s">
        <v>3270</v>
      </c>
      <c r="C93" s="12" t="s">
        <v>3271</v>
      </c>
      <c r="D93" s="12" t="s">
        <v>3272</v>
      </c>
    </row>
    <row r="94" customFormat="false" ht="30.75" hidden="false" customHeight="true" outlineLevel="0" collapsed="false">
      <c r="B94" s="12" t="s">
        <v>3273</v>
      </c>
      <c r="C94" s="12" t="s">
        <v>3274</v>
      </c>
      <c r="D94" s="12" t="s">
        <v>3275</v>
      </c>
    </row>
    <row r="95" customFormat="false" ht="30.75" hidden="false" customHeight="true" outlineLevel="0" collapsed="false">
      <c r="B95" s="12" t="s">
        <v>3276</v>
      </c>
      <c r="C95" s="12" t="s">
        <v>3277</v>
      </c>
      <c r="D95" s="12" t="s">
        <v>3278</v>
      </c>
    </row>
    <row r="96" customFormat="false" ht="30.75" hidden="false" customHeight="true" outlineLevel="0" collapsed="false">
      <c r="B96" s="12" t="s">
        <v>3279</v>
      </c>
      <c r="C96" s="12" t="s">
        <v>3280</v>
      </c>
      <c r="D96" s="12" t="s">
        <v>3281</v>
      </c>
    </row>
    <row r="98" customFormat="false" ht="15" hidden="false" customHeight="true" outlineLevel="0" collapsed="false">
      <c r="B98" s="55" t="s">
        <v>1507</v>
      </c>
    </row>
    <row r="99" customFormat="false" ht="17.25" hidden="false" customHeight="true" outlineLevel="0" collapsed="false">
      <c r="B99" s="9" t="s">
        <v>3282</v>
      </c>
      <c r="C99" s="9"/>
      <c r="D99" s="9"/>
      <c r="E99" s="9"/>
      <c r="F99" s="9"/>
    </row>
    <row r="100" customFormat="false" ht="17.25" hidden="false" customHeight="true" outlineLevel="0" collapsed="false">
      <c r="B100" s="9" t="s">
        <v>3283</v>
      </c>
      <c r="C100" s="9"/>
      <c r="D100" s="9"/>
      <c r="E100" s="9"/>
      <c r="F100" s="9"/>
    </row>
    <row r="101" customFormat="false" ht="17.25" hidden="false" customHeight="true" outlineLevel="0" collapsed="false">
      <c r="B101" s="9" t="s">
        <v>3284</v>
      </c>
      <c r="C101" s="9"/>
      <c r="D101" s="9"/>
      <c r="E101" s="9"/>
      <c r="F101" s="9"/>
    </row>
    <row r="102" customFormat="false" ht="17.25" hidden="false" customHeight="true" outlineLevel="0" collapsed="false">
      <c r="B102" s="9" t="s">
        <v>3285</v>
      </c>
      <c r="C102" s="9"/>
      <c r="D102" s="9"/>
      <c r="E102" s="9"/>
      <c r="F102" s="9"/>
    </row>
    <row r="103" customFormat="false" ht="17.25" hidden="false" customHeight="true" outlineLevel="0" collapsed="false">
      <c r="B103" s="9" t="s">
        <v>3286</v>
      </c>
      <c r="C103" s="9"/>
      <c r="D103" s="9"/>
      <c r="E103" s="9"/>
      <c r="F103" s="9"/>
    </row>
    <row r="105" customFormat="false" ht="15.75" hidden="false" customHeight="true" outlineLevel="0" collapsed="false">
      <c r="B105" s="7" t="s">
        <v>1513</v>
      </c>
      <c r="C105" s="8"/>
      <c r="D105" s="8"/>
      <c r="E105" s="8"/>
      <c r="F105" s="8"/>
      <c r="G105" s="8"/>
      <c r="H105" s="8"/>
      <c r="I105" s="8"/>
      <c r="J105" s="8"/>
      <c r="K105" s="8"/>
    </row>
    <row r="106" customFormat="false" ht="17.25" hidden="false" customHeight="true" outlineLevel="0" collapsed="false">
      <c r="B106" s="9" t="s">
        <v>1514</v>
      </c>
      <c r="C106" s="9"/>
      <c r="D106" s="9"/>
      <c r="E106" s="9"/>
      <c r="N106" s="56" t="s">
        <v>1515</v>
      </c>
    </row>
    <row r="107" customFormat="false" ht="17.25" hidden="false" customHeight="true" outlineLevel="0" collapsed="false">
      <c r="B107" s="9" t="s">
        <v>3287</v>
      </c>
      <c r="C107" s="9"/>
      <c r="D107" s="9"/>
      <c r="E107" s="9"/>
      <c r="N107" s="57" t="s">
        <v>3288</v>
      </c>
    </row>
    <row r="108" customFormat="false" ht="17.25" hidden="false" customHeight="true" outlineLevel="0" collapsed="false">
      <c r="B108" s="9" t="s">
        <v>3289</v>
      </c>
      <c r="C108" s="9"/>
      <c r="D108" s="9"/>
      <c r="E108" s="9"/>
      <c r="N108" s="57" t="s">
        <v>3290</v>
      </c>
    </row>
    <row r="109" customFormat="false" ht="17.25" hidden="false" customHeight="true" outlineLevel="0" collapsed="false">
      <c r="B109" s="9" t="s">
        <v>3291</v>
      </c>
      <c r="C109" s="9"/>
      <c r="D109" s="9"/>
      <c r="E109" s="9"/>
      <c r="N109" s="57" t="s">
        <v>3292</v>
      </c>
    </row>
    <row r="111" customFormat="false" ht="15.75" hidden="false" customHeight="true" outlineLevel="0" collapsed="false">
      <c r="B111" s="7" t="s">
        <v>1522</v>
      </c>
      <c r="C111" s="8"/>
      <c r="D111" s="8"/>
      <c r="E111" s="8"/>
      <c r="F111" s="8"/>
      <c r="G111" s="8"/>
      <c r="H111" s="8"/>
      <c r="I111" s="8"/>
      <c r="J111" s="8"/>
      <c r="K111" s="8"/>
    </row>
    <row r="112" customFormat="false" ht="16.5" hidden="false" customHeight="true" outlineLevel="0" collapsed="false">
      <c r="B112" s="11" t="s">
        <v>1523</v>
      </c>
      <c r="C112" s="11" t="s">
        <v>1524</v>
      </c>
      <c r="D112" s="11" t="s">
        <v>3293</v>
      </c>
    </row>
    <row r="113" customFormat="false" ht="30.75" hidden="false" customHeight="true" outlineLevel="0" collapsed="false">
      <c r="B113" s="58" t="s">
        <v>973</v>
      </c>
      <c r="C113" s="58" t="s">
        <v>1293</v>
      </c>
      <c r="D113" s="58" t="s">
        <v>2892</v>
      </c>
    </row>
  </sheetData>
  <mergeCells count="43">
    <mergeCell ref="B2:J2"/>
    <mergeCell ref="D3:F3"/>
    <mergeCell ref="C6:D6"/>
    <mergeCell ref="C7:D7"/>
    <mergeCell ref="C8:D8"/>
    <mergeCell ref="B11:F11"/>
    <mergeCell ref="B12:F12"/>
    <mergeCell ref="B13:F13"/>
    <mergeCell ref="B14:F15"/>
    <mergeCell ref="B16:F16"/>
    <mergeCell ref="B17:F19"/>
    <mergeCell ref="B20:F20"/>
    <mergeCell ref="B21:F21"/>
    <mergeCell ref="B24:D24"/>
    <mergeCell ref="E24:F24"/>
    <mergeCell ref="B25:D25"/>
    <mergeCell ref="E25:F25"/>
    <mergeCell ref="B26:D26"/>
    <mergeCell ref="E26:F26"/>
    <mergeCell ref="B27:D27"/>
    <mergeCell ref="E27:F27"/>
    <mergeCell ref="B28:F28"/>
    <mergeCell ref="B36:F36"/>
    <mergeCell ref="B38:F38"/>
    <mergeCell ref="B39:F39"/>
    <mergeCell ref="B40:F40"/>
    <mergeCell ref="B41:F41"/>
    <mergeCell ref="B42:F44"/>
    <mergeCell ref="B46:F47"/>
    <mergeCell ref="B56:F56"/>
    <mergeCell ref="B59:F59"/>
    <mergeCell ref="B60:F60"/>
    <mergeCell ref="B61:F61"/>
    <mergeCell ref="C90:E90"/>
    <mergeCell ref="B99:F99"/>
    <mergeCell ref="B100:F100"/>
    <mergeCell ref="B101:F101"/>
    <mergeCell ref="B102:F102"/>
    <mergeCell ref="B103:F103"/>
    <mergeCell ref="B106:E106"/>
    <mergeCell ref="B107:E107"/>
    <mergeCell ref="B108:E108"/>
    <mergeCell ref="B109:E109"/>
  </mergeCells>
  <hyperlinks>
    <hyperlink ref="B3" location="'N-03 Index DMAIC'!A1" display="← Back to Index"/>
    <hyperlink ref="E31" location="'H-01 Project Charter'!A1" display="H-01  Project Charter"/>
    <hyperlink ref="E32" location="'E-59 Gage R and R'!A1" display="E-59  Gage R&amp;R: ANOVA and Range Methods"/>
    <hyperlink ref="E33" location="'G-02 Business Case COPQ'!A1" display="G-02  Business Case and Cost of Poor Quality"/>
    <hyperlink ref="B113" location="'E-20 Sample Size'!A1" display="E-20  Sample Size Determination"/>
    <hyperlink ref="C113" location="'E-22 Test Selection Roadmap'!A1" display="E-22  Hypothesis Test Selection Roadmap"/>
    <hyperlink ref="D113" location="'E-19 Type I II Error Power'!A1" display="E-19  Type I Error, Type II Error and Pow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3294</v>
      </c>
      <c r="C2" s="3"/>
      <c r="D2" s="3"/>
      <c r="E2" s="3"/>
      <c r="F2" s="3"/>
      <c r="G2" s="3"/>
      <c r="H2" s="3"/>
      <c r="I2" s="3"/>
      <c r="J2" s="3"/>
      <c r="K2" s="80" t="s">
        <v>2864</v>
      </c>
    </row>
    <row r="3" customFormat="false" ht="28.5" hidden="false" customHeight="true" outlineLevel="0" collapsed="false">
      <c r="B3" s="5" t="s">
        <v>3</v>
      </c>
      <c r="D3" s="6" t="s">
        <v>3295</v>
      </c>
      <c r="E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3296</v>
      </c>
      <c r="D6" s="9"/>
    </row>
    <row r="7" customFormat="false" ht="31.5" hidden="false" customHeight="true" outlineLevel="0" collapsed="false">
      <c r="B7" s="47" t="s">
        <v>1394</v>
      </c>
      <c r="C7" s="9" t="s">
        <v>3297</v>
      </c>
      <c r="D7" s="9"/>
    </row>
    <row r="8" customFormat="false" ht="31.5" hidden="false" customHeight="true" outlineLevel="0" collapsed="false">
      <c r="B8" s="47" t="s">
        <v>1396</v>
      </c>
      <c r="C8" s="9" t="s">
        <v>3298</v>
      </c>
      <c r="D8" s="9"/>
    </row>
    <row r="10" customFormat="false" ht="15.75" hidden="false" customHeight="true" outlineLevel="0" collapsed="false">
      <c r="B10" s="7" t="s">
        <v>1398</v>
      </c>
      <c r="C10" s="8"/>
      <c r="D10" s="8"/>
      <c r="E10" s="8"/>
      <c r="F10" s="8"/>
      <c r="G10" s="8"/>
      <c r="H10" s="8"/>
      <c r="I10" s="8"/>
      <c r="J10" s="8"/>
      <c r="K10" s="8"/>
    </row>
    <row r="11" customFormat="false" ht="15.75" hidden="false" customHeight="true" outlineLevel="0" collapsed="false">
      <c r="B11" s="9" t="s">
        <v>3299</v>
      </c>
      <c r="C11" s="9"/>
      <c r="D11" s="9"/>
      <c r="E11" s="9"/>
      <c r="F11" s="9"/>
    </row>
    <row r="12" customFormat="false" ht="15.75" hidden="false" customHeight="true" outlineLevel="0" collapsed="false">
      <c r="B12" s="9"/>
      <c r="C12" s="9"/>
      <c r="D12" s="9"/>
      <c r="E12" s="9"/>
      <c r="F12" s="9"/>
    </row>
    <row r="13" customFormat="false" ht="17.25" hidden="false" customHeight="true" outlineLevel="0" collapsed="false">
      <c r="B13" s="9" t="s">
        <v>3300</v>
      </c>
      <c r="C13" s="9"/>
      <c r="D13" s="9"/>
      <c r="E13" s="9"/>
      <c r="F13" s="9"/>
    </row>
    <row r="14" customFormat="false" ht="8.25" hidden="false" customHeight="true" outlineLevel="0" collapsed="false">
      <c r="B14" s="9" t="s">
        <v>3301</v>
      </c>
      <c r="C14" s="9"/>
      <c r="D14" s="9"/>
      <c r="E14" s="9"/>
      <c r="F14" s="9"/>
    </row>
    <row r="15" customFormat="false" ht="8.25" hidden="false" customHeight="true" outlineLevel="0" collapsed="false">
      <c r="B15" s="9"/>
      <c r="C15" s="9"/>
      <c r="D15" s="9"/>
      <c r="E15" s="9"/>
      <c r="F15" s="9"/>
    </row>
    <row r="16" customFormat="false" ht="15.75" hidden="false" customHeight="true" outlineLevel="0" collapsed="false">
      <c r="B16" s="9" t="s">
        <v>3302</v>
      </c>
      <c r="C16" s="9"/>
      <c r="D16" s="9"/>
      <c r="E16" s="9"/>
      <c r="F16" s="9"/>
    </row>
    <row r="17" customFormat="false" ht="15.75" hidden="false" customHeight="true" outlineLevel="0" collapsed="false">
      <c r="B17" s="9"/>
      <c r="C17" s="9"/>
      <c r="D17" s="9"/>
      <c r="E17" s="9"/>
      <c r="F17" s="9"/>
    </row>
    <row r="18" customFormat="false" ht="8.25" hidden="false" customHeight="true" outlineLevel="0" collapsed="false">
      <c r="B18" s="9" t="s">
        <v>3303</v>
      </c>
      <c r="C18" s="9"/>
      <c r="D18" s="9"/>
      <c r="E18" s="9"/>
      <c r="F18" s="9"/>
    </row>
    <row r="19" customFormat="false" ht="8.25" hidden="false" customHeight="true" outlineLevel="0" collapsed="false">
      <c r="B19" s="9"/>
      <c r="C19" s="9"/>
      <c r="D19" s="9"/>
      <c r="E19" s="9"/>
      <c r="F19" s="9"/>
    </row>
    <row r="20" customFormat="false" ht="15.75" hidden="false" customHeight="true" outlineLevel="0" collapsed="false">
      <c r="B20" s="9" t="s">
        <v>3304</v>
      </c>
      <c r="C20" s="9"/>
      <c r="D20" s="9"/>
      <c r="E20" s="9"/>
      <c r="F20" s="9"/>
    </row>
    <row r="21" customFormat="false" ht="15.75" hidden="false" customHeight="true" outlineLevel="0" collapsed="false">
      <c r="B21" s="9"/>
      <c r="C21" s="9"/>
      <c r="D21" s="9"/>
      <c r="E21" s="9"/>
      <c r="F21" s="9"/>
    </row>
    <row r="23" customFormat="false" ht="15.75" hidden="false" customHeight="true" outlineLevel="0" collapsed="false">
      <c r="B23" s="7" t="s">
        <v>1406</v>
      </c>
      <c r="C23" s="8"/>
      <c r="D23" s="8"/>
      <c r="E23" s="8"/>
      <c r="F23" s="8"/>
      <c r="G23" s="8"/>
      <c r="H23" s="8"/>
      <c r="I23" s="8"/>
      <c r="J23" s="8"/>
      <c r="K23" s="8"/>
    </row>
    <row r="24" customFormat="false" ht="17.25" hidden="false" customHeight="true" outlineLevel="0" collapsed="false">
      <c r="B24" s="48" t="s">
        <v>1407</v>
      </c>
      <c r="C24" s="48"/>
      <c r="E24" s="55" t="s">
        <v>1408</v>
      </c>
    </row>
    <row r="25" customFormat="false" ht="17.25" hidden="false" customHeight="true" outlineLevel="0" collapsed="false">
      <c r="B25" s="23" t="s">
        <v>3305</v>
      </c>
      <c r="C25" s="23"/>
      <c r="E25" s="82" t="s">
        <v>3306</v>
      </c>
    </row>
    <row r="26" customFormat="false" ht="44.25" hidden="false" customHeight="true" outlineLevel="0" collapsed="false">
      <c r="B26" s="23" t="s">
        <v>3307</v>
      </c>
      <c r="C26" s="23"/>
      <c r="E26" s="82" t="s">
        <v>3308</v>
      </c>
    </row>
    <row r="27" customFormat="false" ht="31.5" hidden="false" customHeight="true" outlineLevel="0" collapsed="false">
      <c r="B27" s="23" t="s">
        <v>3309</v>
      </c>
      <c r="C27" s="23"/>
      <c r="E27" s="82" t="s">
        <v>3310</v>
      </c>
    </row>
    <row r="28" customFormat="false" ht="17.25" hidden="false" customHeight="true" outlineLevel="0" collapsed="false">
      <c r="B28" s="23" t="s">
        <v>3311</v>
      </c>
      <c r="C28" s="23"/>
      <c r="D28" s="23"/>
      <c r="E28" s="23"/>
      <c r="F28" s="23"/>
    </row>
    <row r="30" customFormat="false" ht="16.5" hidden="false" customHeight="true" outlineLevel="0" collapsed="false">
      <c r="B30" s="11" t="s">
        <v>1416</v>
      </c>
      <c r="C30" s="11" t="s">
        <v>1417</v>
      </c>
      <c r="D30" s="11" t="s">
        <v>1418</v>
      </c>
      <c r="E30" s="11" t="s">
        <v>1419</v>
      </c>
    </row>
    <row r="31" customFormat="false" ht="30.75" hidden="false" customHeight="true" outlineLevel="0" collapsed="false">
      <c r="B31" s="12" t="s">
        <v>3312</v>
      </c>
      <c r="C31" s="12" t="s">
        <v>3313</v>
      </c>
      <c r="D31" s="12" t="s">
        <v>3314</v>
      </c>
      <c r="E31" s="50" t="s">
        <v>1250</v>
      </c>
    </row>
    <row r="32" customFormat="false" ht="30.75" hidden="false" customHeight="true" outlineLevel="0" collapsed="false">
      <c r="B32" s="12" t="s">
        <v>3315</v>
      </c>
      <c r="C32" s="12" t="s">
        <v>3316</v>
      </c>
      <c r="D32" s="12" t="s">
        <v>3317</v>
      </c>
      <c r="E32" s="50" t="s">
        <v>964</v>
      </c>
    </row>
    <row r="33" customFormat="false" ht="30.75" hidden="false" customHeight="true" outlineLevel="0" collapsed="false">
      <c r="B33" s="12" t="s">
        <v>3318</v>
      </c>
      <c r="C33" s="12" t="s">
        <v>3319</v>
      </c>
      <c r="D33" s="12" t="s">
        <v>3320</v>
      </c>
      <c r="E33" s="50" t="s">
        <v>967</v>
      </c>
    </row>
    <row r="35" customFormat="false" ht="15.75" hidden="false" customHeight="true" outlineLevel="0" collapsed="false">
      <c r="B35" s="7" t="s">
        <v>1429</v>
      </c>
      <c r="C35" s="8"/>
      <c r="D35" s="8"/>
      <c r="E35" s="8"/>
      <c r="F35" s="8"/>
      <c r="G35" s="8"/>
      <c r="H35" s="8"/>
      <c r="I35" s="8"/>
      <c r="J35" s="8"/>
      <c r="K35" s="8"/>
    </row>
    <row r="36" customFormat="false" ht="17.25" hidden="false" customHeight="true" outlineLevel="0" collapsed="false">
      <c r="B36" s="51" t="s">
        <v>3321</v>
      </c>
      <c r="C36" s="51"/>
      <c r="D36" s="51"/>
      <c r="E36" s="51"/>
      <c r="F36" s="51"/>
    </row>
    <row r="37" customFormat="false" ht="17.25" hidden="false" customHeight="true" outlineLevel="0" collapsed="false">
      <c r="B37" s="52" t="s">
        <v>3322</v>
      </c>
      <c r="C37" s="52"/>
      <c r="D37" s="52"/>
      <c r="E37" s="52"/>
      <c r="F37" s="52"/>
    </row>
    <row r="38" customFormat="false" ht="17.25" hidden="false" customHeight="true" outlineLevel="0" collapsed="false">
      <c r="B38" s="52" t="s">
        <v>3323</v>
      </c>
      <c r="C38" s="52"/>
      <c r="D38" s="52"/>
      <c r="E38" s="52"/>
      <c r="F38" s="52"/>
    </row>
    <row r="39" customFormat="false" ht="17.25" hidden="false" customHeight="true" outlineLevel="0" collapsed="false">
      <c r="B39" s="52" t="s">
        <v>3324</v>
      </c>
      <c r="C39" s="52"/>
      <c r="D39" s="52"/>
      <c r="E39" s="52"/>
      <c r="F39" s="52"/>
    </row>
    <row r="40" customFormat="false" ht="15" hidden="false" customHeight="true" outlineLevel="0" collapsed="false">
      <c r="B40" s="59" t="s">
        <v>3325</v>
      </c>
    </row>
    <row r="41" customFormat="false" ht="15" hidden="false" customHeight="true" outlineLevel="0" collapsed="false">
      <c r="B41" s="59" t="s">
        <v>3326</v>
      </c>
    </row>
    <row r="42" customFormat="false" ht="15" hidden="false" customHeight="true" outlineLevel="0" collapsed="false">
      <c r="B42" s="59" t="s">
        <v>3327</v>
      </c>
    </row>
    <row r="43" customFormat="false" ht="17.25" hidden="false" customHeight="true" outlineLevel="0" collapsed="false">
      <c r="B43" s="51" t="s">
        <v>3328</v>
      </c>
      <c r="C43" s="51"/>
      <c r="D43" s="51"/>
      <c r="E43" s="51"/>
      <c r="F43" s="51"/>
    </row>
    <row r="44" customFormat="false" ht="17.25" hidden="false" customHeight="true" outlineLevel="0" collapsed="false">
      <c r="B44" s="52" t="s">
        <v>3329</v>
      </c>
      <c r="C44" s="52"/>
      <c r="D44" s="52"/>
      <c r="E44" s="52"/>
      <c r="F44" s="52"/>
    </row>
    <row r="45" customFormat="false" ht="17.25" hidden="false" customHeight="true" outlineLevel="0" collapsed="false">
      <c r="B45" s="52" t="s">
        <v>3330</v>
      </c>
      <c r="C45" s="52"/>
      <c r="D45" s="52"/>
      <c r="E45" s="52"/>
      <c r="F45" s="52"/>
    </row>
    <row r="47" customFormat="false" ht="15.75" hidden="false" customHeight="true" outlineLevel="0" collapsed="false">
      <c r="B47" s="7" t="s">
        <v>1437</v>
      </c>
      <c r="C47" s="8"/>
      <c r="D47" s="8"/>
      <c r="E47" s="8"/>
      <c r="F47" s="8"/>
      <c r="G47" s="8"/>
      <c r="H47" s="8"/>
      <c r="I47" s="8"/>
      <c r="J47" s="8"/>
      <c r="K47" s="8"/>
    </row>
    <row r="48" customFormat="false" ht="16.5" hidden="false" customHeight="true" outlineLevel="0" collapsed="false">
      <c r="B48" s="11" t="s">
        <v>1438</v>
      </c>
      <c r="C48" s="11" t="s">
        <v>1439</v>
      </c>
      <c r="D48" s="11" t="s">
        <v>1440</v>
      </c>
    </row>
    <row r="49" customFormat="false" ht="30.75" hidden="false" customHeight="true" outlineLevel="0" collapsed="false">
      <c r="B49" s="12" t="s">
        <v>2127</v>
      </c>
      <c r="C49" s="12" t="s">
        <v>3248</v>
      </c>
      <c r="D49" s="12" t="s">
        <v>3331</v>
      </c>
    </row>
    <row r="50" customFormat="false" ht="30.75" hidden="false" customHeight="true" outlineLevel="0" collapsed="false">
      <c r="B50" s="12" t="s">
        <v>2741</v>
      </c>
      <c r="C50" s="12" t="s">
        <v>2322</v>
      </c>
      <c r="D50" s="12" t="s">
        <v>3332</v>
      </c>
    </row>
    <row r="51" customFormat="false" ht="30.75" hidden="false" customHeight="true" outlineLevel="0" collapsed="false">
      <c r="B51" s="12" t="s">
        <v>2900</v>
      </c>
      <c r="C51" s="12" t="s">
        <v>3333</v>
      </c>
      <c r="D51" s="12" t="s">
        <v>3334</v>
      </c>
    </row>
    <row r="52" customFormat="false" ht="28.5" hidden="false" customHeight="true" outlineLevel="0" collapsed="false">
      <c r="B52" s="16" t="s">
        <v>1453</v>
      </c>
      <c r="C52" s="16"/>
      <c r="D52" s="16"/>
      <c r="E52" s="16"/>
      <c r="F52" s="16"/>
    </row>
    <row r="54" customFormat="false" ht="15.75" hidden="false" customHeight="true" outlineLevel="0" collapsed="false">
      <c r="B54" s="7" t="s">
        <v>1454</v>
      </c>
      <c r="C54" s="8"/>
      <c r="D54" s="8"/>
      <c r="E54" s="8"/>
      <c r="F54" s="8"/>
      <c r="G54" s="8"/>
      <c r="H54" s="8"/>
      <c r="I54" s="8"/>
      <c r="J54" s="8"/>
      <c r="K54" s="8"/>
    </row>
    <row r="55" customFormat="false" ht="8.25" hidden="false" customHeight="true" outlineLevel="0" collapsed="false">
      <c r="B55" s="9" t="s">
        <v>3335</v>
      </c>
      <c r="C55" s="9"/>
      <c r="D55" s="9"/>
      <c r="E55" s="9"/>
      <c r="F55" s="9"/>
    </row>
    <row r="56" customFormat="false" ht="8.25" hidden="false" customHeight="true" outlineLevel="0" collapsed="false">
      <c r="B56" s="9"/>
      <c r="C56" s="9"/>
      <c r="D56" s="9"/>
      <c r="E56" s="9"/>
      <c r="F56" s="9"/>
    </row>
    <row r="57" customFormat="false" ht="15" hidden="false" customHeight="true" outlineLevel="0" collapsed="false">
      <c r="B57" s="19" t="s">
        <v>85</v>
      </c>
      <c r="C57" s="41" t="s">
        <v>86</v>
      </c>
    </row>
    <row r="59" customFormat="false" ht="15" hidden="false" customHeight="true" outlineLevel="0" collapsed="false">
      <c r="B59" s="10" t="s">
        <v>3336</v>
      </c>
      <c r="C59" s="19" t="s">
        <v>3337</v>
      </c>
    </row>
    <row r="60" customFormat="false" ht="15" hidden="false" customHeight="true" outlineLevel="0" collapsed="false">
      <c r="B60" s="10" t="s">
        <v>3338</v>
      </c>
      <c r="C60" s="19" t="s">
        <v>3339</v>
      </c>
    </row>
    <row r="61" customFormat="false" ht="15" hidden="false" customHeight="true" outlineLevel="0" collapsed="false">
      <c r="B61" s="10" t="s">
        <v>3340</v>
      </c>
      <c r="C61" s="19" t="s">
        <v>98</v>
      </c>
    </row>
    <row r="62" customFormat="false" ht="15" hidden="false" customHeight="true" outlineLevel="0" collapsed="false">
      <c r="B62" s="10" t="s">
        <v>3341</v>
      </c>
      <c r="C62" s="19" t="s">
        <v>1380</v>
      </c>
    </row>
    <row r="63" customFormat="false" ht="15" hidden="false" customHeight="true" outlineLevel="0" collapsed="false">
      <c r="B63" s="10" t="s">
        <v>3342</v>
      </c>
      <c r="C63" s="19" t="s">
        <v>98</v>
      </c>
    </row>
    <row r="65" customFormat="false" ht="17.25" hidden="false" customHeight="true" outlineLevel="0" collapsed="false">
      <c r="B65" s="10" t="s">
        <v>3343</v>
      </c>
      <c r="C65" s="81" t="str">
        <f aca="false">IF($C$59="binary",IF($C$60="none - compare with a target","E-29  One-Proportion Test",IF($C$60="two groups","E-29  Two-Proportion Test",IF($C$60="three or more groups","E-30  Chi-Square Test of Independence","E-39  Binary Logistic Regression"))),IF($C$59="count",IF($C$60="none - compare with a target","E-11  One-Sample Poisson Rate Test",IF($C$60="two groups","E-11  Two-Sample Poisson Rate Test",IF($C$60="three or more groups","E-30  Chi-Square on a Count Table","E-38  Regression on the Rate"))),IF($C$59="ordinal",IF($C$60="none - compare with a target","E-31  Sign / Wilcoxon Signed Rank",IF($C$60="two groups","E-31  Mann-Whitney",IF($C$60="three or more groups","E-31  Kruskal-Wallis","E-34  Spearman Rank Correlation"))),IF($C$62="No",IF($C$60="none - compare with a target","E-31  Wilcoxon Signed Rank  (or transform on E-33)",IF($C$60="two groups","E-31  Mann-Whitney  (or transform on E-33)",IF($C$60="three or more groups","E-31  Kruskal-Wallis  (or transform on E-33)","E-34  Spearman Rank Correlation"))),IF($C$60="none - compare with a target","E-23  One-Sample t-Test",IF($C$60="two groups",IF($C$61="Yes","E-25  Paired t-Test",IF($C$63="Yes","E-24  Two-Sample t-Test (pooled)","E-24  Two-Sample t-Test (Welch)")),IF($C$60="three or more groups","E-26  One-Way ANOVA with Tukey HSD","E-36  Simple Linear Regression")))))))</f>
        <v>E-24  Two-Sample t-Test (Welch)</v>
      </c>
      <c r="D65" s="81"/>
    </row>
    <row r="66" customFormat="false" ht="31.5" hidden="false" customHeight="true" outlineLevel="0" collapsed="false">
      <c r="B66" s="10" t="s">
        <v>3344</v>
      </c>
      <c r="C66" s="81" t="str">
        <f aca="false">IF($C$59&lt;&gt;"continuous","The Y is not continuous, so the parametric family does not apply.",IF($C$62="No","Normality failed, so the nonparametric alternative is the safe route.",IF(AND($C$60="two groups",$C$61="Yes"),"Pairing removes the between-unit variation and raises power sharply.",IF(AND($C$60="two groups",$C$63&lt;&gt;"Yes"),"Variances are not demonstrably equal, so Welch is the modern default.","Standard parametric route: assumptions hold."))))</f>
        <v>Variances are not demonstrably equal, so Welch is the modern default.</v>
      </c>
      <c r="D66" s="81"/>
    </row>
    <row r="67" customFormat="false" ht="17.25" hidden="false" customHeight="true" outlineLevel="0" collapsed="false">
      <c r="B67" s="10" t="s">
        <v>3345</v>
      </c>
      <c r="C67" s="81" t="str">
        <f aca="false">IF($C$59="continuous","E-32 normality  +  E-28 equality of variance  +  E-59 Gage R&amp;R","E-59 Gage R&amp;R  +  E-20 sample size (attribute data needs far more units)")</f>
        <v>E-32 normality  +  E-28 equality of variance  +  E-59 Gage R&amp;R</v>
      </c>
      <c r="D67" s="81"/>
    </row>
    <row r="68" customFormat="false" ht="31.5" hidden="false" customHeight="true" outlineLevel="0" collapsed="false">
      <c r="B68" s="10" t="s">
        <v>3346</v>
      </c>
      <c r="C68" s="81" t="str">
        <f aca="false">"E-21 practical significance"&amp;IF($C$62="Yes","  +  E-19 power if the result is not significant","")</f>
        <v>E-21 practical significance  +  E-19 power if the result is not significant</v>
      </c>
      <c r="D68" s="81"/>
    </row>
    <row r="70" customFormat="false" ht="15.75" hidden="false" customHeight="true" outlineLevel="0" collapsed="false">
      <c r="B70" s="7" t="s">
        <v>3347</v>
      </c>
      <c r="C70" s="8"/>
      <c r="D70" s="8"/>
      <c r="E70" s="8"/>
      <c r="F70" s="8"/>
      <c r="G70" s="8"/>
      <c r="H70" s="8"/>
      <c r="I70" s="8"/>
      <c r="J70" s="8"/>
      <c r="K70" s="8"/>
    </row>
    <row r="71" customFormat="false" ht="15" hidden="false" customHeight="true" outlineLevel="0" collapsed="false">
      <c r="B71" s="38" t="s">
        <v>3348</v>
      </c>
    </row>
    <row r="72" customFormat="false" ht="11.25" hidden="false" customHeight="true" outlineLevel="0" collapsed="false">
      <c r="B72" s="35" t="s">
        <v>3349</v>
      </c>
      <c r="C72" s="35"/>
      <c r="D72" s="35"/>
      <c r="E72" s="35"/>
      <c r="F72" s="35"/>
    </row>
    <row r="73" customFormat="false" ht="11.25" hidden="false" customHeight="true" outlineLevel="0" collapsed="false">
      <c r="B73" s="35"/>
      <c r="C73" s="35"/>
      <c r="D73" s="35"/>
      <c r="E73" s="35"/>
      <c r="F73" s="35"/>
    </row>
    <row r="74" customFormat="false" ht="11.25" hidden="false" customHeight="true" outlineLevel="0" collapsed="false">
      <c r="B74" s="35"/>
      <c r="C74" s="35"/>
      <c r="D74" s="35"/>
      <c r="E74" s="35"/>
      <c r="F74" s="35"/>
    </row>
    <row r="75" customFormat="false" ht="11.25" hidden="false" customHeight="true" outlineLevel="0" collapsed="false">
      <c r="B75" s="35"/>
      <c r="C75" s="35"/>
      <c r="D75" s="35"/>
      <c r="E75" s="35"/>
      <c r="F75" s="35"/>
    </row>
    <row r="76" customFormat="false" ht="15" hidden="false" customHeight="true" outlineLevel="0" collapsed="false">
      <c r="B76" s="38" t="s">
        <v>3350</v>
      </c>
    </row>
    <row r="77" customFormat="false" ht="7.5" hidden="false" customHeight="true" outlineLevel="0" collapsed="false">
      <c r="B77" s="35" t="s">
        <v>3351</v>
      </c>
      <c r="C77" s="35"/>
      <c r="D77" s="35"/>
      <c r="E77" s="35"/>
      <c r="F77" s="35"/>
    </row>
    <row r="78" customFormat="false" ht="7.5" hidden="false" customHeight="true" outlineLevel="0" collapsed="false">
      <c r="B78" s="35"/>
      <c r="C78" s="35"/>
      <c r="D78" s="35"/>
      <c r="E78" s="35"/>
      <c r="F78" s="35"/>
    </row>
    <row r="79" customFormat="false" ht="7.5" hidden="false" customHeight="true" outlineLevel="0" collapsed="false">
      <c r="B79" s="35"/>
      <c r="C79" s="35"/>
      <c r="D79" s="35"/>
      <c r="E79" s="35"/>
      <c r="F79" s="35"/>
    </row>
    <row r="80" customFormat="false" ht="7.5" hidden="false" customHeight="true" outlineLevel="0" collapsed="false">
      <c r="B80" s="35"/>
      <c r="C80" s="35"/>
      <c r="D80" s="35"/>
      <c r="E80" s="35"/>
      <c r="F80" s="35"/>
    </row>
    <row r="81" customFormat="false" ht="17.25" hidden="false" customHeight="true" outlineLevel="0" collapsed="false">
      <c r="B81" s="34" t="s">
        <v>3352</v>
      </c>
      <c r="C81" s="34"/>
      <c r="D81" s="34"/>
      <c r="E81" s="34"/>
      <c r="F81" s="34"/>
    </row>
    <row r="82" customFormat="false" ht="8.25" hidden="false" customHeight="true" outlineLevel="0" collapsed="false">
      <c r="B82" s="35" t="s">
        <v>3353</v>
      </c>
      <c r="C82" s="35"/>
      <c r="D82" s="35"/>
      <c r="E82" s="35"/>
      <c r="F82" s="35"/>
    </row>
    <row r="83" customFormat="false" ht="8.25" hidden="false" customHeight="true" outlineLevel="0" collapsed="false">
      <c r="B83" s="35"/>
      <c r="C83" s="35"/>
      <c r="D83" s="35"/>
      <c r="E83" s="35"/>
      <c r="F83" s="35"/>
    </row>
    <row r="84" customFormat="false" ht="17.25" hidden="false" customHeight="true" outlineLevel="0" collapsed="false">
      <c r="B84" s="34" t="s">
        <v>3354</v>
      </c>
      <c r="C84" s="34"/>
      <c r="D84" s="34"/>
      <c r="E84" s="34"/>
      <c r="F84" s="34"/>
    </row>
    <row r="85" customFormat="false" ht="15" hidden="false" customHeight="true" outlineLevel="0" collapsed="false">
      <c r="B85" s="85" t="s">
        <v>3355</v>
      </c>
    </row>
    <row r="86" customFormat="false" ht="17.25" hidden="false" customHeight="true" outlineLevel="0" collapsed="false">
      <c r="B86" s="35" t="s">
        <v>3356</v>
      </c>
      <c r="C86" s="35"/>
      <c r="D86" s="35"/>
      <c r="E86" s="35"/>
      <c r="F86" s="35"/>
    </row>
    <row r="87" customFormat="false" ht="17.25" hidden="false" customHeight="true" outlineLevel="0" collapsed="false">
      <c r="B87" s="34" t="s">
        <v>3357</v>
      </c>
      <c r="C87" s="34"/>
      <c r="D87" s="34"/>
      <c r="E87" s="34"/>
      <c r="F87" s="34"/>
    </row>
    <row r="88" customFormat="false" ht="15" hidden="false" customHeight="true" outlineLevel="0" collapsed="false">
      <c r="B88" s="85" t="s">
        <v>3358</v>
      </c>
    </row>
    <row r="89" customFormat="false" ht="17.25" hidden="false" customHeight="true" outlineLevel="0" collapsed="false">
      <c r="B89" s="35" t="s">
        <v>3359</v>
      </c>
      <c r="C89" s="35"/>
      <c r="D89" s="35"/>
      <c r="E89" s="35"/>
      <c r="F89" s="35"/>
    </row>
    <row r="90" customFormat="false" ht="17.25" hidden="false" customHeight="true" outlineLevel="0" collapsed="false">
      <c r="B90" s="34" t="s">
        <v>3360</v>
      </c>
      <c r="C90" s="34"/>
      <c r="D90" s="34"/>
      <c r="E90" s="34"/>
      <c r="F90" s="34"/>
    </row>
    <row r="91" customFormat="false" ht="17.25" hidden="false" customHeight="true" outlineLevel="0" collapsed="false">
      <c r="B91" s="35" t="s">
        <v>3361</v>
      </c>
      <c r="C91" s="35"/>
      <c r="D91" s="35"/>
      <c r="E91" s="35"/>
      <c r="F91" s="35"/>
    </row>
    <row r="92" customFormat="false" ht="17.25" hidden="false" customHeight="true" outlineLevel="0" collapsed="false">
      <c r="B92" s="35" t="s">
        <v>3362</v>
      </c>
      <c r="C92" s="35"/>
      <c r="D92" s="35"/>
      <c r="E92" s="35"/>
      <c r="F92" s="35"/>
    </row>
    <row r="94" customFormat="false" ht="15.75" hidden="false" customHeight="true" outlineLevel="0" collapsed="false">
      <c r="B94" s="7" t="s">
        <v>3363</v>
      </c>
      <c r="C94" s="8"/>
      <c r="D94" s="8"/>
      <c r="E94" s="8"/>
      <c r="F94" s="8"/>
      <c r="G94" s="8"/>
      <c r="H94" s="8"/>
      <c r="I94" s="8"/>
      <c r="J94" s="8"/>
      <c r="K94" s="8"/>
    </row>
    <row r="95" customFormat="false" ht="16.5" hidden="false" customHeight="true" outlineLevel="0" collapsed="false">
      <c r="B95" s="11" t="s">
        <v>3364</v>
      </c>
      <c r="C95" s="11" t="s">
        <v>961</v>
      </c>
      <c r="D95" s="11" t="s">
        <v>3365</v>
      </c>
    </row>
    <row r="96" customFormat="false" ht="16.5" hidden="false" customHeight="true" outlineLevel="0" collapsed="false">
      <c r="B96" s="12" t="s">
        <v>854</v>
      </c>
      <c r="C96" s="22" t="s">
        <v>1053</v>
      </c>
      <c r="D96" s="86" t="s">
        <v>1191</v>
      </c>
    </row>
    <row r="97" customFormat="false" ht="16.5" hidden="false" customHeight="true" outlineLevel="0" collapsed="false">
      <c r="B97" s="12" t="s">
        <v>855</v>
      </c>
      <c r="C97" s="22" t="s">
        <v>1119</v>
      </c>
      <c r="D97" s="86" t="s">
        <v>1191</v>
      </c>
    </row>
    <row r="98" customFormat="false" ht="16.5" hidden="false" customHeight="true" outlineLevel="0" collapsed="false">
      <c r="B98" s="12" t="s">
        <v>3366</v>
      </c>
      <c r="C98" s="22" t="s">
        <v>3367</v>
      </c>
      <c r="D98" s="86" t="s">
        <v>1191</v>
      </c>
    </row>
    <row r="99" customFormat="false" ht="16.5" hidden="false" customHeight="true" outlineLevel="0" collapsed="false">
      <c r="B99" s="12" t="s">
        <v>3368</v>
      </c>
      <c r="C99" s="22" t="s">
        <v>1037</v>
      </c>
      <c r="D99" s="86" t="s">
        <v>1191</v>
      </c>
    </row>
    <row r="100" customFormat="false" ht="16.5" hidden="false" customHeight="true" outlineLevel="0" collapsed="false">
      <c r="B100" s="12" t="s">
        <v>3369</v>
      </c>
      <c r="C100" s="22" t="s">
        <v>3370</v>
      </c>
      <c r="D100" s="86" t="s">
        <v>1191</v>
      </c>
    </row>
    <row r="101" customFormat="false" ht="16.5" hidden="false" customHeight="true" outlineLevel="0" collapsed="false">
      <c r="B101" s="12" t="s">
        <v>3371</v>
      </c>
      <c r="C101" s="22" t="s">
        <v>967</v>
      </c>
      <c r="D101" s="86" t="s">
        <v>967</v>
      </c>
    </row>
    <row r="102" customFormat="false" ht="16.5" hidden="false" customHeight="true" outlineLevel="0" collapsed="false">
      <c r="B102" s="12" t="s">
        <v>3372</v>
      </c>
      <c r="C102" s="22" t="s">
        <v>1074</v>
      </c>
      <c r="D102" s="86" t="s">
        <v>1098</v>
      </c>
    </row>
    <row r="103" customFormat="false" ht="16.5" hidden="false" customHeight="true" outlineLevel="0" collapsed="false">
      <c r="B103" s="12" t="s">
        <v>3373</v>
      </c>
      <c r="C103" s="22" t="s">
        <v>1098</v>
      </c>
      <c r="D103" s="86" t="s">
        <v>1098</v>
      </c>
    </row>
    <row r="104" customFormat="false" ht="16.5" hidden="false" customHeight="true" outlineLevel="0" collapsed="false">
      <c r="B104" s="12" t="s">
        <v>3374</v>
      </c>
      <c r="C104" s="22" t="s">
        <v>3375</v>
      </c>
      <c r="D104" s="86" t="s">
        <v>3375</v>
      </c>
    </row>
    <row r="106" customFormat="false" ht="15.75" hidden="false" customHeight="true" outlineLevel="0" collapsed="false">
      <c r="B106" s="7" t="s">
        <v>1493</v>
      </c>
      <c r="C106" s="8"/>
      <c r="D106" s="8"/>
      <c r="E106" s="8"/>
      <c r="F106" s="8"/>
      <c r="G106" s="8"/>
      <c r="H106" s="8"/>
      <c r="I106" s="8"/>
      <c r="J106" s="8"/>
      <c r="K106" s="8"/>
    </row>
    <row r="107" customFormat="false" ht="33.75" hidden="false" customHeight="true" outlineLevel="0" collapsed="false">
      <c r="B107" s="53" t="s">
        <v>1494</v>
      </c>
      <c r="C107" s="54" t="str">
        <f aca="false">C65&amp;"     |     "&amp;C66</f>
        <v>E-24  Two-Sample t-Test (Welch)     |     Variances are not demonstrably equal, so Welch is the modern default.</v>
      </c>
      <c r="D107" s="54"/>
    </row>
    <row r="109" customFormat="false" ht="17.25" hidden="false" customHeight="true" outlineLevel="0" collapsed="false">
      <c r="B109" s="11" t="s">
        <v>1495</v>
      </c>
      <c r="C109" s="11" t="s">
        <v>1496</v>
      </c>
      <c r="D109" s="11" t="s">
        <v>1497</v>
      </c>
      <c r="E109" s="11"/>
    </row>
    <row r="110" customFormat="false" ht="17.25" hidden="false" customHeight="true" outlineLevel="0" collapsed="false">
      <c r="B110" s="12" t="s">
        <v>3368</v>
      </c>
      <c r="C110" s="12" t="s">
        <v>3376</v>
      </c>
      <c r="D110" s="12" t="s">
        <v>3377</v>
      </c>
      <c r="E110" s="12"/>
    </row>
    <row r="111" customFormat="false" ht="31.5" hidden="false" customHeight="true" outlineLevel="0" collapsed="false">
      <c r="B111" s="12" t="s">
        <v>3378</v>
      </c>
      <c r="C111" s="12" t="s">
        <v>3379</v>
      </c>
      <c r="D111" s="12" t="s">
        <v>3380</v>
      </c>
      <c r="E111" s="12"/>
    </row>
    <row r="112" customFormat="false" ht="17.25" hidden="false" customHeight="true" outlineLevel="0" collapsed="false">
      <c r="B112" s="12" t="s">
        <v>3381</v>
      </c>
      <c r="C112" s="12" t="s">
        <v>3382</v>
      </c>
      <c r="D112" s="12" t="s">
        <v>3383</v>
      </c>
      <c r="E112" s="12"/>
    </row>
    <row r="113" customFormat="false" ht="17.25" hidden="false" customHeight="true" outlineLevel="0" collapsed="false">
      <c r="B113" s="12" t="s">
        <v>3384</v>
      </c>
      <c r="C113" s="12" t="s">
        <v>3385</v>
      </c>
      <c r="D113" s="12" t="s">
        <v>3386</v>
      </c>
      <c r="E113" s="12"/>
    </row>
    <row r="115" customFormat="false" ht="15" hidden="false" customHeight="true" outlineLevel="0" collapsed="false">
      <c r="B115" s="55" t="s">
        <v>1507</v>
      </c>
    </row>
    <row r="116" customFormat="false" ht="17.25" hidden="false" customHeight="true" outlineLevel="0" collapsed="false">
      <c r="B116" s="9" t="s">
        <v>3387</v>
      </c>
      <c r="C116" s="9"/>
      <c r="D116" s="9"/>
      <c r="E116" s="9"/>
      <c r="F116" s="9"/>
    </row>
    <row r="117" customFormat="false" ht="17.25" hidden="false" customHeight="true" outlineLevel="0" collapsed="false">
      <c r="B117" s="9" t="s">
        <v>3388</v>
      </c>
      <c r="C117" s="9"/>
      <c r="D117" s="9"/>
      <c r="E117" s="9"/>
      <c r="F117" s="9"/>
    </row>
    <row r="118" customFormat="false" ht="17.25" hidden="false" customHeight="true" outlineLevel="0" collapsed="false">
      <c r="B118" s="9" t="s">
        <v>3389</v>
      </c>
      <c r="C118" s="9"/>
      <c r="D118" s="9"/>
      <c r="E118" s="9"/>
      <c r="F118" s="9"/>
    </row>
    <row r="119" customFormat="false" ht="17.25" hidden="false" customHeight="true" outlineLevel="0" collapsed="false">
      <c r="B119" s="9" t="s">
        <v>3390</v>
      </c>
      <c r="C119" s="9"/>
      <c r="D119" s="9"/>
      <c r="E119" s="9"/>
      <c r="F119" s="9"/>
    </row>
    <row r="120" customFormat="false" ht="17.25" hidden="false" customHeight="true" outlineLevel="0" collapsed="false">
      <c r="B120" s="9" t="s">
        <v>3391</v>
      </c>
      <c r="C120" s="9"/>
      <c r="D120" s="9"/>
      <c r="E120" s="9"/>
      <c r="F120" s="9"/>
    </row>
    <row r="122" customFormat="false" ht="15.75" hidden="false" customHeight="true" outlineLevel="0" collapsed="false">
      <c r="B122" s="7" t="s">
        <v>1513</v>
      </c>
      <c r="C122" s="8"/>
      <c r="D122" s="8"/>
      <c r="E122" s="8"/>
      <c r="F122" s="8"/>
      <c r="G122" s="8"/>
      <c r="H122" s="8"/>
      <c r="I122" s="8"/>
      <c r="J122" s="8"/>
      <c r="K122" s="8"/>
    </row>
    <row r="123" customFormat="false" ht="17.25" hidden="false" customHeight="true" outlineLevel="0" collapsed="false">
      <c r="B123" s="9" t="s">
        <v>1514</v>
      </c>
      <c r="C123" s="9"/>
      <c r="D123" s="9"/>
      <c r="E123" s="9"/>
      <c r="N123" s="56" t="s">
        <v>1515</v>
      </c>
    </row>
    <row r="124" customFormat="false" ht="17.25" hidden="false" customHeight="true" outlineLevel="0" collapsed="false">
      <c r="B124" s="9" t="s">
        <v>3392</v>
      </c>
      <c r="C124" s="9"/>
      <c r="D124" s="9"/>
      <c r="E124" s="9"/>
      <c r="N124" s="57" t="s">
        <v>3393</v>
      </c>
    </row>
    <row r="125" customFormat="false" ht="17.25" hidden="false" customHeight="true" outlineLevel="0" collapsed="false">
      <c r="B125" s="9" t="s">
        <v>3394</v>
      </c>
      <c r="C125" s="9"/>
      <c r="D125" s="9"/>
      <c r="E125" s="9"/>
      <c r="N125" s="57" t="s">
        <v>3395</v>
      </c>
    </row>
    <row r="126" customFormat="false" ht="17.25" hidden="false" customHeight="true" outlineLevel="0" collapsed="false">
      <c r="B126" s="9" t="s">
        <v>3396</v>
      </c>
      <c r="C126" s="9"/>
      <c r="D126" s="9"/>
      <c r="E126" s="9"/>
      <c r="N126" s="57" t="s">
        <v>3397</v>
      </c>
    </row>
    <row r="128" customFormat="false" ht="15.75" hidden="false" customHeight="true" outlineLevel="0" collapsed="false">
      <c r="B128" s="7" t="s">
        <v>1522</v>
      </c>
      <c r="C128" s="8"/>
      <c r="D128" s="8"/>
      <c r="E128" s="8"/>
      <c r="F128" s="8"/>
      <c r="G128" s="8"/>
      <c r="H128" s="8"/>
      <c r="I128" s="8"/>
      <c r="J128" s="8"/>
      <c r="K128" s="8"/>
    </row>
    <row r="129" customFormat="false" ht="16.5" hidden="false" customHeight="true" outlineLevel="0" collapsed="false">
      <c r="B129" s="11" t="s">
        <v>1523</v>
      </c>
      <c r="C129" s="11" t="s">
        <v>1524</v>
      </c>
      <c r="D129" s="11" t="s">
        <v>3398</v>
      </c>
    </row>
    <row r="130" customFormat="false" ht="30.75" hidden="false" customHeight="true" outlineLevel="0" collapsed="false">
      <c r="B130" s="58" t="s">
        <v>1194</v>
      </c>
      <c r="C130" s="58" t="s">
        <v>1053</v>
      </c>
      <c r="D130" s="58" t="s">
        <v>964</v>
      </c>
    </row>
  </sheetData>
  <mergeCells count="55">
    <mergeCell ref="B2:J2"/>
    <mergeCell ref="D3:E3"/>
    <mergeCell ref="C6:D6"/>
    <mergeCell ref="C7:D7"/>
    <mergeCell ref="C8:D8"/>
    <mergeCell ref="B11:F12"/>
    <mergeCell ref="B13:F13"/>
    <mergeCell ref="B14:F15"/>
    <mergeCell ref="B16:F17"/>
    <mergeCell ref="B18:F19"/>
    <mergeCell ref="B20:F21"/>
    <mergeCell ref="B24:C24"/>
    <mergeCell ref="B25:C25"/>
    <mergeCell ref="B26:C26"/>
    <mergeCell ref="B27:C27"/>
    <mergeCell ref="B28:F28"/>
    <mergeCell ref="B36:F36"/>
    <mergeCell ref="B37:F37"/>
    <mergeCell ref="B38:F38"/>
    <mergeCell ref="B39:F39"/>
    <mergeCell ref="B43:F43"/>
    <mergeCell ref="B44:F44"/>
    <mergeCell ref="B45:F45"/>
    <mergeCell ref="B52:F52"/>
    <mergeCell ref="B55:F56"/>
    <mergeCell ref="C65:D65"/>
    <mergeCell ref="C66:D66"/>
    <mergeCell ref="C67:D67"/>
    <mergeCell ref="C68:D68"/>
    <mergeCell ref="B72:F75"/>
    <mergeCell ref="B77:F80"/>
    <mergeCell ref="B81:F81"/>
    <mergeCell ref="B82:F83"/>
    <mergeCell ref="B84:F84"/>
    <mergeCell ref="B86:F86"/>
    <mergeCell ref="B87:F87"/>
    <mergeCell ref="B89:F89"/>
    <mergeCell ref="B90:F90"/>
    <mergeCell ref="B91:F91"/>
    <mergeCell ref="B92:F92"/>
    <mergeCell ref="C107:D107"/>
    <mergeCell ref="D109:E109"/>
    <mergeCell ref="D110:E110"/>
    <mergeCell ref="D111:E111"/>
    <mergeCell ref="D112:E112"/>
    <mergeCell ref="D113:E113"/>
    <mergeCell ref="B116:F116"/>
    <mergeCell ref="B117:F117"/>
    <mergeCell ref="B118:F118"/>
    <mergeCell ref="B119:F119"/>
    <mergeCell ref="B120:F120"/>
    <mergeCell ref="B123:E123"/>
    <mergeCell ref="B124:E124"/>
    <mergeCell ref="B125:E125"/>
    <mergeCell ref="B126:E126"/>
  </mergeCells>
  <dataValidations count="4">
    <dataValidation allowBlank="false" errorStyle="stop" operator="between" showDropDown="false" showErrorMessage="false" showInputMessage="false" sqref="C59" type="list">
      <formula1>"continuous,binary,count,ordinal"</formula1>
      <formula2>0</formula2>
    </dataValidation>
    <dataValidation allowBlank="false" errorStyle="stop" operator="between" showDropDown="false" showErrorMessage="false" showInputMessage="false" sqref="C60" type="list">
      <formula1>"none - compare with a target,two groups,three or more groups,continuous"</formula1>
      <formula2>0</formula2>
    </dataValidation>
    <dataValidation allowBlank="false" errorStyle="stop" operator="between" showDropDown="false" showErrorMessage="false" showInputMessage="false" sqref="C61" type="list">
      <formula1>"Yes,No"</formula1>
      <formula2>0</formula2>
    </dataValidation>
    <dataValidation allowBlank="false" errorStyle="stop" operator="between" showDropDown="false" showErrorMessage="false" showInputMessage="false" sqref="C62:C63" type="list">
      <formula1>"Yes,No,Not checked"</formula1>
      <formula2>0</formula2>
    </dataValidation>
  </dataValidations>
  <hyperlinks>
    <hyperlink ref="B3" location="'N-03 Index DMAIC'!A1" display="← Back to Index"/>
    <hyperlink ref="E31" location="'H-01 Project Charter'!A1" display="H-01  Project Charter"/>
    <hyperlink ref="E32" location="'E-32 Normality Testing'!A1" display="E-32  Normality Testing and Probability Plots"/>
    <hyperlink ref="E33" location="'E-28 Variance Tests'!A1" display="E-28  Tests for Variance: F, Levene, Bartlett"/>
    <hyperlink ref="C96" location="'E-23 1-Sample t-Test'!A1" display="E-23  One-Sample t-Test"/>
    <hyperlink ref="D96" location="'E-31 Nonparametric Tests'!A1" display="E-31  Nonparametric Tests"/>
    <hyperlink ref="C97" location="'E-24 2-Sample t-Test'!A1" display="E-24  Two-Sample t-Test (Welch and Pooled)"/>
    <hyperlink ref="D97" location="'E-31 Nonparametric Tests'!A1" display="E-31  Nonparametric Tests"/>
    <hyperlink ref="C98" location="'E-25 Paired t-Test'!A1" display="E-25  Paired t-Test"/>
    <hyperlink ref="D98" location="'E-31 Nonparametric Tests'!A1" display="E-31  Nonparametric Tests"/>
    <hyperlink ref="C99" location="'E-26 One-Way ANOVA'!A1" display="E-26  One-Way ANOVA with Tukey HSD"/>
    <hyperlink ref="D99" location="'E-31 Nonparametric Tests'!A1" display="E-31  Nonparametric Tests"/>
    <hyperlink ref="C100" location="'E-27 Two-Way ANOVA'!A1" display="E-27  Two-Way ANOVA and Interactions"/>
    <hyperlink ref="D100" location="'E-31 Nonparametric Tests'!A1" display="E-31  Nonparametric Tests"/>
    <hyperlink ref="C101" location="'E-28 Variance Tests'!A1" display="E-28  Tests for Variance: F, Levene, Bartlett"/>
    <hyperlink ref="D101" location="'E-28 Variance Tests'!A1" display="E-28  Tests for Variance: F, Levene, Bartlett"/>
    <hyperlink ref="C102" location="'E-29 Proportion Tests'!A1" display="E-29  One and Two Proportion Tests"/>
    <hyperlink ref="D102" location="'E-30 Chi-Square Tests'!A1" display="E-30  Chi-Square Tests and Fisher Exact"/>
    <hyperlink ref="C103" location="'E-30 Chi-Square Tests'!A1" display="E-30  Chi-Square Tests and Fisher Exact"/>
    <hyperlink ref="D103" location="'E-30 Chi-Square Tests'!A1" display="E-30  Chi-Square Tests and Fisher Exact"/>
    <hyperlink ref="C104" location="'E-34 Correlation'!A1" display="E-34  Scatter Plots and Correlation"/>
    <hyperlink ref="D104" location="'E-34 Correlation'!A1" display="E-34  Scatter Plots and Correlation"/>
    <hyperlink ref="B130" location="'E-21 Statistical vs Practical'!A1" display="E-21  Statistical vs Practical Significance"/>
    <hyperlink ref="C130" location="'E-23 1-Sample t-Test'!A1" display="E-23  One-Sample t-Test"/>
    <hyperlink ref="D130" location="'E-32 Normality Testing'!A1" display="E-32  Normality Testing and Probability Plo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3399</v>
      </c>
      <c r="C2" s="3"/>
      <c r="D2" s="3"/>
      <c r="E2" s="3"/>
      <c r="F2" s="3"/>
      <c r="G2" s="3"/>
      <c r="H2" s="3"/>
      <c r="I2" s="3"/>
      <c r="J2" s="3"/>
      <c r="K2" s="80" t="s">
        <v>2864</v>
      </c>
    </row>
    <row r="3" customFormat="false" ht="42" hidden="false" customHeight="true" outlineLevel="0" collapsed="false">
      <c r="B3" s="5" t="s">
        <v>3</v>
      </c>
      <c r="D3" s="6" t="s">
        <v>3400</v>
      </c>
      <c r="E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3401</v>
      </c>
      <c r="D6" s="9"/>
    </row>
    <row r="7" customFormat="false" ht="31.5" hidden="false" customHeight="true" outlineLevel="0" collapsed="false">
      <c r="B7" s="47" t="s">
        <v>1394</v>
      </c>
      <c r="C7" s="9" t="s">
        <v>3402</v>
      </c>
      <c r="D7" s="9"/>
    </row>
    <row r="8" customFormat="false" ht="17.25" hidden="false" customHeight="true" outlineLevel="0" collapsed="false">
      <c r="B8" s="47" t="s">
        <v>1396</v>
      </c>
      <c r="C8" s="9" t="s">
        <v>3403</v>
      </c>
      <c r="D8" s="9"/>
    </row>
    <row r="10" customFormat="false" ht="15.75" hidden="false" customHeight="true" outlineLevel="0" collapsed="false">
      <c r="B10" s="7" t="s">
        <v>1398</v>
      </c>
      <c r="C10" s="8"/>
      <c r="D10" s="8"/>
      <c r="E10" s="8"/>
      <c r="F10" s="8"/>
      <c r="G10" s="8"/>
      <c r="H10" s="8"/>
      <c r="I10" s="8"/>
      <c r="J10" s="8"/>
      <c r="K10" s="8"/>
    </row>
    <row r="11" customFormat="false" ht="8.25" hidden="false" customHeight="true" outlineLevel="0" collapsed="false">
      <c r="B11" s="9" t="s">
        <v>3404</v>
      </c>
      <c r="C11" s="9"/>
      <c r="D11" s="9"/>
      <c r="E11" s="9"/>
      <c r="F11" s="9"/>
    </row>
    <row r="12" customFormat="false" ht="8.25" hidden="false" customHeight="true" outlineLevel="0" collapsed="false">
      <c r="B12" s="9"/>
      <c r="C12" s="9"/>
      <c r="D12" s="9"/>
      <c r="E12" s="9"/>
      <c r="F12" s="9"/>
    </row>
    <row r="13" customFormat="false" ht="15.75" hidden="false" customHeight="true" outlineLevel="0" collapsed="false">
      <c r="B13" s="9" t="s">
        <v>3405</v>
      </c>
      <c r="C13" s="9"/>
      <c r="D13" s="9"/>
      <c r="E13" s="9"/>
      <c r="F13" s="9"/>
    </row>
    <row r="14" customFormat="false" ht="15.75" hidden="false" customHeight="true" outlineLevel="0" collapsed="false">
      <c r="B14" s="9"/>
      <c r="C14" s="9"/>
      <c r="D14" s="9"/>
      <c r="E14" s="9"/>
      <c r="F14" s="9"/>
    </row>
    <row r="15" customFormat="false" ht="17.25" hidden="false" customHeight="true" outlineLevel="0" collapsed="false">
      <c r="B15" s="9" t="s">
        <v>3406</v>
      </c>
      <c r="C15" s="9"/>
      <c r="D15" s="9"/>
      <c r="E15" s="9"/>
      <c r="F15" s="9"/>
    </row>
    <row r="16" customFormat="false" ht="15.75" hidden="false" customHeight="true" outlineLevel="0" collapsed="false">
      <c r="B16" s="9" t="s">
        <v>3407</v>
      </c>
      <c r="C16" s="9"/>
      <c r="D16" s="9"/>
      <c r="E16" s="9"/>
      <c r="F16" s="9"/>
    </row>
    <row r="17" customFormat="false" ht="15.75" hidden="false" customHeight="true" outlineLevel="0" collapsed="false">
      <c r="B17" s="9"/>
      <c r="C17" s="9"/>
      <c r="D17" s="9"/>
      <c r="E17" s="9"/>
      <c r="F17" s="9"/>
    </row>
    <row r="18" customFormat="false" ht="15" hidden="false" customHeight="true" outlineLevel="0" collapsed="false">
      <c r="B18" s="9" t="s">
        <v>3408</v>
      </c>
      <c r="C18" s="9"/>
      <c r="D18" s="9"/>
      <c r="E18" s="9"/>
      <c r="F18" s="9"/>
    </row>
    <row r="19" customFormat="false" ht="15" hidden="false" customHeight="true" outlineLevel="0" collapsed="false">
      <c r="B19" s="9"/>
      <c r="C19" s="9"/>
      <c r="D19" s="9"/>
      <c r="E19" s="9"/>
      <c r="F19" s="9"/>
    </row>
    <row r="20" customFormat="false" ht="15" hidden="false" customHeight="true" outlineLevel="0" collapsed="false">
      <c r="B20" s="9"/>
      <c r="C20" s="9"/>
      <c r="D20" s="9"/>
      <c r="E20" s="9"/>
      <c r="F20" s="9"/>
    </row>
    <row r="22" customFormat="false" ht="15.75" hidden="false" customHeight="true" outlineLevel="0" collapsed="false">
      <c r="B22" s="7" t="s">
        <v>1406</v>
      </c>
      <c r="C22" s="8"/>
      <c r="D22" s="8"/>
      <c r="E22" s="8"/>
      <c r="F22" s="8"/>
      <c r="G22" s="8"/>
      <c r="H22" s="8"/>
      <c r="I22" s="8"/>
      <c r="J22" s="8"/>
      <c r="K22" s="8"/>
    </row>
    <row r="23" customFormat="false" ht="17.25" hidden="false" customHeight="true" outlineLevel="0" collapsed="false">
      <c r="B23" s="48" t="s">
        <v>1407</v>
      </c>
      <c r="C23" s="48"/>
      <c r="D23" s="48"/>
      <c r="E23" s="55" t="s">
        <v>1408</v>
      </c>
    </row>
    <row r="24" customFormat="false" ht="30.75" hidden="false" customHeight="true" outlineLevel="0" collapsed="false">
      <c r="B24" s="23" t="s">
        <v>3409</v>
      </c>
      <c r="C24" s="23"/>
      <c r="D24" s="23"/>
      <c r="E24" s="82" t="s">
        <v>3410</v>
      </c>
    </row>
    <row r="25" customFormat="false" ht="30.75" hidden="false" customHeight="true" outlineLevel="0" collapsed="false">
      <c r="B25" s="23" t="s">
        <v>3411</v>
      </c>
      <c r="C25" s="23"/>
      <c r="D25" s="23"/>
      <c r="E25" s="82" t="s">
        <v>3412</v>
      </c>
    </row>
    <row r="26" customFormat="false" ht="30.75" hidden="false" customHeight="true" outlineLevel="0" collapsed="false">
      <c r="B26" s="23" t="s">
        <v>3413</v>
      </c>
      <c r="C26" s="23"/>
      <c r="D26" s="23"/>
      <c r="E26" s="82" t="s">
        <v>3414</v>
      </c>
    </row>
    <row r="27" customFormat="false" ht="17.25" hidden="false" customHeight="true" outlineLevel="0" collapsed="false">
      <c r="B27" s="23" t="s">
        <v>3415</v>
      </c>
      <c r="C27" s="23"/>
      <c r="D27" s="23"/>
      <c r="E27" s="23"/>
      <c r="F27" s="23"/>
    </row>
    <row r="29" customFormat="false" ht="16.5" hidden="false" customHeight="true" outlineLevel="0" collapsed="false">
      <c r="B29" s="11" t="s">
        <v>1416</v>
      </c>
      <c r="C29" s="11" t="s">
        <v>1417</v>
      </c>
      <c r="D29" s="11" t="s">
        <v>1418</v>
      </c>
      <c r="E29" s="11" t="s">
        <v>1419</v>
      </c>
    </row>
    <row r="30" customFormat="false" ht="30.75" hidden="false" customHeight="true" outlineLevel="0" collapsed="false">
      <c r="B30" s="12" t="s">
        <v>3416</v>
      </c>
      <c r="C30" s="12" t="s">
        <v>3316</v>
      </c>
      <c r="D30" s="12" t="s">
        <v>3417</v>
      </c>
      <c r="E30" s="50" t="s">
        <v>964</v>
      </c>
    </row>
    <row r="31" customFormat="false" ht="44.25" hidden="false" customHeight="true" outlineLevel="0" collapsed="false">
      <c r="B31" s="12" t="s">
        <v>1547</v>
      </c>
      <c r="C31" s="12" t="s">
        <v>3418</v>
      </c>
      <c r="D31" s="12" t="s">
        <v>3419</v>
      </c>
      <c r="E31" s="50" t="s">
        <v>1546</v>
      </c>
    </row>
    <row r="32" customFormat="false" ht="30.75" hidden="false" customHeight="true" outlineLevel="0" collapsed="false">
      <c r="B32" s="12" t="s">
        <v>3420</v>
      </c>
      <c r="C32" s="12" t="s">
        <v>3421</v>
      </c>
      <c r="D32" s="12" t="s">
        <v>3422</v>
      </c>
      <c r="E32" s="50" t="s">
        <v>1060</v>
      </c>
    </row>
    <row r="34" customFormat="false" ht="15.75" hidden="false" customHeight="true" outlineLevel="0" collapsed="false">
      <c r="B34" s="7" t="s">
        <v>1429</v>
      </c>
      <c r="C34" s="8"/>
      <c r="D34" s="8"/>
      <c r="E34" s="8"/>
      <c r="F34" s="8"/>
      <c r="G34" s="8"/>
      <c r="H34" s="8"/>
      <c r="I34" s="8"/>
      <c r="J34" s="8"/>
      <c r="K34" s="8"/>
    </row>
    <row r="35" customFormat="false" ht="15" hidden="false" customHeight="true" outlineLevel="0" collapsed="false">
      <c r="B35" s="47" t="s">
        <v>3423</v>
      </c>
    </row>
    <row r="36" customFormat="false" ht="17.25" hidden="false" customHeight="true" outlineLevel="0" collapsed="false">
      <c r="B36" s="52" t="s">
        <v>3424</v>
      </c>
      <c r="C36" s="52"/>
      <c r="D36" s="52"/>
      <c r="E36" s="52"/>
      <c r="F36" s="52"/>
    </row>
    <row r="37" customFormat="false" ht="15" hidden="false" customHeight="true" outlineLevel="0" collapsed="false">
      <c r="B37" s="47" t="s">
        <v>3425</v>
      </c>
    </row>
    <row r="38" customFormat="false" ht="17.25" hidden="false" customHeight="true" outlineLevel="0" collapsed="false">
      <c r="B38" s="52" t="s">
        <v>3426</v>
      </c>
      <c r="C38" s="52"/>
      <c r="D38" s="52"/>
      <c r="E38" s="52"/>
      <c r="F38" s="52"/>
    </row>
    <row r="39" customFormat="false" ht="17.25" hidden="false" customHeight="true" outlineLevel="0" collapsed="false">
      <c r="B39" s="52" t="s">
        <v>3427</v>
      </c>
      <c r="C39" s="52"/>
      <c r="D39" s="52"/>
      <c r="E39" s="52"/>
      <c r="F39" s="52"/>
    </row>
    <row r="40" customFormat="false" ht="15" hidden="false" customHeight="true" outlineLevel="0" collapsed="false">
      <c r="B40" s="47" t="s">
        <v>3428</v>
      </c>
    </row>
    <row r="41" customFormat="false" ht="17.25" hidden="false" customHeight="true" outlineLevel="0" collapsed="false">
      <c r="B41" s="52" t="s">
        <v>3429</v>
      </c>
      <c r="C41" s="52"/>
      <c r="D41" s="52"/>
      <c r="E41" s="52"/>
      <c r="F41" s="52"/>
    </row>
    <row r="42" customFormat="false" ht="17.25" hidden="false" customHeight="true" outlineLevel="0" collapsed="false">
      <c r="B42" s="51" t="s">
        <v>3430</v>
      </c>
      <c r="C42" s="51"/>
      <c r="D42" s="51"/>
      <c r="E42" s="51"/>
      <c r="F42" s="51"/>
    </row>
    <row r="43" customFormat="false" ht="15" hidden="false" customHeight="true" outlineLevel="0" collapsed="false">
      <c r="B43" s="59" t="s">
        <v>3431</v>
      </c>
    </row>
    <row r="45" customFormat="false" ht="15.75" hidden="false" customHeight="true" outlineLevel="0" collapsed="false">
      <c r="B45" s="7" t="s">
        <v>1437</v>
      </c>
      <c r="C45" s="8"/>
      <c r="D45" s="8"/>
      <c r="E45" s="8"/>
      <c r="F45" s="8"/>
      <c r="G45" s="8"/>
      <c r="H45" s="8"/>
      <c r="I45" s="8"/>
      <c r="J45" s="8"/>
      <c r="K45" s="8"/>
    </row>
    <row r="46" customFormat="false" ht="16.5" hidden="false" customHeight="true" outlineLevel="0" collapsed="false">
      <c r="B46" s="11" t="s">
        <v>1438</v>
      </c>
      <c r="C46" s="11" t="s">
        <v>1439</v>
      </c>
      <c r="D46" s="11" t="s">
        <v>1440</v>
      </c>
    </row>
    <row r="47" customFormat="false" ht="30.75" hidden="false" customHeight="true" outlineLevel="0" collapsed="false">
      <c r="B47" s="12" t="s">
        <v>2732</v>
      </c>
      <c r="C47" s="12" t="s">
        <v>1563</v>
      </c>
      <c r="D47" s="12" t="s">
        <v>3432</v>
      </c>
    </row>
    <row r="48" customFormat="false" ht="30.75" hidden="false" customHeight="true" outlineLevel="0" collapsed="false">
      <c r="B48" s="12" t="s">
        <v>2211</v>
      </c>
      <c r="C48" s="12" t="s">
        <v>3433</v>
      </c>
      <c r="D48" s="12" t="s">
        <v>3434</v>
      </c>
    </row>
    <row r="49" customFormat="false" ht="30.75" hidden="false" customHeight="true" outlineLevel="0" collapsed="false">
      <c r="B49" s="12" t="s">
        <v>2208</v>
      </c>
      <c r="C49" s="12" t="s">
        <v>3152</v>
      </c>
      <c r="D49" s="12" t="s">
        <v>3435</v>
      </c>
    </row>
    <row r="50" customFormat="false" ht="30.75" hidden="false" customHeight="true" outlineLevel="0" collapsed="false">
      <c r="B50" s="12" t="s">
        <v>1577</v>
      </c>
      <c r="C50" s="12" t="s">
        <v>1578</v>
      </c>
      <c r="D50" s="12" t="s">
        <v>3436</v>
      </c>
    </row>
    <row r="51" customFormat="false" ht="16.5" hidden="false" customHeight="true" outlineLevel="0" collapsed="false">
      <c r="B51" s="12" t="s">
        <v>3437</v>
      </c>
      <c r="C51" s="12" t="s">
        <v>3001</v>
      </c>
      <c r="D51" s="12" t="s">
        <v>3438</v>
      </c>
    </row>
    <row r="52" customFormat="false" ht="28.5" hidden="false" customHeight="true" outlineLevel="0" collapsed="false">
      <c r="B52" s="16" t="s">
        <v>1453</v>
      </c>
      <c r="C52" s="16"/>
      <c r="D52" s="16"/>
      <c r="E52" s="16"/>
      <c r="F52" s="16"/>
    </row>
    <row r="54" customFormat="false" ht="15.75" hidden="false" customHeight="true" outlineLevel="0" collapsed="false">
      <c r="B54" s="7" t="s">
        <v>1454</v>
      </c>
      <c r="C54" s="8"/>
      <c r="D54" s="8"/>
      <c r="E54" s="8"/>
      <c r="F54" s="8"/>
      <c r="G54" s="8"/>
      <c r="H54" s="8"/>
      <c r="I54" s="8"/>
      <c r="J54" s="8"/>
      <c r="K54" s="8"/>
    </row>
    <row r="55" customFormat="false" ht="17.25" hidden="false" customHeight="true" outlineLevel="0" collapsed="false">
      <c r="B55" s="9" t="s">
        <v>3439</v>
      </c>
      <c r="C55" s="9"/>
      <c r="D55" s="9"/>
      <c r="E55" s="9"/>
      <c r="F55" s="9"/>
    </row>
    <row r="56" customFormat="false" ht="17.25" hidden="false" customHeight="true" outlineLevel="0" collapsed="false">
      <c r="B56" s="9" t="s">
        <v>3440</v>
      </c>
      <c r="C56" s="9"/>
      <c r="D56" s="9"/>
      <c r="E56" s="9"/>
      <c r="F56" s="9"/>
    </row>
    <row r="57" customFormat="false" ht="15" hidden="false" customHeight="true" outlineLevel="0" collapsed="false">
      <c r="B57" s="19" t="s">
        <v>85</v>
      </c>
      <c r="C57" s="41" t="s">
        <v>86</v>
      </c>
    </row>
    <row r="59" customFormat="false" ht="16.5" hidden="false" customHeight="true" outlineLevel="0" collapsed="false">
      <c r="C59" s="11" t="s">
        <v>1487</v>
      </c>
    </row>
    <row r="60" customFormat="false" ht="15" hidden="false" customHeight="true" outlineLevel="0" collapsed="false">
      <c r="C60" s="61" t="n">
        <v>502.55</v>
      </c>
    </row>
    <row r="61" customFormat="false" ht="15" hidden="false" customHeight="true" outlineLevel="0" collapsed="false">
      <c r="C61" s="61" t="n">
        <v>500.56</v>
      </c>
    </row>
    <row r="62" customFormat="false" ht="15" hidden="false" customHeight="true" outlineLevel="0" collapsed="false">
      <c r="C62" s="61" t="n">
        <v>500.77</v>
      </c>
    </row>
    <row r="63" customFormat="false" ht="15" hidden="false" customHeight="true" outlineLevel="0" collapsed="false">
      <c r="C63" s="61" t="n">
        <v>502.05</v>
      </c>
    </row>
    <row r="64" customFormat="false" ht="15" hidden="false" customHeight="true" outlineLevel="0" collapsed="false">
      <c r="C64" s="61" t="n">
        <v>501.93</v>
      </c>
    </row>
    <row r="65" customFormat="false" ht="15" hidden="false" customHeight="true" outlineLevel="0" collapsed="false">
      <c r="C65" s="61" t="n">
        <v>499.96</v>
      </c>
    </row>
    <row r="66" customFormat="false" ht="15" hidden="false" customHeight="true" outlineLevel="0" collapsed="false">
      <c r="C66" s="61" t="n">
        <v>500.34</v>
      </c>
    </row>
    <row r="67" customFormat="false" ht="15" hidden="false" customHeight="true" outlineLevel="0" collapsed="false">
      <c r="C67" s="61" t="n">
        <v>498.44</v>
      </c>
    </row>
    <row r="68" customFormat="false" ht="15" hidden="false" customHeight="true" outlineLevel="0" collapsed="false">
      <c r="C68" s="61" t="n">
        <v>499.6</v>
      </c>
    </row>
    <row r="69" customFormat="false" ht="15" hidden="false" customHeight="true" outlineLevel="0" collapsed="false">
      <c r="C69" s="61" t="n">
        <v>500.69</v>
      </c>
    </row>
    <row r="70" customFormat="false" ht="15" hidden="false" customHeight="true" outlineLevel="0" collapsed="false">
      <c r="C70" s="61" t="n">
        <v>500.37</v>
      </c>
    </row>
    <row r="71" customFormat="false" ht="15" hidden="false" customHeight="true" outlineLevel="0" collapsed="false">
      <c r="C71" s="61" t="n">
        <v>501.33</v>
      </c>
    </row>
    <row r="72" customFormat="false" ht="15" hidden="false" customHeight="true" outlineLevel="0" collapsed="false">
      <c r="C72" s="61" t="n">
        <v>500.21</v>
      </c>
    </row>
    <row r="73" customFormat="false" ht="15" hidden="false" customHeight="true" outlineLevel="0" collapsed="false">
      <c r="C73" s="61" t="n">
        <v>500.95</v>
      </c>
    </row>
    <row r="74" customFormat="false" ht="15" hidden="false" customHeight="true" outlineLevel="0" collapsed="false">
      <c r="C74" s="61" t="n">
        <v>501.35</v>
      </c>
    </row>
    <row r="75" customFormat="false" ht="15" hidden="false" customHeight="true" outlineLevel="0" collapsed="false">
      <c r="C75" s="61" t="n">
        <v>499.13</v>
      </c>
    </row>
    <row r="76" customFormat="false" ht="15" hidden="false" customHeight="true" outlineLevel="0" collapsed="false">
      <c r="C76" s="61" t="n">
        <v>499.77</v>
      </c>
    </row>
    <row r="77" customFormat="false" ht="15" hidden="false" customHeight="true" outlineLevel="0" collapsed="false">
      <c r="C77" s="61" t="n">
        <v>500.87</v>
      </c>
    </row>
    <row r="78" customFormat="false" ht="15" hidden="false" customHeight="true" outlineLevel="0" collapsed="false">
      <c r="C78" s="61" t="n">
        <v>500.58</v>
      </c>
    </row>
    <row r="79" customFormat="false" ht="15" hidden="false" customHeight="true" outlineLevel="0" collapsed="false">
      <c r="C79" s="61" t="n">
        <v>501.54</v>
      </c>
    </row>
    <row r="81" customFormat="false" ht="15" hidden="false" customHeight="true" outlineLevel="0" collapsed="false">
      <c r="B81" s="10" t="s">
        <v>3441</v>
      </c>
      <c r="C81" s="61" t="n">
        <v>500</v>
      </c>
    </row>
    <row r="82" customFormat="false" ht="15" hidden="false" customHeight="true" outlineLevel="0" collapsed="false">
      <c r="B82" s="10" t="s">
        <v>2228</v>
      </c>
      <c r="C82" s="75" t="n">
        <v>0.05</v>
      </c>
    </row>
    <row r="83" customFormat="false" ht="15" hidden="false" customHeight="true" outlineLevel="0" collapsed="false">
      <c r="B83" s="10" t="s">
        <v>3005</v>
      </c>
      <c r="C83" s="65" t="n">
        <v>2</v>
      </c>
    </row>
    <row r="84" customFormat="false" ht="15" hidden="false" customHeight="true" outlineLevel="0" collapsed="false">
      <c r="B84" s="10" t="s">
        <v>3442</v>
      </c>
      <c r="C84" s="62" t="n">
        <v>0.95</v>
      </c>
    </row>
    <row r="86" customFormat="false" ht="15" hidden="false" customHeight="true" outlineLevel="0" collapsed="false">
      <c r="B86" s="10" t="s">
        <v>1769</v>
      </c>
      <c r="C86" s="44" t="n">
        <f aca="false">COUNT($C$60:$C$79)</f>
        <v>20</v>
      </c>
    </row>
    <row r="87" customFormat="false" ht="15" hidden="false" customHeight="true" outlineLevel="0" collapsed="false">
      <c r="B87" s="10" t="s">
        <v>1586</v>
      </c>
      <c r="C87" s="66" t="n">
        <f aca="false">AVERAGE($C$60:$C$79)</f>
        <v>500.6495</v>
      </c>
    </row>
    <row r="88" customFormat="false" ht="15" hidden="false" customHeight="true" outlineLevel="0" collapsed="false">
      <c r="B88" s="10" t="s">
        <v>1587</v>
      </c>
      <c r="C88" s="66" t="n">
        <f aca="false">STDEV($C$60:$C$79)</f>
        <v>1.00094415954454</v>
      </c>
    </row>
    <row r="89" customFormat="false" ht="15" hidden="false" customHeight="true" outlineLevel="0" collapsed="false">
      <c r="B89" s="10" t="s">
        <v>2749</v>
      </c>
      <c r="C89" s="66" t="n">
        <f aca="false">C88/SQRT(C86)</f>
        <v>0.223817918242299</v>
      </c>
    </row>
    <row r="90" customFormat="false" ht="15" hidden="false" customHeight="true" outlineLevel="0" collapsed="false">
      <c r="B90" s="10" t="s">
        <v>2834</v>
      </c>
      <c r="C90" s="44" t="n">
        <f aca="false">C86-1</f>
        <v>19</v>
      </c>
    </row>
    <row r="91" customFormat="false" ht="15" hidden="false" customHeight="true" outlineLevel="0" collapsed="false">
      <c r="B91" s="10" t="s">
        <v>3257</v>
      </c>
      <c r="C91" s="66" t="n">
        <f aca="false">IFERROR((C87-C81)/C89,0)</f>
        <v>2.90191243444977</v>
      </c>
    </row>
    <row r="92" customFormat="false" ht="15" hidden="false" customHeight="true" outlineLevel="0" collapsed="false">
      <c r="B92" s="10" t="s">
        <v>3443</v>
      </c>
      <c r="C92" s="66" t="n">
        <f aca="false">IF(C83=2,TINV(C82,C90),TINV(2*C82,C90))</f>
        <v>2.09302405440831</v>
      </c>
    </row>
    <row r="93" customFormat="false" ht="15" hidden="false" customHeight="true" outlineLevel="0" collapsed="false">
      <c r="B93" s="10" t="s">
        <v>3007</v>
      </c>
      <c r="C93" s="77" t="n">
        <f aca="false">TDIST(ABS(C91),C90,C83)</f>
        <v>0.00914019578047803</v>
      </c>
    </row>
    <row r="94" customFormat="false" ht="15" hidden="false" customHeight="true" outlineLevel="0" collapsed="false">
      <c r="B94" s="10" t="s">
        <v>2751</v>
      </c>
      <c r="C94" s="66" t="n">
        <f aca="false">C87-TINV(1-C84,C90)*C89</f>
        <v>500.181043713311</v>
      </c>
    </row>
    <row r="95" customFormat="false" ht="15" hidden="false" customHeight="true" outlineLevel="0" collapsed="false">
      <c r="B95" s="10" t="s">
        <v>2752</v>
      </c>
      <c r="C95" s="66" t="n">
        <f aca="false">C87+TINV(1-C84,C90)*C89</f>
        <v>501.117956286689</v>
      </c>
    </row>
    <row r="96" customFormat="false" ht="15" hidden="false" customHeight="true" outlineLevel="0" collapsed="false">
      <c r="B96" s="10" t="s">
        <v>2757</v>
      </c>
      <c r="C96" s="66" t="n">
        <f aca="false">C87-C81</f>
        <v>0.649499999999989</v>
      </c>
    </row>
    <row r="97" customFormat="false" ht="15" hidden="false" customHeight="true" outlineLevel="0" collapsed="false">
      <c r="B97" s="10" t="s">
        <v>3279</v>
      </c>
      <c r="C97" s="63" t="n">
        <f aca="false">IFERROR(C96/C88,0)</f>
        <v>0.648887346818159</v>
      </c>
    </row>
    <row r="98" customFormat="false" ht="15" hidden="false" customHeight="true" outlineLevel="0" collapsed="false">
      <c r="B98" s="10" t="s">
        <v>2756</v>
      </c>
      <c r="C98" s="41" t="str">
        <f aca="false">IF(AND(C81&gt;=C94,C81&lt;=C95),"Yes","No")</f>
        <v>No</v>
      </c>
    </row>
    <row r="100" customFormat="false" ht="15.75" hidden="false" customHeight="true" outlineLevel="0" collapsed="false">
      <c r="B100" s="7" t="s">
        <v>1493</v>
      </c>
      <c r="C100" s="8"/>
      <c r="D100" s="8"/>
      <c r="E100" s="8"/>
      <c r="F100" s="8"/>
      <c r="G100" s="8"/>
      <c r="H100" s="8"/>
      <c r="I100" s="8"/>
      <c r="J100" s="8"/>
      <c r="K100" s="8"/>
    </row>
    <row r="101" customFormat="false" ht="33.75" hidden="false" customHeight="true" outlineLevel="0" collapsed="false">
      <c r="B101" s="53" t="s">
        <v>1494</v>
      </c>
      <c r="C101" s="54" t="str">
        <f aca="false">IF(C93&lt;C82,"REJECT H0 - the mean is significantly different from the target. Offset = "&amp;TEXT(C96,"0.000")&amp;" ml (95% CI "&amp;TEXT(C94,"0.00")&amp;" to "&amp;TEXT(C95,"0.00")&amp;"). Now check on E-21 whether it is worth acting on.","FAIL TO REJECT H0 - no evidence the mean differs from target. Check the power on E-19 before concluding the process is on target.")</f>
        <v>REJECT H0 - the mean is significantly different from the target. Offset = 0.649 ml (95% CI 500.18 to 501.12). Now check on E-21 whether it is worth acting on.</v>
      </c>
      <c r="D101" s="54"/>
      <c r="E101" s="54"/>
    </row>
    <row r="103" customFormat="false" ht="16.5" hidden="false" customHeight="true" outlineLevel="0" collapsed="false">
      <c r="B103" s="11" t="s">
        <v>1495</v>
      </c>
      <c r="C103" s="11" t="s">
        <v>1496</v>
      </c>
      <c r="D103" s="11" t="s">
        <v>1497</v>
      </c>
    </row>
    <row r="104" customFormat="false" ht="30.75" hidden="false" customHeight="true" outlineLevel="0" collapsed="false">
      <c r="B104" s="12" t="s">
        <v>3007</v>
      </c>
      <c r="C104" s="12" t="s">
        <v>3444</v>
      </c>
      <c r="D104" s="12" t="s">
        <v>3445</v>
      </c>
    </row>
    <row r="105" customFormat="false" ht="30.75" hidden="false" customHeight="true" outlineLevel="0" collapsed="false">
      <c r="B105" s="12" t="s">
        <v>3446</v>
      </c>
      <c r="C105" s="12" t="s">
        <v>3447</v>
      </c>
      <c r="D105" s="12" t="s">
        <v>3448</v>
      </c>
    </row>
    <row r="106" customFormat="false" ht="30.75" hidden="false" customHeight="true" outlineLevel="0" collapsed="false">
      <c r="B106" s="12" t="s">
        <v>3279</v>
      </c>
      <c r="C106" s="12" t="s">
        <v>3280</v>
      </c>
      <c r="D106" s="12" t="s">
        <v>3449</v>
      </c>
    </row>
    <row r="107" customFormat="false" ht="30.75" hidden="false" customHeight="true" outlineLevel="0" collapsed="false">
      <c r="B107" s="12" t="s">
        <v>3450</v>
      </c>
      <c r="C107" s="12" t="s">
        <v>3451</v>
      </c>
      <c r="D107" s="12" t="s">
        <v>3452</v>
      </c>
    </row>
    <row r="109" customFormat="false" ht="15" hidden="false" customHeight="true" outlineLevel="0" collapsed="false">
      <c r="B109" s="55" t="s">
        <v>1507</v>
      </c>
    </row>
    <row r="110" customFormat="false" ht="31.5" hidden="false" customHeight="true" outlineLevel="0" collapsed="false">
      <c r="B110" s="9" t="s">
        <v>3453</v>
      </c>
      <c r="C110" s="9"/>
      <c r="D110" s="9"/>
      <c r="E110" s="9"/>
      <c r="F110" s="9"/>
    </row>
    <row r="111" customFormat="false" ht="17.25" hidden="false" customHeight="true" outlineLevel="0" collapsed="false">
      <c r="B111" s="9" t="s">
        <v>3454</v>
      </c>
      <c r="C111" s="9"/>
      <c r="D111" s="9"/>
      <c r="E111" s="9"/>
      <c r="F111" s="9"/>
    </row>
    <row r="112" customFormat="false" ht="17.25" hidden="false" customHeight="true" outlineLevel="0" collapsed="false">
      <c r="B112" s="9" t="s">
        <v>3455</v>
      </c>
      <c r="C112" s="9"/>
      <c r="D112" s="9"/>
      <c r="E112" s="9"/>
      <c r="F112" s="9"/>
    </row>
    <row r="113" customFormat="false" ht="17.25" hidden="false" customHeight="true" outlineLevel="0" collapsed="false">
      <c r="B113" s="9" t="s">
        <v>3456</v>
      </c>
      <c r="C113" s="9"/>
      <c r="D113" s="9"/>
      <c r="E113" s="9"/>
      <c r="F113" s="9"/>
    </row>
    <row r="114" customFormat="false" ht="17.25" hidden="false" customHeight="true" outlineLevel="0" collapsed="false">
      <c r="B114" s="9" t="s">
        <v>3457</v>
      </c>
      <c r="C114" s="9"/>
      <c r="D114" s="9"/>
      <c r="E114" s="9"/>
      <c r="F114" s="9"/>
    </row>
    <row r="116" customFormat="false" ht="15.75" hidden="false" customHeight="true" outlineLevel="0" collapsed="false">
      <c r="B116" s="7" t="s">
        <v>1513</v>
      </c>
      <c r="C116" s="8"/>
      <c r="D116" s="8"/>
      <c r="E116" s="8"/>
      <c r="F116" s="8"/>
      <c r="G116" s="8"/>
      <c r="H116" s="8"/>
      <c r="I116" s="8"/>
      <c r="J116" s="8"/>
      <c r="K116" s="8"/>
    </row>
    <row r="117" customFormat="false" ht="17.25" hidden="false" customHeight="true" outlineLevel="0" collapsed="false">
      <c r="B117" s="9" t="s">
        <v>1514</v>
      </c>
      <c r="C117" s="9"/>
      <c r="D117" s="9"/>
      <c r="E117" s="9"/>
      <c r="N117" s="56" t="s">
        <v>1515</v>
      </c>
    </row>
    <row r="118" customFormat="false" ht="17.25" hidden="false" customHeight="true" outlineLevel="0" collapsed="false">
      <c r="B118" s="9" t="s">
        <v>3458</v>
      </c>
      <c r="C118" s="9"/>
      <c r="D118" s="9"/>
      <c r="E118" s="9"/>
      <c r="N118" s="57" t="s">
        <v>3459</v>
      </c>
    </row>
    <row r="119" customFormat="false" ht="17.25" hidden="false" customHeight="true" outlineLevel="0" collapsed="false">
      <c r="B119" s="9" t="s">
        <v>3460</v>
      </c>
      <c r="C119" s="9"/>
      <c r="D119" s="9"/>
      <c r="E119" s="9"/>
      <c r="N119" s="57" t="s">
        <v>3461</v>
      </c>
    </row>
    <row r="120" customFormat="false" ht="17.25" hidden="false" customHeight="true" outlineLevel="0" collapsed="false">
      <c r="B120" s="9" t="s">
        <v>3462</v>
      </c>
      <c r="C120" s="9"/>
      <c r="D120" s="9"/>
      <c r="E120" s="9"/>
      <c r="N120" s="57" t="s">
        <v>3463</v>
      </c>
    </row>
    <row r="122" customFormat="false" ht="15.75" hidden="false" customHeight="true" outlineLevel="0" collapsed="false">
      <c r="B122" s="7" t="s">
        <v>1522</v>
      </c>
      <c r="C122" s="8"/>
      <c r="D122" s="8"/>
      <c r="E122" s="8"/>
      <c r="F122" s="8"/>
      <c r="G122" s="8"/>
      <c r="H122" s="8"/>
      <c r="I122" s="8"/>
      <c r="J122" s="8"/>
      <c r="K122" s="8"/>
    </row>
    <row r="123" customFormat="false" ht="16.5" hidden="false" customHeight="true" outlineLevel="0" collapsed="false">
      <c r="B123" s="11" t="s">
        <v>1523</v>
      </c>
      <c r="C123" s="11" t="s">
        <v>1524</v>
      </c>
      <c r="D123" s="11" t="s">
        <v>1615</v>
      </c>
    </row>
    <row r="124" customFormat="false" ht="30.75" hidden="false" customHeight="true" outlineLevel="0" collapsed="false">
      <c r="B124" s="58" t="s">
        <v>1293</v>
      </c>
      <c r="C124" s="58" t="s">
        <v>1119</v>
      </c>
      <c r="D124" s="58" t="s">
        <v>1191</v>
      </c>
    </row>
  </sheetData>
  <mergeCells count="33">
    <mergeCell ref="B2:J2"/>
    <mergeCell ref="D3:E3"/>
    <mergeCell ref="C6:D6"/>
    <mergeCell ref="C7:D7"/>
    <mergeCell ref="C8:D8"/>
    <mergeCell ref="B11:F12"/>
    <mergeCell ref="B13:F14"/>
    <mergeCell ref="B15:F15"/>
    <mergeCell ref="B16:F17"/>
    <mergeCell ref="B18:F20"/>
    <mergeCell ref="B23:D23"/>
    <mergeCell ref="B24:D24"/>
    <mergeCell ref="B25:D25"/>
    <mergeCell ref="B26:D26"/>
    <mergeCell ref="B27:F27"/>
    <mergeCell ref="B36:F36"/>
    <mergeCell ref="B38:F38"/>
    <mergeCell ref="B39:F39"/>
    <mergeCell ref="B41:F41"/>
    <mergeCell ref="B42:F42"/>
    <mergeCell ref="B52:F52"/>
    <mergeCell ref="B55:F55"/>
    <mergeCell ref="B56:F56"/>
    <mergeCell ref="C101:E101"/>
    <mergeCell ref="B110:F110"/>
    <mergeCell ref="B111:F111"/>
    <mergeCell ref="B112:F112"/>
    <mergeCell ref="B113:F113"/>
    <mergeCell ref="B114:F114"/>
    <mergeCell ref="B117:E117"/>
    <mergeCell ref="B118:E118"/>
    <mergeCell ref="B119:E119"/>
    <mergeCell ref="B120:E120"/>
  </mergeCells>
  <hyperlinks>
    <hyperlink ref="B3" location="'N-03 Index DMAIC'!A1" display="← Back to Index"/>
    <hyperlink ref="E30" location="'E-32 Normality Testing'!A1" display="E-32  Normality Testing and Probability Plots"/>
    <hyperlink ref="E31" location="'E-05 Sampling Subgroups'!A1" display="E-05  Sampling Strategies and Rational Subgrouping"/>
    <hyperlink ref="E32" location="'E-49 I-MR Chart'!A1" display="E-49  Individuals and Moving Range Chart"/>
    <hyperlink ref="B124" location="'E-22 Test Selection Roadmap'!A1" display="E-22  Hypothesis Test Selection Roadmap"/>
    <hyperlink ref="C124" location="'E-24 2-Sample t-Test'!A1" display="E-24  Two-Sample t-Test (Welch and Pooled)"/>
    <hyperlink ref="D124" location="'E-31 Nonparametric Tests'!A1" display="E-31  Nonparametric Tes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3464</v>
      </c>
      <c r="C2" s="3"/>
      <c r="D2" s="3"/>
      <c r="E2" s="3"/>
      <c r="F2" s="3"/>
      <c r="G2" s="3"/>
      <c r="H2" s="3"/>
      <c r="I2" s="3"/>
      <c r="J2" s="3"/>
      <c r="K2" s="80" t="s">
        <v>2864</v>
      </c>
    </row>
    <row r="3" customFormat="false" ht="28.5" hidden="false" customHeight="true" outlineLevel="0" collapsed="false">
      <c r="B3" s="5" t="s">
        <v>3</v>
      </c>
      <c r="D3" s="6" t="s">
        <v>3465</v>
      </c>
      <c r="E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3466</v>
      </c>
      <c r="D6" s="9"/>
    </row>
    <row r="7" customFormat="false" ht="17.25" hidden="false" customHeight="true" outlineLevel="0" collapsed="false">
      <c r="B7" s="47" t="s">
        <v>1394</v>
      </c>
      <c r="C7" s="9" t="s">
        <v>3467</v>
      </c>
      <c r="D7" s="9"/>
    </row>
    <row r="8" customFormat="false" ht="31.5" hidden="false" customHeight="true" outlineLevel="0" collapsed="false">
      <c r="B8" s="47" t="s">
        <v>1396</v>
      </c>
      <c r="C8" s="9" t="s">
        <v>3468</v>
      </c>
      <c r="D8" s="9"/>
    </row>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3469</v>
      </c>
      <c r="C11" s="9"/>
      <c r="D11" s="9"/>
      <c r="E11" s="9"/>
      <c r="F11" s="9"/>
    </row>
    <row r="12" customFormat="false" ht="17.25" hidden="false" customHeight="true" outlineLevel="0" collapsed="false">
      <c r="B12" s="9" t="s">
        <v>3470</v>
      </c>
      <c r="C12" s="9"/>
      <c r="D12" s="9"/>
      <c r="E12" s="9"/>
      <c r="F12" s="9"/>
    </row>
    <row r="13" customFormat="false" ht="17.25" hidden="false" customHeight="true" outlineLevel="0" collapsed="false">
      <c r="B13" s="9" t="s">
        <v>3471</v>
      </c>
      <c r="C13" s="9"/>
      <c r="D13" s="9"/>
      <c r="E13" s="9"/>
      <c r="F13" s="9"/>
    </row>
    <row r="14" customFormat="false" ht="17.25" hidden="false" customHeight="true" outlineLevel="0" collapsed="false">
      <c r="B14" s="9" t="s">
        <v>3472</v>
      </c>
      <c r="C14" s="9"/>
      <c r="D14" s="9"/>
      <c r="E14" s="9"/>
      <c r="F14" s="9"/>
    </row>
    <row r="15" customFormat="false" ht="15.75" hidden="false" customHeight="true" outlineLevel="0" collapsed="false">
      <c r="B15" s="9" t="s">
        <v>3473</v>
      </c>
      <c r="C15" s="9"/>
      <c r="D15" s="9"/>
      <c r="E15" s="9"/>
      <c r="F15" s="9"/>
    </row>
    <row r="16" customFormat="false" ht="15.75" hidden="false" customHeight="true" outlineLevel="0" collapsed="false">
      <c r="B16" s="9"/>
      <c r="C16" s="9"/>
      <c r="D16" s="9"/>
      <c r="E16" s="9"/>
      <c r="F16" s="9"/>
    </row>
    <row r="17" customFormat="false" ht="10.5" hidden="false" customHeight="true" outlineLevel="0" collapsed="false">
      <c r="B17" s="9" t="s">
        <v>3474</v>
      </c>
      <c r="C17" s="9"/>
      <c r="D17" s="9"/>
      <c r="E17" s="9"/>
      <c r="F17" s="9"/>
    </row>
    <row r="18" customFormat="false" ht="10.5" hidden="false" customHeight="true" outlineLevel="0" collapsed="false">
      <c r="B18" s="9"/>
      <c r="C18" s="9"/>
      <c r="D18" s="9"/>
      <c r="E18" s="9"/>
      <c r="F18" s="9"/>
    </row>
    <row r="19" customFormat="false" ht="10.5" hidden="false" customHeight="true" outlineLevel="0" collapsed="false">
      <c r="B19" s="9"/>
      <c r="C19" s="9"/>
      <c r="D19" s="9"/>
      <c r="E19" s="9"/>
      <c r="F19" s="9"/>
    </row>
    <row r="20" customFormat="false" ht="10.5" hidden="false" customHeight="true" outlineLevel="0" collapsed="false">
      <c r="B20" s="9" t="s">
        <v>3475</v>
      </c>
      <c r="C20" s="9"/>
      <c r="D20" s="9"/>
      <c r="E20" s="9"/>
      <c r="F20" s="9"/>
    </row>
    <row r="21" customFormat="false" ht="10.5" hidden="false" customHeight="true" outlineLevel="0" collapsed="false">
      <c r="B21" s="9"/>
      <c r="C21" s="9"/>
      <c r="D21" s="9"/>
      <c r="E21" s="9"/>
      <c r="F21" s="9"/>
    </row>
    <row r="22" customFormat="false" ht="10.5" hidden="false" customHeight="true" outlineLevel="0" collapsed="false">
      <c r="B22" s="9"/>
      <c r="C22" s="9"/>
      <c r="D22" s="9"/>
      <c r="E22" s="9"/>
      <c r="F22" s="9"/>
    </row>
    <row r="24" customFormat="false" ht="15.75" hidden="false" customHeight="true" outlineLevel="0" collapsed="false">
      <c r="B24" s="7" t="s">
        <v>1406</v>
      </c>
      <c r="C24" s="8"/>
      <c r="D24" s="8"/>
      <c r="E24" s="8"/>
      <c r="F24" s="8"/>
      <c r="G24" s="8"/>
      <c r="H24" s="8"/>
      <c r="I24" s="8"/>
      <c r="J24" s="8"/>
      <c r="K24" s="8"/>
    </row>
    <row r="25" customFormat="false" ht="17.25" hidden="false" customHeight="true" outlineLevel="0" collapsed="false">
      <c r="B25" s="48" t="s">
        <v>1407</v>
      </c>
      <c r="C25" s="48"/>
      <c r="D25" s="48"/>
      <c r="E25" s="49" t="s">
        <v>1408</v>
      </c>
      <c r="F25" s="49"/>
    </row>
    <row r="26" customFormat="false" ht="31.5" hidden="false" customHeight="true" outlineLevel="0" collapsed="false">
      <c r="B26" s="23" t="s">
        <v>3476</v>
      </c>
      <c r="C26" s="23"/>
      <c r="D26" s="23"/>
      <c r="E26" s="23" t="s">
        <v>3477</v>
      </c>
      <c r="F26" s="23"/>
    </row>
    <row r="27" customFormat="false" ht="31.5" hidden="false" customHeight="true" outlineLevel="0" collapsed="false">
      <c r="B27" s="23" t="s">
        <v>3478</v>
      </c>
      <c r="C27" s="23"/>
      <c r="D27" s="23"/>
      <c r="E27" s="23" t="s">
        <v>3479</v>
      </c>
      <c r="F27" s="23"/>
    </row>
    <row r="28" customFormat="false" ht="17.25" hidden="false" customHeight="true" outlineLevel="0" collapsed="false">
      <c r="B28" s="23" t="s">
        <v>3480</v>
      </c>
      <c r="C28" s="23"/>
      <c r="D28" s="23"/>
      <c r="E28" s="23" t="s">
        <v>3481</v>
      </c>
      <c r="F28" s="23"/>
    </row>
    <row r="30" customFormat="false" ht="16.5" hidden="false" customHeight="true" outlineLevel="0" collapsed="false">
      <c r="B30" s="11" t="s">
        <v>1416</v>
      </c>
      <c r="C30" s="11" t="s">
        <v>1417</v>
      </c>
      <c r="D30" s="11" t="s">
        <v>1418</v>
      </c>
      <c r="E30" s="11" t="s">
        <v>1419</v>
      </c>
    </row>
    <row r="31" customFormat="false" ht="30.75" hidden="false" customHeight="true" outlineLevel="0" collapsed="false">
      <c r="B31" s="12" t="s">
        <v>3482</v>
      </c>
      <c r="C31" s="12" t="s">
        <v>3483</v>
      </c>
      <c r="D31" s="12" t="s">
        <v>3484</v>
      </c>
      <c r="E31" s="50" t="s">
        <v>964</v>
      </c>
    </row>
    <row r="32" customFormat="false" ht="30.75" hidden="false" customHeight="true" outlineLevel="0" collapsed="false">
      <c r="B32" s="12" t="s">
        <v>3485</v>
      </c>
      <c r="C32" s="12" t="s">
        <v>3319</v>
      </c>
      <c r="D32" s="12" t="s">
        <v>3486</v>
      </c>
      <c r="E32" s="50" t="s">
        <v>967</v>
      </c>
    </row>
    <row r="33" customFormat="false" ht="30.75" hidden="false" customHeight="true" outlineLevel="0" collapsed="false">
      <c r="B33" s="12" t="s">
        <v>3487</v>
      </c>
      <c r="C33" s="12" t="s">
        <v>3488</v>
      </c>
      <c r="D33" s="12" t="s">
        <v>3489</v>
      </c>
      <c r="E33" s="50" t="s">
        <v>3367</v>
      </c>
    </row>
    <row r="35" customFormat="false" ht="15.75" hidden="false" customHeight="true" outlineLevel="0" collapsed="false">
      <c r="B35" s="7" t="s">
        <v>1429</v>
      </c>
      <c r="C35" s="8"/>
      <c r="D35" s="8"/>
      <c r="E35" s="8"/>
      <c r="F35" s="8"/>
      <c r="G35" s="8"/>
      <c r="H35" s="8"/>
      <c r="I35" s="8"/>
      <c r="J35" s="8"/>
      <c r="K35" s="8"/>
    </row>
    <row r="36" customFormat="false" ht="15" hidden="false" customHeight="true" outlineLevel="0" collapsed="false">
      <c r="B36" s="47" t="s">
        <v>3490</v>
      </c>
    </row>
    <row r="37" customFormat="false" ht="17.25" hidden="false" customHeight="true" outlineLevel="0" collapsed="false">
      <c r="B37" s="52" t="s">
        <v>3491</v>
      </c>
      <c r="C37" s="52"/>
      <c r="D37" s="52"/>
      <c r="E37" s="52"/>
      <c r="F37" s="52"/>
    </row>
    <row r="38" customFormat="false" ht="17.25" hidden="false" customHeight="true" outlineLevel="0" collapsed="false">
      <c r="B38" s="52" t="s">
        <v>3492</v>
      </c>
      <c r="C38" s="52"/>
      <c r="D38" s="52"/>
      <c r="E38" s="52"/>
      <c r="F38" s="52"/>
    </row>
    <row r="39" customFormat="false" ht="17.25" hidden="false" customHeight="true" outlineLevel="0" collapsed="false">
      <c r="B39" s="51" t="s">
        <v>3493</v>
      </c>
      <c r="C39" s="51"/>
      <c r="D39" s="51"/>
      <c r="E39" s="51"/>
      <c r="F39" s="51"/>
    </row>
    <row r="40" customFormat="false" ht="15" hidden="false" customHeight="true" outlineLevel="0" collapsed="false">
      <c r="B40" s="59" t="s">
        <v>3494</v>
      </c>
    </row>
    <row r="41" customFormat="false" ht="15" hidden="false" customHeight="true" outlineLevel="0" collapsed="false">
      <c r="B41" s="59" t="s">
        <v>3495</v>
      </c>
    </row>
    <row r="42" customFormat="false" ht="15" hidden="false" customHeight="true" outlineLevel="0" collapsed="false">
      <c r="B42" s="59" t="s">
        <v>3496</v>
      </c>
    </row>
    <row r="43" customFormat="false" ht="17.25" hidden="false" customHeight="true" outlineLevel="0" collapsed="false">
      <c r="B43" s="52" t="s">
        <v>3497</v>
      </c>
      <c r="C43" s="52"/>
      <c r="D43" s="52"/>
      <c r="E43" s="52"/>
      <c r="F43" s="52"/>
    </row>
    <row r="44" customFormat="false" ht="17.25" hidden="false" customHeight="true" outlineLevel="0" collapsed="false">
      <c r="B44" s="51" t="s">
        <v>3498</v>
      </c>
      <c r="C44" s="51"/>
      <c r="D44" s="51"/>
      <c r="E44" s="51"/>
      <c r="F44" s="51"/>
    </row>
    <row r="45" customFormat="false" ht="17.25" hidden="false" customHeight="true" outlineLevel="0" collapsed="false">
      <c r="B45" s="52" t="s">
        <v>3499</v>
      </c>
      <c r="C45" s="52"/>
      <c r="D45" s="52"/>
      <c r="E45" s="52"/>
      <c r="F45" s="52"/>
    </row>
    <row r="46" customFormat="false" ht="15" hidden="false" customHeight="true" outlineLevel="0" collapsed="false">
      <c r="B46" s="47" t="s">
        <v>3500</v>
      </c>
    </row>
    <row r="47" customFormat="false" ht="15" hidden="false" customHeight="true" outlineLevel="0" collapsed="false">
      <c r="B47" s="59" t="s">
        <v>3501</v>
      </c>
    </row>
    <row r="49" customFormat="false" ht="15.75" hidden="false" customHeight="true" outlineLevel="0" collapsed="false">
      <c r="B49" s="7" t="s">
        <v>1437</v>
      </c>
      <c r="C49" s="8"/>
      <c r="D49" s="8"/>
      <c r="E49" s="8"/>
      <c r="F49" s="8"/>
      <c r="G49" s="8"/>
      <c r="H49" s="8"/>
      <c r="I49" s="8"/>
      <c r="J49" s="8"/>
      <c r="K49" s="8"/>
    </row>
    <row r="50" customFormat="false" ht="16.5" hidden="false" customHeight="true" outlineLevel="0" collapsed="false">
      <c r="B50" s="11" t="s">
        <v>1438</v>
      </c>
      <c r="C50" s="11" t="s">
        <v>1439</v>
      </c>
      <c r="D50" s="11" t="s">
        <v>1440</v>
      </c>
    </row>
    <row r="51" customFormat="false" ht="44.25" hidden="false" customHeight="true" outlineLevel="0" collapsed="false">
      <c r="B51" s="12" t="s">
        <v>3502</v>
      </c>
      <c r="C51" s="12" t="s">
        <v>3503</v>
      </c>
      <c r="D51" s="12" t="s">
        <v>3504</v>
      </c>
    </row>
    <row r="52" customFormat="false" ht="16.5" hidden="false" customHeight="true" outlineLevel="0" collapsed="false">
      <c r="B52" s="12" t="s">
        <v>3505</v>
      </c>
      <c r="C52" s="12" t="s">
        <v>3506</v>
      </c>
      <c r="D52" s="12" t="s">
        <v>3507</v>
      </c>
    </row>
    <row r="53" customFormat="false" ht="30.75" hidden="false" customHeight="true" outlineLevel="0" collapsed="false">
      <c r="B53" s="12" t="s">
        <v>2211</v>
      </c>
      <c r="C53" s="12" t="s">
        <v>3433</v>
      </c>
      <c r="D53" s="12" t="s">
        <v>3508</v>
      </c>
    </row>
    <row r="54" customFormat="false" ht="30.75" hidden="false" customHeight="true" outlineLevel="0" collapsed="false">
      <c r="B54" s="12" t="s">
        <v>2208</v>
      </c>
      <c r="C54" s="12" t="s">
        <v>3509</v>
      </c>
      <c r="D54" s="12" t="s">
        <v>3510</v>
      </c>
    </row>
    <row r="55" customFormat="false" ht="30.75" hidden="false" customHeight="true" outlineLevel="0" collapsed="false">
      <c r="B55" s="12" t="s">
        <v>1842</v>
      </c>
      <c r="C55" s="12" t="s">
        <v>3511</v>
      </c>
      <c r="D55" s="12" t="s">
        <v>3512</v>
      </c>
    </row>
    <row r="56" customFormat="false" ht="28.5" hidden="false" customHeight="true" outlineLevel="0" collapsed="false">
      <c r="B56" s="16" t="s">
        <v>1453</v>
      </c>
      <c r="C56" s="16"/>
      <c r="D56" s="16"/>
      <c r="E56" s="16"/>
      <c r="F56" s="16"/>
    </row>
    <row r="58" customFormat="false" ht="15.75" hidden="false" customHeight="true" outlineLevel="0" collapsed="false">
      <c r="B58" s="7" t="s">
        <v>1454</v>
      </c>
      <c r="C58" s="8"/>
      <c r="D58" s="8"/>
      <c r="E58" s="8"/>
      <c r="F58" s="8"/>
      <c r="G58" s="8"/>
      <c r="H58" s="8"/>
      <c r="I58" s="8"/>
      <c r="J58" s="8"/>
      <c r="K58" s="8"/>
    </row>
    <row r="59" customFormat="false" ht="15" hidden="false" customHeight="true" outlineLevel="0" collapsed="false">
      <c r="B59" s="9" t="s">
        <v>3513</v>
      </c>
      <c r="C59" s="9"/>
      <c r="D59" s="9"/>
      <c r="E59" s="9"/>
      <c r="F59" s="9"/>
    </row>
    <row r="60" customFormat="false" ht="15" hidden="false" customHeight="true" outlineLevel="0" collapsed="false">
      <c r="B60" s="9"/>
      <c r="C60" s="9"/>
      <c r="D60" s="9"/>
      <c r="E60" s="9"/>
      <c r="F60" s="9"/>
    </row>
    <row r="61" customFormat="false" ht="15" hidden="false" customHeight="true" outlineLevel="0" collapsed="false">
      <c r="B61" s="9"/>
      <c r="C61" s="9"/>
      <c r="D61" s="9"/>
      <c r="E61" s="9"/>
      <c r="F61" s="9"/>
    </row>
    <row r="62" customFormat="false" ht="15" hidden="false" customHeight="true" outlineLevel="0" collapsed="false">
      <c r="B62" s="19" t="s">
        <v>85</v>
      </c>
      <c r="C62" s="41" t="s">
        <v>86</v>
      </c>
    </row>
    <row r="64" customFormat="false" ht="16.5" hidden="false" customHeight="true" outlineLevel="0" collapsed="false">
      <c r="C64" s="11" t="s">
        <v>3514</v>
      </c>
      <c r="D64" s="11" t="s">
        <v>3515</v>
      </c>
    </row>
    <row r="65" customFormat="false" ht="15" hidden="false" customHeight="true" outlineLevel="0" collapsed="false">
      <c r="C65" s="61" t="n">
        <v>500.83</v>
      </c>
      <c r="D65" s="61" t="n">
        <v>501.19</v>
      </c>
    </row>
    <row r="66" customFormat="false" ht="15" hidden="false" customHeight="true" outlineLevel="0" collapsed="false">
      <c r="C66" s="61" t="n">
        <v>499.16</v>
      </c>
      <c r="D66" s="61" t="n">
        <v>499.44</v>
      </c>
    </row>
    <row r="67" customFormat="false" ht="15" hidden="false" customHeight="true" outlineLevel="0" collapsed="false">
      <c r="C67" s="61" t="n">
        <v>501.54</v>
      </c>
      <c r="D67" s="61" t="n">
        <v>500.05</v>
      </c>
    </row>
    <row r="68" customFormat="false" ht="15" hidden="false" customHeight="true" outlineLevel="0" collapsed="false">
      <c r="C68" s="61" t="n">
        <v>501.84</v>
      </c>
      <c r="D68" s="61" t="n">
        <v>501.21</v>
      </c>
    </row>
    <row r="69" customFormat="false" ht="15" hidden="false" customHeight="true" outlineLevel="0" collapsed="false">
      <c r="C69" s="61" t="n">
        <v>498.79</v>
      </c>
      <c r="D69" s="61" t="n">
        <v>502.61</v>
      </c>
    </row>
    <row r="70" customFormat="false" ht="15" hidden="false" customHeight="true" outlineLevel="0" collapsed="false">
      <c r="C70" s="61" t="n">
        <v>499.6</v>
      </c>
      <c r="D70" s="61" t="n">
        <v>502.16</v>
      </c>
    </row>
    <row r="71" customFormat="false" ht="15" hidden="false" customHeight="true" outlineLevel="0" collapsed="false">
      <c r="C71" s="61" t="n">
        <v>498.89</v>
      </c>
      <c r="D71" s="61" t="n">
        <v>500.8</v>
      </c>
    </row>
    <row r="72" customFormat="false" ht="15" hidden="false" customHeight="true" outlineLevel="0" collapsed="false">
      <c r="C72" s="61" t="n">
        <v>502.08</v>
      </c>
      <c r="D72" s="61" t="n">
        <v>502.03</v>
      </c>
    </row>
    <row r="73" customFormat="false" ht="15" hidden="false" customHeight="true" outlineLevel="0" collapsed="false">
      <c r="C73" s="61" t="n">
        <v>501.91</v>
      </c>
      <c r="D73" s="61" t="n">
        <v>502.03</v>
      </c>
    </row>
    <row r="74" customFormat="false" ht="15" hidden="false" customHeight="true" outlineLevel="0" collapsed="false">
      <c r="C74" s="61" t="n">
        <v>500.43</v>
      </c>
      <c r="D74" s="61" t="n">
        <v>500.81</v>
      </c>
    </row>
    <row r="75" customFormat="false" ht="15" hidden="false" customHeight="true" outlineLevel="0" collapsed="false">
      <c r="C75" s="61" t="n">
        <v>497.34</v>
      </c>
      <c r="D75" s="61" t="n">
        <v>500.66</v>
      </c>
    </row>
    <row r="76" customFormat="false" ht="15" hidden="false" customHeight="true" outlineLevel="0" collapsed="false">
      <c r="C76" s="61" t="n">
        <v>499.99</v>
      </c>
      <c r="D76" s="61" t="n">
        <v>501.42</v>
      </c>
    </row>
    <row r="77" customFormat="false" ht="15" hidden="false" customHeight="true" outlineLevel="0" collapsed="false">
      <c r="D77" s="61" t="n">
        <v>500.56</v>
      </c>
    </row>
    <row r="78" customFormat="false" ht="15" hidden="false" customHeight="true" outlineLevel="0" collapsed="false">
      <c r="D78" s="61" t="n">
        <v>500.73</v>
      </c>
    </row>
    <row r="79" customFormat="false" ht="15" hidden="false" customHeight="true" outlineLevel="0" collapsed="false">
      <c r="D79" s="61" t="n">
        <v>501.56</v>
      </c>
    </row>
    <row r="81" customFormat="false" ht="15" hidden="false" customHeight="true" outlineLevel="0" collapsed="false">
      <c r="B81" s="10" t="s">
        <v>2228</v>
      </c>
      <c r="C81" s="75" t="n">
        <v>0.05</v>
      </c>
    </row>
    <row r="82" customFormat="false" ht="15" hidden="false" customHeight="true" outlineLevel="0" collapsed="false">
      <c r="B82" s="10" t="s">
        <v>1584</v>
      </c>
      <c r="C82" s="62" t="n">
        <v>0.95</v>
      </c>
    </row>
    <row r="84" customFormat="false" ht="15.75" hidden="false" customHeight="true" outlineLevel="0" collapsed="false">
      <c r="B84" s="7" t="s">
        <v>3516</v>
      </c>
      <c r="C84" s="8"/>
      <c r="D84" s="8"/>
      <c r="E84" s="8"/>
      <c r="F84" s="8"/>
      <c r="G84" s="8"/>
      <c r="H84" s="8"/>
      <c r="I84" s="8"/>
      <c r="J84" s="8"/>
      <c r="K84" s="8"/>
    </row>
    <row r="85" customFormat="false" ht="15" hidden="false" customHeight="true" outlineLevel="0" collapsed="false">
      <c r="B85" s="10" t="s">
        <v>3517</v>
      </c>
      <c r="C85" s="44" t="n">
        <f aca="false">COUNT($C$65:$C$76)</f>
        <v>12</v>
      </c>
    </row>
    <row r="86" customFormat="false" ht="15" hidden="false" customHeight="true" outlineLevel="0" collapsed="false">
      <c r="B86" s="10" t="s">
        <v>3518</v>
      </c>
      <c r="C86" s="44" t="n">
        <f aca="false">COUNT($D$65:$D$79)</f>
        <v>15</v>
      </c>
    </row>
    <row r="87" customFormat="false" ht="15" hidden="false" customHeight="true" outlineLevel="0" collapsed="false">
      <c r="B87" s="10" t="s">
        <v>3519</v>
      </c>
      <c r="C87" s="66" t="n">
        <f aca="false">AVERAGE($C$65:$C$76)</f>
        <v>500.2</v>
      </c>
    </row>
    <row r="88" customFormat="false" ht="15" hidden="false" customHeight="true" outlineLevel="0" collapsed="false">
      <c r="B88" s="10" t="s">
        <v>3520</v>
      </c>
      <c r="C88" s="66" t="n">
        <f aca="false">AVERAGE($D$65:$D$79)</f>
        <v>501.150666666667</v>
      </c>
    </row>
    <row r="89" customFormat="false" ht="15" hidden="false" customHeight="true" outlineLevel="0" collapsed="false">
      <c r="B89" s="10" t="s">
        <v>3521</v>
      </c>
      <c r="C89" s="77" t="n">
        <f aca="false">VAR($C$65:$C$76)</f>
        <v>2.25118181818182</v>
      </c>
    </row>
    <row r="90" customFormat="false" ht="15" hidden="false" customHeight="true" outlineLevel="0" collapsed="false">
      <c r="B90" s="10" t="s">
        <v>3522</v>
      </c>
      <c r="C90" s="77" t="n">
        <f aca="false">VAR($D$65:$D$79)</f>
        <v>0.720249523809519</v>
      </c>
    </row>
    <row r="91" customFormat="false" ht="15" hidden="false" customHeight="true" outlineLevel="0" collapsed="false">
      <c r="B91" s="10" t="s">
        <v>3523</v>
      </c>
      <c r="C91" s="66" t="n">
        <f aca="false">C87-C88</f>
        <v>-0.950666666666677</v>
      </c>
    </row>
    <row r="92" customFormat="false" ht="15" hidden="false" customHeight="true" outlineLevel="0" collapsed="false">
      <c r="B92" s="10" t="s">
        <v>3524</v>
      </c>
      <c r="C92" s="64" t="n">
        <f aca="false">IFERROR(MAX(C89,C90)/MIN(C89,C90),0)</f>
        <v>3.12555821803942</v>
      </c>
    </row>
    <row r="94" customFormat="false" ht="15.75" hidden="false" customHeight="true" outlineLevel="0" collapsed="false">
      <c r="B94" s="7" t="s">
        <v>3525</v>
      </c>
      <c r="C94" s="8"/>
      <c r="D94" s="8"/>
      <c r="E94" s="8"/>
      <c r="F94" s="8"/>
      <c r="G94" s="8"/>
      <c r="H94" s="8"/>
      <c r="I94" s="8"/>
      <c r="J94" s="8"/>
      <c r="K94" s="8"/>
    </row>
    <row r="95" customFormat="false" ht="16.5" hidden="false" customHeight="true" outlineLevel="0" collapsed="false">
      <c r="B95" s="11" t="s">
        <v>3526</v>
      </c>
      <c r="C95" s="11" t="s">
        <v>3527</v>
      </c>
      <c r="D95" s="11" t="s">
        <v>3528</v>
      </c>
    </row>
    <row r="96" customFormat="false" ht="15" hidden="false" customHeight="true" outlineLevel="0" collapsed="false">
      <c r="B96" s="78" t="s">
        <v>3529</v>
      </c>
      <c r="C96" s="77" t="n">
        <f aca="false">((C85-1)*C89+(C86-1)*C90)/(C85+C86-2)</f>
        <v>1.39385973333333</v>
      </c>
      <c r="D96" s="77" t="n">
        <f aca="false">C89/C85+C90/C86</f>
        <v>0.23561511976912</v>
      </c>
    </row>
    <row r="97" customFormat="false" ht="15" hidden="false" customHeight="true" outlineLevel="0" collapsed="false">
      <c r="B97" s="78" t="s">
        <v>3530</v>
      </c>
      <c r="C97" s="77" t="n">
        <f aca="false">SQRT(C96*(1/C85+1/C86))</f>
        <v>0.457251528154909</v>
      </c>
      <c r="D97" s="77" t="n">
        <f aca="false">SQRT(D96)</f>
        <v>0.485402018711418</v>
      </c>
    </row>
    <row r="98" customFormat="false" ht="15" hidden="false" customHeight="true" outlineLevel="0" collapsed="false">
      <c r="B98" s="78" t="s">
        <v>2834</v>
      </c>
      <c r="C98" s="63" t="n">
        <f aca="false">C85+C86-2</f>
        <v>25</v>
      </c>
      <c r="D98" s="63" t="n">
        <f aca="false">IFERROR((C89/C85+C90/C86)^2/((C89/C85)^2/(C85-1)+(C90/C86)^2/(C86-1)),1)</f>
        <v>16.5021956663146</v>
      </c>
    </row>
    <row r="99" customFormat="false" ht="15" hidden="false" customHeight="true" outlineLevel="0" collapsed="false">
      <c r="B99" s="78" t="s">
        <v>3257</v>
      </c>
      <c r="C99" s="66" t="n">
        <f aca="false">IFERROR(C91/C97,0)</f>
        <v>-2.07908909676647</v>
      </c>
      <c r="D99" s="66" t="n">
        <f aca="false">IFERROR(C91/D97,0)</f>
        <v>-1.95851403583031</v>
      </c>
    </row>
    <row r="100" customFormat="false" ht="15" hidden="false" customHeight="true" outlineLevel="0" collapsed="false">
      <c r="B100" s="78" t="s">
        <v>3258</v>
      </c>
      <c r="C100" s="77" t="n">
        <f aca="false">TDIST(ABS(C99),C98,2)</f>
        <v>0.0480222328795706</v>
      </c>
      <c r="D100" s="77" t="n">
        <f aca="false">TDIST(ABS(D99),MAX(1,ROUND(D98,0)),2)</f>
        <v>0.0667851252338809</v>
      </c>
    </row>
    <row r="101" customFormat="false" ht="15" hidden="false" customHeight="true" outlineLevel="0" collapsed="false">
      <c r="B101" s="78" t="s">
        <v>3531</v>
      </c>
      <c r="C101" s="77" t="n">
        <f aca="false">TTEST($C$65:$C$76,$D$65:$D$79,2,2)</f>
        <v>0.0480222328793476</v>
      </c>
      <c r="D101" s="77" t="n">
        <f aca="false">TTEST($C$65:$C$76,$D$65:$D$79,2,3)</f>
        <v>0.0672931273254503</v>
      </c>
    </row>
    <row r="102" customFormat="false" ht="15" hidden="false" customHeight="true" outlineLevel="0" collapsed="false">
      <c r="B102" s="78" t="s">
        <v>3532</v>
      </c>
      <c r="C102" s="66" t="n">
        <f aca="false">C91-TINV(1-C82,C98)*C97</f>
        <v>-1.89239381720707</v>
      </c>
      <c r="D102" s="66" t="n">
        <f aca="false">C91-TINV(1-C82,MAX(1,ROUND(D98,0)))*D97</f>
        <v>-1.97477540725577</v>
      </c>
    </row>
    <row r="103" customFormat="false" ht="15" hidden="false" customHeight="true" outlineLevel="0" collapsed="false">
      <c r="B103" s="78" t="s">
        <v>3533</v>
      </c>
      <c r="C103" s="66" t="n">
        <f aca="false">C91+TINV(1-C82,C98)*C97</f>
        <v>-0.00893951612628263</v>
      </c>
      <c r="D103" s="66" t="n">
        <f aca="false">C91+TINV(1-C82,MAX(1,ROUND(D98,0)))*D97</f>
        <v>0.0734420739224111</v>
      </c>
    </row>
    <row r="105" customFormat="false" ht="15" hidden="false" customHeight="true" outlineLevel="0" collapsed="false">
      <c r="B105" s="10" t="s">
        <v>3534</v>
      </c>
      <c r="C105" s="63" t="n">
        <f aca="false">IFERROR(C91/SQRT(C96),0)</f>
        <v>-0.805227744705795</v>
      </c>
    </row>
    <row r="106" customFormat="false" ht="15" hidden="false" customHeight="true" outlineLevel="0" collapsed="false">
      <c r="B106" s="10" t="s">
        <v>3535</v>
      </c>
      <c r="C106" s="41" t="str">
        <f aca="false">IF((C100&lt;C81)=(D100&lt;C81),"Yes - the choice does not change the conclusion here","NO - the choice of test CHANGES the conclusion. Use Welch.")</f>
        <v>NO - the choice of test CHANGES the conclusion. Use Welch.</v>
      </c>
    </row>
    <row r="108" customFormat="false" ht="15.75" hidden="false" customHeight="true" outlineLevel="0" collapsed="false">
      <c r="B108" s="7" t="s">
        <v>1493</v>
      </c>
      <c r="C108" s="8"/>
      <c r="D108" s="8"/>
      <c r="E108" s="8"/>
      <c r="F108" s="8"/>
      <c r="G108" s="8"/>
      <c r="H108" s="8"/>
      <c r="I108" s="8"/>
      <c r="J108" s="8"/>
      <c r="K108" s="8"/>
    </row>
    <row r="109" customFormat="false" ht="33.75" hidden="false" customHeight="true" outlineLevel="0" collapsed="false">
      <c r="B109" s="53" t="s">
        <v>1494</v>
      </c>
      <c r="C109" s="54" t="str">
        <f aca="false">IF(D100&lt;C81,"REJECT H0 (Welch, p = "&amp;TEXT(D100,"0.0000")&amp;") - the two group means differ. Difference = "&amp;TEXT(C91,"0.000")&amp;" ml, 95% CI "&amp;TEXT(D102,"0.00")&amp;" to "&amp;TEXT(D103,"0.00")&amp;". Confirm materiality on E-21.","FAIL TO REJECT H0 (Welch, p = "&amp;TEXT(D100,"0.0000")&amp;") - no evidence of a difference in means. Check the power on E-19 before declaring the shifts equivalent.")</f>
        <v>FAIL TO REJECT H0 (Welch, p = 0.0668) - no evidence of a difference in means. Check the power on E-19 before declaring the shifts equivalent.</v>
      </c>
      <c r="D109" s="54"/>
      <c r="E109" s="54"/>
    </row>
    <row r="111" customFormat="false" ht="16.5" hidden="false" customHeight="true" outlineLevel="0" collapsed="false">
      <c r="B111" s="11" t="s">
        <v>1495</v>
      </c>
      <c r="C111" s="11" t="s">
        <v>1496</v>
      </c>
      <c r="D111" s="11" t="s">
        <v>1497</v>
      </c>
    </row>
    <row r="112" customFormat="false" ht="30.75" hidden="false" customHeight="true" outlineLevel="0" collapsed="false">
      <c r="B112" s="12" t="s">
        <v>3536</v>
      </c>
      <c r="C112" s="12" t="s">
        <v>3379</v>
      </c>
      <c r="D112" s="12" t="s">
        <v>3537</v>
      </c>
    </row>
    <row r="113" customFormat="false" ht="30.75" hidden="false" customHeight="true" outlineLevel="0" collapsed="false">
      <c r="B113" s="12" t="s">
        <v>3538</v>
      </c>
      <c r="C113" s="12" t="s">
        <v>3539</v>
      </c>
      <c r="D113" s="12" t="s">
        <v>3540</v>
      </c>
    </row>
    <row r="114" customFormat="false" ht="30.75" hidden="false" customHeight="true" outlineLevel="0" collapsed="false">
      <c r="B114" s="12" t="s">
        <v>3541</v>
      </c>
      <c r="C114" s="12" t="s">
        <v>3542</v>
      </c>
      <c r="D114" s="12" t="s">
        <v>3543</v>
      </c>
    </row>
    <row r="115" customFormat="false" ht="30.75" hidden="false" customHeight="true" outlineLevel="0" collapsed="false">
      <c r="B115" s="12" t="s">
        <v>3544</v>
      </c>
      <c r="C115" s="12" t="s">
        <v>3545</v>
      </c>
      <c r="D115" s="12" t="s">
        <v>3546</v>
      </c>
    </row>
    <row r="117" customFormat="false" ht="15" hidden="false" customHeight="true" outlineLevel="0" collapsed="false">
      <c r="B117" s="55" t="s">
        <v>1507</v>
      </c>
    </row>
    <row r="118" customFormat="false" ht="17.25" hidden="false" customHeight="true" outlineLevel="0" collapsed="false">
      <c r="B118" s="9" t="s">
        <v>3547</v>
      </c>
      <c r="C118" s="9"/>
      <c r="D118" s="9"/>
      <c r="E118" s="9"/>
      <c r="F118" s="9"/>
    </row>
    <row r="119" customFormat="false" ht="31.5" hidden="false" customHeight="true" outlineLevel="0" collapsed="false">
      <c r="B119" s="9" t="s">
        <v>3548</v>
      </c>
      <c r="C119" s="9"/>
      <c r="D119" s="9"/>
      <c r="E119" s="9"/>
      <c r="F119" s="9"/>
    </row>
    <row r="120" customFormat="false" ht="17.25" hidden="false" customHeight="true" outlineLevel="0" collapsed="false">
      <c r="B120" s="9" t="s">
        <v>3549</v>
      </c>
      <c r="C120" s="9"/>
      <c r="D120" s="9"/>
      <c r="E120" s="9"/>
      <c r="F120" s="9"/>
    </row>
    <row r="121" customFormat="false" ht="17.25" hidden="false" customHeight="true" outlineLevel="0" collapsed="false">
      <c r="B121" s="9" t="s">
        <v>3550</v>
      </c>
      <c r="C121" s="9"/>
      <c r="D121" s="9"/>
      <c r="E121" s="9"/>
      <c r="F121" s="9"/>
    </row>
    <row r="122" customFormat="false" ht="17.25" hidden="false" customHeight="true" outlineLevel="0" collapsed="false">
      <c r="B122" s="9" t="s">
        <v>3551</v>
      </c>
      <c r="C122" s="9"/>
      <c r="D122" s="9"/>
      <c r="E122" s="9"/>
      <c r="F122" s="9"/>
    </row>
    <row r="124" customFormat="false" ht="15.75" hidden="false" customHeight="true" outlineLevel="0" collapsed="false">
      <c r="B124" s="7" t="s">
        <v>1513</v>
      </c>
      <c r="C124" s="8"/>
      <c r="D124" s="8"/>
      <c r="E124" s="8"/>
      <c r="F124" s="8"/>
      <c r="G124" s="8"/>
      <c r="H124" s="8"/>
      <c r="I124" s="8"/>
      <c r="J124" s="8"/>
      <c r="K124" s="8"/>
    </row>
    <row r="125" customFormat="false" ht="17.25" hidden="false" customHeight="true" outlineLevel="0" collapsed="false">
      <c r="B125" s="9" t="s">
        <v>1514</v>
      </c>
      <c r="C125" s="9"/>
      <c r="D125" s="9"/>
      <c r="E125" s="9"/>
      <c r="N125" s="56" t="s">
        <v>1515</v>
      </c>
    </row>
    <row r="126" customFormat="false" ht="17.25" hidden="false" customHeight="true" outlineLevel="0" collapsed="false">
      <c r="B126" s="9" t="s">
        <v>3552</v>
      </c>
      <c r="C126" s="9"/>
      <c r="D126" s="9"/>
      <c r="E126" s="9"/>
      <c r="N126" s="57" t="s">
        <v>3553</v>
      </c>
    </row>
    <row r="127" customFormat="false" ht="17.25" hidden="false" customHeight="true" outlineLevel="0" collapsed="false">
      <c r="B127" s="9" t="s">
        <v>3554</v>
      </c>
      <c r="C127" s="9"/>
      <c r="D127" s="9"/>
      <c r="E127" s="9"/>
      <c r="N127" s="57" t="s">
        <v>3555</v>
      </c>
    </row>
    <row r="128" customFormat="false" ht="17.25" hidden="false" customHeight="true" outlineLevel="0" collapsed="false">
      <c r="B128" s="9" t="s">
        <v>3556</v>
      </c>
      <c r="C128" s="9"/>
      <c r="D128" s="9"/>
      <c r="E128" s="9"/>
      <c r="N128" s="57" t="s">
        <v>3557</v>
      </c>
    </row>
    <row r="130" customFormat="false" ht="15.75" hidden="false" customHeight="true" outlineLevel="0" collapsed="false">
      <c r="B130" s="7" t="s">
        <v>1522</v>
      </c>
      <c r="C130" s="8"/>
      <c r="D130" s="8"/>
      <c r="E130" s="8"/>
      <c r="F130" s="8"/>
      <c r="G130" s="8"/>
      <c r="H130" s="8"/>
      <c r="I130" s="8"/>
      <c r="J130" s="8"/>
      <c r="K130" s="8"/>
    </row>
    <row r="131" customFormat="false" ht="16.5" hidden="false" customHeight="true" outlineLevel="0" collapsed="false">
      <c r="B131" s="11" t="s">
        <v>1523</v>
      </c>
      <c r="C131" s="11" t="s">
        <v>1524</v>
      </c>
      <c r="D131" s="11" t="s">
        <v>1615</v>
      </c>
    </row>
    <row r="132" customFormat="false" ht="16.5" hidden="false" customHeight="true" outlineLevel="0" collapsed="false">
      <c r="B132" s="58" t="s">
        <v>1053</v>
      </c>
      <c r="C132" s="58" t="s">
        <v>3367</v>
      </c>
      <c r="D132" s="58" t="s">
        <v>1191</v>
      </c>
    </row>
  </sheetData>
  <mergeCells count="38">
    <mergeCell ref="B2:J2"/>
    <mergeCell ref="D3:E3"/>
    <mergeCell ref="C6:D6"/>
    <mergeCell ref="C7:D7"/>
    <mergeCell ref="C8:D8"/>
    <mergeCell ref="B11:F11"/>
    <mergeCell ref="B12:F12"/>
    <mergeCell ref="B13:F13"/>
    <mergeCell ref="B14:F14"/>
    <mergeCell ref="B15:F16"/>
    <mergeCell ref="B17:F19"/>
    <mergeCell ref="B20:F22"/>
    <mergeCell ref="B25:D25"/>
    <mergeCell ref="E25:F25"/>
    <mergeCell ref="B26:D26"/>
    <mergeCell ref="E26:F26"/>
    <mergeCell ref="B27:D27"/>
    <mergeCell ref="E27:F27"/>
    <mergeCell ref="B28:D28"/>
    <mergeCell ref="E28:F28"/>
    <mergeCell ref="B37:F37"/>
    <mergeCell ref="B38:F38"/>
    <mergeCell ref="B39:F39"/>
    <mergeCell ref="B43:F43"/>
    <mergeCell ref="B44:F44"/>
    <mergeCell ref="B45:F45"/>
    <mergeCell ref="B56:F56"/>
    <mergeCell ref="B59:F61"/>
    <mergeCell ref="C109:E109"/>
    <mergeCell ref="B118:F118"/>
    <mergeCell ref="B119:F119"/>
    <mergeCell ref="B120:F120"/>
    <mergeCell ref="B121:F121"/>
    <mergeCell ref="B122:F122"/>
    <mergeCell ref="B125:E125"/>
    <mergeCell ref="B126:E126"/>
    <mergeCell ref="B127:E127"/>
    <mergeCell ref="B128:E128"/>
  </mergeCells>
  <hyperlinks>
    <hyperlink ref="B3" location="'N-03 Index DMAIC'!A1" display="← Back to Index"/>
    <hyperlink ref="E31" location="'E-32 Normality Testing'!A1" display="E-32  Normality Testing and Probability Plots"/>
    <hyperlink ref="E32" location="'E-28 Variance Tests'!A1" display="E-28  Tests for Variance: F, Levene, Bartlett"/>
    <hyperlink ref="E33" location="'E-25 Paired t-Test'!A1" display="E-25  Paired t-Test"/>
    <hyperlink ref="B132" location="'E-23 1-Sample t-Test'!A1" display="E-23  One-Sample t-Test"/>
    <hyperlink ref="C132" location="'E-25 Paired t-Test'!A1" display="E-25  Paired t-Test"/>
    <hyperlink ref="D132" location="'E-31 Nonparametric Tests'!A1" display="E-31  Nonparametric Tes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3558</v>
      </c>
      <c r="C2" s="3"/>
      <c r="D2" s="3"/>
      <c r="E2" s="3"/>
      <c r="F2" s="3"/>
      <c r="G2" s="3"/>
      <c r="H2" s="3"/>
      <c r="I2" s="3"/>
      <c r="J2" s="3"/>
      <c r="K2" s="80" t="s">
        <v>2864</v>
      </c>
    </row>
    <row r="3" customFormat="false" ht="28.5" hidden="false" customHeight="true" outlineLevel="0" collapsed="false">
      <c r="B3" s="5" t="s">
        <v>3</v>
      </c>
      <c r="D3" s="6" t="s">
        <v>3559</v>
      </c>
      <c r="E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3560</v>
      </c>
      <c r="D6" s="9"/>
    </row>
    <row r="7" customFormat="false" ht="31.5" hidden="false" customHeight="true" outlineLevel="0" collapsed="false">
      <c r="B7" s="47" t="s">
        <v>1394</v>
      </c>
      <c r="C7" s="9" t="s">
        <v>3561</v>
      </c>
      <c r="D7" s="9"/>
    </row>
    <row r="8" customFormat="false" ht="31.5" hidden="false" customHeight="true" outlineLevel="0" collapsed="false">
      <c r="B8" s="47" t="s">
        <v>1396</v>
      </c>
      <c r="C8" s="9" t="s">
        <v>3562</v>
      </c>
      <c r="D8" s="9"/>
    </row>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3563</v>
      </c>
      <c r="C11" s="9"/>
      <c r="D11" s="9"/>
      <c r="E11" s="9"/>
      <c r="F11" s="9"/>
    </row>
    <row r="12" customFormat="false" ht="15" hidden="false" customHeight="true" outlineLevel="0" collapsed="false">
      <c r="B12" s="9" t="s">
        <v>3564</v>
      </c>
      <c r="C12" s="9"/>
      <c r="D12" s="9"/>
      <c r="E12" s="9"/>
      <c r="F12" s="9"/>
    </row>
    <row r="13" customFormat="false" ht="15" hidden="false" customHeight="true" outlineLevel="0" collapsed="false">
      <c r="B13" s="9"/>
      <c r="C13" s="9"/>
      <c r="D13" s="9"/>
      <c r="E13" s="9"/>
      <c r="F13" s="9"/>
    </row>
    <row r="14" customFormat="false" ht="15" hidden="false" customHeight="true" outlineLevel="0" collapsed="false">
      <c r="B14" s="9"/>
      <c r="C14" s="9"/>
      <c r="D14" s="9"/>
      <c r="E14" s="9"/>
      <c r="F14" s="9"/>
    </row>
    <row r="15" customFormat="false" ht="10.5" hidden="false" customHeight="true" outlineLevel="0" collapsed="false">
      <c r="B15" s="9" t="s">
        <v>3565</v>
      </c>
      <c r="C15" s="9"/>
      <c r="D15" s="9"/>
      <c r="E15" s="9"/>
      <c r="F15" s="9"/>
    </row>
    <row r="16" customFormat="false" ht="10.5" hidden="false" customHeight="true" outlineLevel="0" collapsed="false">
      <c r="B16" s="9"/>
      <c r="C16" s="9"/>
      <c r="D16" s="9"/>
      <c r="E16" s="9"/>
      <c r="F16" s="9"/>
    </row>
    <row r="17" customFormat="false" ht="10.5" hidden="false" customHeight="true" outlineLevel="0" collapsed="false">
      <c r="B17" s="9"/>
      <c r="C17" s="9"/>
      <c r="D17" s="9"/>
      <c r="E17" s="9"/>
      <c r="F17" s="9"/>
    </row>
    <row r="18" customFormat="false" ht="15.75" hidden="false" customHeight="true" outlineLevel="0" collapsed="false">
      <c r="B18" s="9" t="s">
        <v>3566</v>
      </c>
      <c r="C18" s="9"/>
      <c r="D18" s="9"/>
      <c r="E18" s="9"/>
      <c r="F18" s="9"/>
    </row>
    <row r="19" customFormat="false" ht="15.75" hidden="false" customHeight="true" outlineLevel="0" collapsed="false">
      <c r="B19" s="9"/>
      <c r="C19" s="9"/>
      <c r="D19" s="9"/>
      <c r="E19" s="9"/>
      <c r="F19" s="9"/>
    </row>
    <row r="20" customFormat="false" ht="17.25" hidden="false" customHeight="true" outlineLevel="0" collapsed="false">
      <c r="B20" s="9" t="s">
        <v>3567</v>
      </c>
      <c r="C20" s="9"/>
      <c r="D20" s="9"/>
      <c r="E20" s="9"/>
      <c r="F20" s="9"/>
    </row>
    <row r="22" customFormat="false" ht="15.75" hidden="false" customHeight="true" outlineLevel="0" collapsed="false">
      <c r="B22" s="7" t="s">
        <v>1406</v>
      </c>
      <c r="C22" s="8"/>
      <c r="D22" s="8"/>
      <c r="E22" s="8"/>
      <c r="F22" s="8"/>
      <c r="G22" s="8"/>
      <c r="H22" s="8"/>
      <c r="I22" s="8"/>
      <c r="J22" s="8"/>
      <c r="K22" s="8"/>
    </row>
    <row r="23" customFormat="false" ht="17.25" hidden="false" customHeight="true" outlineLevel="0" collapsed="false">
      <c r="B23" s="48" t="s">
        <v>1407</v>
      </c>
      <c r="C23" s="48"/>
      <c r="E23" s="55" t="s">
        <v>1408</v>
      </c>
    </row>
    <row r="24" customFormat="false" ht="44.25" hidden="false" customHeight="true" outlineLevel="0" collapsed="false">
      <c r="B24" s="23" t="s">
        <v>3568</v>
      </c>
      <c r="C24" s="23"/>
      <c r="E24" s="82" t="s">
        <v>3569</v>
      </c>
    </row>
    <row r="25" customFormat="false" ht="44.25" hidden="false" customHeight="true" outlineLevel="0" collapsed="false">
      <c r="B25" s="23" t="s">
        <v>3570</v>
      </c>
      <c r="C25" s="23"/>
      <c r="E25" s="82" t="s">
        <v>3571</v>
      </c>
    </row>
    <row r="26" customFormat="false" ht="44.25" hidden="false" customHeight="true" outlineLevel="0" collapsed="false">
      <c r="B26" s="23" t="s">
        <v>3572</v>
      </c>
      <c r="C26" s="23"/>
      <c r="E26" s="82" t="s">
        <v>3573</v>
      </c>
    </row>
    <row r="27" customFormat="false" ht="17.25" hidden="false" customHeight="true" outlineLevel="0" collapsed="false">
      <c r="B27" s="23" t="s">
        <v>3574</v>
      </c>
      <c r="C27" s="23"/>
      <c r="D27" s="23"/>
      <c r="E27" s="23"/>
      <c r="F27" s="23"/>
    </row>
    <row r="29" customFormat="false" ht="16.5" hidden="false" customHeight="true" outlineLevel="0" collapsed="false">
      <c r="B29" s="11" t="s">
        <v>1416</v>
      </c>
      <c r="C29" s="11" t="s">
        <v>1417</v>
      </c>
      <c r="D29" s="11" t="s">
        <v>1418</v>
      </c>
      <c r="E29" s="11" t="s">
        <v>1419</v>
      </c>
    </row>
    <row r="30" customFormat="false" ht="44.25" hidden="false" customHeight="true" outlineLevel="0" collapsed="false">
      <c r="B30" s="12" t="s">
        <v>3575</v>
      </c>
      <c r="C30" s="12" t="s">
        <v>3576</v>
      </c>
      <c r="D30" s="12" t="s">
        <v>3577</v>
      </c>
      <c r="E30" s="50" t="s">
        <v>1191</v>
      </c>
    </row>
    <row r="31" customFormat="false" ht="44.25" hidden="false" customHeight="true" outlineLevel="0" collapsed="false">
      <c r="B31" s="12" t="s">
        <v>3578</v>
      </c>
      <c r="C31" s="12" t="s">
        <v>3579</v>
      </c>
      <c r="D31" s="12" t="s">
        <v>3580</v>
      </c>
      <c r="E31" s="50" t="s">
        <v>1119</v>
      </c>
    </row>
    <row r="32" customFormat="false" ht="44.25" hidden="false" customHeight="true" outlineLevel="0" collapsed="false">
      <c r="B32" s="12" t="s">
        <v>3581</v>
      </c>
      <c r="C32" s="12" t="s">
        <v>3582</v>
      </c>
      <c r="D32" s="12" t="s">
        <v>3583</v>
      </c>
      <c r="E32" s="50" t="s">
        <v>3370</v>
      </c>
    </row>
    <row r="34" customFormat="false" ht="15.75" hidden="false" customHeight="true" outlineLevel="0" collapsed="false">
      <c r="B34" s="7" t="s">
        <v>1429</v>
      </c>
      <c r="C34" s="8"/>
      <c r="D34" s="8"/>
      <c r="E34" s="8"/>
      <c r="F34" s="8"/>
      <c r="G34" s="8"/>
      <c r="H34" s="8"/>
      <c r="I34" s="8"/>
      <c r="J34" s="8"/>
      <c r="K34" s="8"/>
    </row>
    <row r="35" customFormat="false" ht="15" hidden="false" customHeight="true" outlineLevel="0" collapsed="false">
      <c r="B35" s="47" t="s">
        <v>3584</v>
      </c>
    </row>
    <row r="36" customFormat="false" ht="15" hidden="false" customHeight="true" outlineLevel="0" collapsed="false">
      <c r="B36" s="59" t="s">
        <v>3585</v>
      </c>
    </row>
    <row r="37" customFormat="false" ht="17.25" hidden="false" customHeight="true" outlineLevel="0" collapsed="false">
      <c r="B37" s="51" t="s">
        <v>3586</v>
      </c>
      <c r="C37" s="51"/>
      <c r="D37" s="51"/>
      <c r="E37" s="51"/>
      <c r="F37" s="51"/>
    </row>
    <row r="38" customFormat="false" ht="17.25" hidden="false" customHeight="true" outlineLevel="0" collapsed="false">
      <c r="B38" s="52" t="s">
        <v>3587</v>
      </c>
      <c r="C38" s="52"/>
      <c r="D38" s="52"/>
      <c r="E38" s="52"/>
      <c r="F38" s="52"/>
    </row>
    <row r="39" customFormat="false" ht="17.25" hidden="false" customHeight="true" outlineLevel="0" collapsed="false">
      <c r="B39" s="52" t="s">
        <v>3588</v>
      </c>
      <c r="C39" s="52"/>
      <c r="D39" s="52"/>
      <c r="E39" s="52"/>
      <c r="F39" s="52"/>
    </row>
    <row r="40" customFormat="false" ht="17.25" hidden="false" customHeight="true" outlineLevel="0" collapsed="false">
      <c r="B40" s="51" t="s">
        <v>3589</v>
      </c>
      <c r="C40" s="51"/>
      <c r="D40" s="51"/>
      <c r="E40" s="51"/>
      <c r="F40" s="51"/>
    </row>
    <row r="41" customFormat="false" ht="17.25" hidden="false" customHeight="true" outlineLevel="0" collapsed="false">
      <c r="B41" s="52" t="s">
        <v>3590</v>
      </c>
      <c r="C41" s="52"/>
      <c r="D41" s="52"/>
      <c r="E41" s="52"/>
      <c r="F41" s="52"/>
    </row>
    <row r="42" customFormat="false" ht="17.25" hidden="false" customHeight="true" outlineLevel="0" collapsed="false">
      <c r="B42" s="51" t="s">
        <v>3591</v>
      </c>
      <c r="C42" s="51"/>
      <c r="D42" s="51"/>
      <c r="E42" s="51"/>
      <c r="F42" s="51"/>
    </row>
    <row r="43" customFormat="false" ht="15.75" hidden="false" customHeight="true" outlineLevel="0" collapsed="false">
      <c r="B43" s="52" t="s">
        <v>3592</v>
      </c>
      <c r="C43" s="52"/>
      <c r="D43" s="52"/>
      <c r="E43" s="52"/>
      <c r="F43" s="52"/>
    </row>
    <row r="44" customFormat="false" ht="15.75" hidden="false" customHeight="true" outlineLevel="0" collapsed="false">
      <c r="B44" s="52"/>
      <c r="C44" s="52"/>
      <c r="D44" s="52"/>
      <c r="E44" s="52"/>
      <c r="F44" s="52"/>
    </row>
    <row r="46" customFormat="false" ht="15.75" hidden="false" customHeight="true" outlineLevel="0" collapsed="false">
      <c r="B46" s="7" t="s">
        <v>1437</v>
      </c>
      <c r="C46" s="8"/>
      <c r="D46" s="8"/>
      <c r="E46" s="8"/>
      <c r="F46" s="8"/>
      <c r="G46" s="8"/>
      <c r="H46" s="8"/>
      <c r="I46" s="8"/>
      <c r="J46" s="8"/>
      <c r="K46" s="8"/>
    </row>
    <row r="47" customFormat="false" ht="16.5" hidden="false" customHeight="true" outlineLevel="0" collapsed="false">
      <c r="B47" s="11" t="s">
        <v>1438</v>
      </c>
      <c r="C47" s="11" t="s">
        <v>1439</v>
      </c>
      <c r="D47" s="11" t="s">
        <v>1440</v>
      </c>
    </row>
    <row r="48" customFormat="false" ht="30.75" hidden="false" customHeight="true" outlineLevel="0" collapsed="false">
      <c r="B48" s="12" t="s">
        <v>3502</v>
      </c>
      <c r="C48" s="12" t="s">
        <v>3593</v>
      </c>
      <c r="D48" s="12" t="s">
        <v>3594</v>
      </c>
    </row>
    <row r="49" customFormat="false" ht="30.75" hidden="false" customHeight="true" outlineLevel="0" collapsed="false">
      <c r="B49" s="12" t="s">
        <v>3595</v>
      </c>
      <c r="C49" s="12" t="s">
        <v>3596</v>
      </c>
      <c r="D49" s="12" t="s">
        <v>3597</v>
      </c>
    </row>
    <row r="50" customFormat="false" ht="30.75" hidden="false" customHeight="true" outlineLevel="0" collapsed="false">
      <c r="B50" s="12" t="s">
        <v>2502</v>
      </c>
      <c r="C50" s="12" t="s">
        <v>3598</v>
      </c>
      <c r="D50" s="12" t="s">
        <v>3599</v>
      </c>
    </row>
    <row r="51" customFormat="false" ht="16.5" hidden="false" customHeight="true" outlineLevel="0" collapsed="false">
      <c r="B51" s="12" t="s">
        <v>3600</v>
      </c>
      <c r="C51" s="12" t="s">
        <v>3601</v>
      </c>
      <c r="D51" s="12" t="s">
        <v>3602</v>
      </c>
    </row>
    <row r="52" customFormat="false" ht="30.75" hidden="false" customHeight="true" outlineLevel="0" collapsed="false">
      <c r="B52" s="12" t="s">
        <v>1568</v>
      </c>
      <c r="C52" s="12" t="s">
        <v>1569</v>
      </c>
      <c r="D52" s="12" t="s">
        <v>3603</v>
      </c>
    </row>
    <row r="53" customFormat="false" ht="28.5" hidden="false" customHeight="true" outlineLevel="0" collapsed="false">
      <c r="B53" s="16" t="s">
        <v>1453</v>
      </c>
      <c r="C53" s="16"/>
      <c r="D53" s="16"/>
      <c r="E53" s="16"/>
      <c r="F53" s="16"/>
    </row>
    <row r="55" customFormat="false" ht="15.75" hidden="false" customHeight="true" outlineLevel="0" collapsed="false">
      <c r="B55" s="7" t="s">
        <v>1454</v>
      </c>
      <c r="C55" s="8"/>
      <c r="D55" s="8"/>
      <c r="E55" s="8"/>
      <c r="F55" s="8"/>
      <c r="G55" s="8"/>
      <c r="H55" s="8"/>
      <c r="I55" s="8"/>
      <c r="J55" s="8"/>
      <c r="K55" s="8"/>
    </row>
    <row r="56" customFormat="false" ht="15.75" hidden="false" customHeight="true" outlineLevel="0" collapsed="false">
      <c r="B56" s="9" t="s">
        <v>3604</v>
      </c>
      <c r="C56" s="9"/>
      <c r="D56" s="9"/>
      <c r="E56" s="9"/>
      <c r="F56" s="9"/>
    </row>
    <row r="57" customFormat="false" ht="15.75" hidden="false" customHeight="true" outlineLevel="0" collapsed="false">
      <c r="B57" s="9"/>
      <c r="C57" s="9"/>
      <c r="D57" s="9"/>
      <c r="E57" s="9"/>
      <c r="F57" s="9"/>
    </row>
    <row r="58" customFormat="false" ht="15" hidden="false" customHeight="true" outlineLevel="0" collapsed="false">
      <c r="B58" s="19" t="s">
        <v>85</v>
      </c>
      <c r="C58" s="41" t="s">
        <v>86</v>
      </c>
    </row>
    <row r="60" customFormat="false" ht="16.5" hidden="false" customHeight="true" outlineLevel="0" collapsed="false">
      <c r="C60" s="11" t="s">
        <v>3605</v>
      </c>
      <c r="D60" s="11" t="s">
        <v>3606</v>
      </c>
      <c r="E60" s="11" t="s">
        <v>3607</v>
      </c>
    </row>
    <row r="61" customFormat="false" ht="15" hidden="false" customHeight="true" outlineLevel="0" collapsed="false">
      <c r="C61" s="61" t="n">
        <v>1.96</v>
      </c>
      <c r="D61" s="61" t="n">
        <v>2.26</v>
      </c>
      <c r="E61" s="64" t="n">
        <f aca="false">D61-C61</f>
        <v>0.3</v>
      </c>
    </row>
    <row r="62" customFormat="false" ht="15" hidden="false" customHeight="true" outlineLevel="0" collapsed="false">
      <c r="C62" s="61" t="n">
        <v>1.81</v>
      </c>
      <c r="D62" s="61" t="n">
        <v>2.04</v>
      </c>
      <c r="E62" s="64" t="n">
        <f aca="false">D62-C62</f>
        <v>0.23</v>
      </c>
    </row>
    <row r="63" customFormat="false" ht="15" hidden="false" customHeight="true" outlineLevel="0" collapsed="false">
      <c r="C63" s="61" t="n">
        <v>1.87</v>
      </c>
      <c r="D63" s="61" t="n">
        <v>2.12</v>
      </c>
      <c r="E63" s="64" t="n">
        <f aca="false">D63-C63</f>
        <v>0.25</v>
      </c>
    </row>
    <row r="64" customFormat="false" ht="15" hidden="false" customHeight="true" outlineLevel="0" collapsed="false">
      <c r="C64" s="61" t="n">
        <v>1.92</v>
      </c>
      <c r="D64" s="61" t="n">
        <v>2.1</v>
      </c>
      <c r="E64" s="64" t="n">
        <f aca="false">D64-C64</f>
        <v>0.18</v>
      </c>
    </row>
    <row r="65" customFormat="false" ht="15" hidden="false" customHeight="true" outlineLevel="0" collapsed="false">
      <c r="C65" s="61" t="n">
        <v>1.58</v>
      </c>
      <c r="D65" s="61" t="n">
        <v>1.81</v>
      </c>
      <c r="E65" s="64" t="n">
        <f aca="false">D65-C65</f>
        <v>0.23</v>
      </c>
    </row>
    <row r="66" customFormat="false" ht="15" hidden="false" customHeight="true" outlineLevel="0" collapsed="false">
      <c r="C66" s="61" t="n">
        <v>1.73</v>
      </c>
      <c r="D66" s="61" t="n">
        <v>1.88</v>
      </c>
      <c r="E66" s="64" t="n">
        <f aca="false">D66-C66</f>
        <v>0.15</v>
      </c>
    </row>
    <row r="67" customFormat="false" ht="15" hidden="false" customHeight="true" outlineLevel="0" collapsed="false">
      <c r="C67" s="61" t="n">
        <v>2.11</v>
      </c>
      <c r="D67" s="61" t="n">
        <v>2.35</v>
      </c>
      <c r="E67" s="64" t="n">
        <f aca="false">D67-C67</f>
        <v>0.24</v>
      </c>
    </row>
    <row r="68" customFormat="false" ht="15" hidden="false" customHeight="true" outlineLevel="0" collapsed="false">
      <c r="C68" s="61" t="n">
        <v>1.8</v>
      </c>
      <c r="D68" s="61" t="n">
        <v>1.99</v>
      </c>
      <c r="E68" s="64" t="n">
        <f aca="false">D68-C68</f>
        <v>0.19</v>
      </c>
    </row>
    <row r="69" customFormat="false" ht="15" hidden="false" customHeight="true" outlineLevel="0" collapsed="false">
      <c r="C69" s="61" t="n">
        <v>1.86</v>
      </c>
      <c r="D69" s="61" t="n">
        <v>2.11</v>
      </c>
      <c r="E69" s="64" t="n">
        <f aca="false">D69-C69</f>
        <v>0.25</v>
      </c>
    </row>
    <row r="70" customFormat="false" ht="15" hidden="false" customHeight="true" outlineLevel="0" collapsed="false">
      <c r="C70" s="61" t="n">
        <v>1.83</v>
      </c>
      <c r="D70" s="61" t="n">
        <v>2.08</v>
      </c>
      <c r="E70" s="64" t="n">
        <f aca="false">D70-C70</f>
        <v>0.25</v>
      </c>
    </row>
    <row r="71" customFormat="false" ht="15" hidden="false" customHeight="true" outlineLevel="0" collapsed="false">
      <c r="C71" s="61" t="n">
        <v>2.09</v>
      </c>
      <c r="D71" s="61" t="n">
        <v>2.25</v>
      </c>
      <c r="E71" s="64" t="n">
        <f aca="false">D71-C71</f>
        <v>0.16</v>
      </c>
    </row>
    <row r="72" customFormat="false" ht="15" hidden="false" customHeight="true" outlineLevel="0" collapsed="false">
      <c r="C72" s="61" t="n">
        <v>1.63</v>
      </c>
      <c r="D72" s="61" t="n">
        <v>1.84</v>
      </c>
      <c r="E72" s="64" t="n">
        <f aca="false">D72-C72</f>
        <v>0.21</v>
      </c>
    </row>
    <row r="74" customFormat="false" ht="15" hidden="false" customHeight="true" outlineLevel="0" collapsed="false">
      <c r="B74" s="10" t="s">
        <v>2228</v>
      </c>
      <c r="C74" s="75" t="n">
        <v>0.05</v>
      </c>
    </row>
    <row r="75" customFormat="false" ht="15" hidden="false" customHeight="true" outlineLevel="0" collapsed="false">
      <c r="B75" s="10" t="s">
        <v>1584</v>
      </c>
      <c r="C75" s="62" t="n">
        <v>0.95</v>
      </c>
    </row>
    <row r="77" customFormat="false" ht="15" hidden="false" customHeight="true" outlineLevel="0" collapsed="false">
      <c r="B77" s="10" t="s">
        <v>3608</v>
      </c>
      <c r="C77" s="44" t="n">
        <f aca="false">COUNT($E$61:$E$72)</f>
        <v>12</v>
      </c>
    </row>
    <row r="78" customFormat="false" ht="15" hidden="false" customHeight="true" outlineLevel="0" collapsed="false">
      <c r="B78" s="10" t="s">
        <v>3609</v>
      </c>
      <c r="C78" s="66" t="n">
        <f aca="false">AVERAGE($E$61:$E$72)</f>
        <v>0.22</v>
      </c>
    </row>
    <row r="79" customFormat="false" ht="15" hidden="false" customHeight="true" outlineLevel="0" collapsed="false">
      <c r="B79" s="10" t="s">
        <v>3610</v>
      </c>
      <c r="C79" s="66" t="n">
        <f aca="false">STDEV($E$61:$E$72)</f>
        <v>0.0434845845203687</v>
      </c>
    </row>
    <row r="80" customFormat="false" ht="15" hidden="false" customHeight="true" outlineLevel="0" collapsed="false">
      <c r="B80" s="10" t="s">
        <v>3611</v>
      </c>
      <c r="C80" s="66" t="n">
        <f aca="false">C79/SQRT(C77)</f>
        <v>0.0125529182892169</v>
      </c>
    </row>
    <row r="81" customFormat="false" ht="15" hidden="false" customHeight="true" outlineLevel="0" collapsed="false">
      <c r="B81" s="10" t="s">
        <v>2834</v>
      </c>
      <c r="C81" s="44" t="n">
        <f aca="false">C77-1</f>
        <v>11</v>
      </c>
    </row>
    <row r="82" customFormat="false" ht="15" hidden="false" customHeight="true" outlineLevel="0" collapsed="false">
      <c r="B82" s="10" t="s">
        <v>3257</v>
      </c>
      <c r="C82" s="66" t="n">
        <f aca="false">IFERROR(C78/C80,0)</f>
        <v>17.5258051499452</v>
      </c>
    </row>
    <row r="83" customFormat="false" ht="15" hidden="false" customHeight="true" outlineLevel="0" collapsed="false">
      <c r="B83" s="10" t="s">
        <v>3258</v>
      </c>
      <c r="C83" s="77" t="n">
        <f aca="false">TDIST(ABS(C82),C81,2)</f>
        <v>2.19277061793157E-009</v>
      </c>
    </row>
    <row r="84" customFormat="false" ht="15" hidden="false" customHeight="true" outlineLevel="0" collapsed="false">
      <c r="B84" s="10" t="s">
        <v>3612</v>
      </c>
      <c r="C84" s="77" t="n">
        <f aca="false">TTEST($C$61:$C$72,$D$61:$D$72,2,1)</f>
        <v>2.1927706179316E-009</v>
      </c>
    </row>
    <row r="85" customFormat="false" ht="15" hidden="false" customHeight="true" outlineLevel="0" collapsed="false">
      <c r="B85" s="10" t="s">
        <v>3613</v>
      </c>
      <c r="C85" s="66" t="n">
        <f aca="false">C78-TINV(1-C75,C81)*C80</f>
        <v>0.192371213129591</v>
      </c>
    </row>
    <row r="86" customFormat="false" ht="15" hidden="false" customHeight="true" outlineLevel="0" collapsed="false">
      <c r="B86" s="10" t="s">
        <v>3614</v>
      </c>
      <c r="C86" s="66" t="n">
        <f aca="false">C78+TINV(1-C75,C81)*C80</f>
        <v>0.247628786870409</v>
      </c>
    </row>
    <row r="87" customFormat="false" ht="15" hidden="false" customHeight="true" outlineLevel="0" collapsed="false">
      <c r="B87" s="10" t="s">
        <v>3615</v>
      </c>
      <c r="C87" s="63" t="n">
        <f aca="false">IFERROR(C78/C79,0)</f>
        <v>5.05926416054291</v>
      </c>
    </row>
    <row r="89" customFormat="false" ht="15.75" hidden="false" customHeight="true" outlineLevel="0" collapsed="false">
      <c r="B89" s="7" t="s">
        <v>3616</v>
      </c>
      <c r="C89" s="8"/>
      <c r="D89" s="8"/>
      <c r="E89" s="8"/>
      <c r="F89" s="8"/>
      <c r="G89" s="8"/>
      <c r="H89" s="8"/>
      <c r="I89" s="8"/>
      <c r="J89" s="8"/>
      <c r="K89" s="8"/>
    </row>
    <row r="90" customFormat="false" ht="15" hidden="false" customHeight="true" outlineLevel="0" collapsed="false">
      <c r="B90" s="10" t="s">
        <v>3617</v>
      </c>
      <c r="C90" s="63" t="n">
        <f aca="false">CORREL($C$61:$C$72,$D$61:$D$72)</f>
        <v>0.966732141099543</v>
      </c>
    </row>
    <row r="91" customFormat="false" ht="15" hidden="false" customHeight="true" outlineLevel="0" collapsed="false">
      <c r="B91" s="10" t="s">
        <v>3618</v>
      </c>
      <c r="C91" s="77" t="n">
        <f aca="false">TTEST($C$61:$C$72,$D$61:$D$72,2,2)</f>
        <v>0.00353206515379348</v>
      </c>
    </row>
    <row r="92" customFormat="false" ht="15" hidden="false" customHeight="true" outlineLevel="0" collapsed="false">
      <c r="B92" s="10" t="s">
        <v>3619</v>
      </c>
      <c r="C92" s="66" t="n">
        <f aca="false">SQRT((VAR($C$61:$C$72)+VAR($D$61:$D$72))/2)</f>
        <v>0.164977041561619</v>
      </c>
    </row>
    <row r="93" customFormat="false" ht="15" hidden="false" customHeight="true" outlineLevel="0" collapsed="false">
      <c r="B93" s="10" t="s">
        <v>3620</v>
      </c>
      <c r="C93" s="43" t="n">
        <f aca="false">IFERROR(1-C79/(C92*SQRT(2)),0)</f>
        <v>0.81362106932953</v>
      </c>
    </row>
    <row r="95" customFormat="false" ht="15.75" hidden="false" customHeight="true" outlineLevel="0" collapsed="false">
      <c r="B95" s="7" t="s">
        <v>1493</v>
      </c>
      <c r="C95" s="8"/>
      <c r="D95" s="8"/>
      <c r="E95" s="8"/>
      <c r="F95" s="8"/>
      <c r="G95" s="8"/>
      <c r="H95" s="8"/>
      <c r="I95" s="8"/>
      <c r="J95" s="8"/>
      <c r="K95" s="8"/>
    </row>
    <row r="96" customFormat="false" ht="33.75" hidden="false" customHeight="true" outlineLevel="0" collapsed="false">
      <c r="B96" s="53" t="s">
        <v>1494</v>
      </c>
      <c r="C96" s="54" t="str">
        <f aca="false">IF(C83&lt;C74,"REJECT H0 - the change moved the mean by "&amp;TEXT(C78,"0.000")&amp;" Nm (95% CI "&amp;TEXT(C85,"0.000")&amp;" to "&amp;TEXT(C86,"0.000")&amp;"), p = "&amp;TEXT(C83,"0.00000")&amp;". The unpaired analysis would have given p = "&amp;TEXT(C91,"0.0000")&amp;".","FAIL TO REJECT H0 - no evidence that the change moved the mean. Check the power on E-19.")</f>
        <v>REJECT H0 - the change moved the mean by 0.220 Nm (95% CI 0.192 to 0.248), p = 0.00000. The unpaired analysis would have given p = 0.0035.</v>
      </c>
      <c r="D96" s="54"/>
      <c r="E96" s="54"/>
    </row>
    <row r="98" customFormat="false" ht="16.5" hidden="false" customHeight="true" outlineLevel="0" collapsed="false">
      <c r="B98" s="11" t="s">
        <v>1495</v>
      </c>
      <c r="C98" s="11" t="s">
        <v>1496</v>
      </c>
      <c r="D98" s="11" t="s">
        <v>1497</v>
      </c>
    </row>
    <row r="99" customFormat="false" ht="30.75" hidden="false" customHeight="true" outlineLevel="0" collapsed="false">
      <c r="B99" s="12" t="s">
        <v>3621</v>
      </c>
      <c r="C99" s="12" t="s">
        <v>3622</v>
      </c>
      <c r="D99" s="12" t="s">
        <v>3623</v>
      </c>
    </row>
    <row r="100" customFormat="false" ht="30.75" hidden="false" customHeight="true" outlineLevel="0" collapsed="false">
      <c r="B100" s="12" t="s">
        <v>3621</v>
      </c>
      <c r="C100" s="12" t="s">
        <v>3624</v>
      </c>
      <c r="D100" s="12" t="s">
        <v>3625</v>
      </c>
    </row>
    <row r="101" customFormat="false" ht="30.75" hidden="false" customHeight="true" outlineLevel="0" collapsed="false">
      <c r="B101" s="12" t="s">
        <v>3446</v>
      </c>
      <c r="C101" s="12" t="s">
        <v>3545</v>
      </c>
      <c r="D101" s="12" t="s">
        <v>3546</v>
      </c>
    </row>
    <row r="102" customFormat="false" ht="30.75" hidden="false" customHeight="true" outlineLevel="0" collapsed="false">
      <c r="B102" s="12" t="s">
        <v>2834</v>
      </c>
      <c r="C102" s="12" t="s">
        <v>3626</v>
      </c>
      <c r="D102" s="12" t="s">
        <v>3627</v>
      </c>
    </row>
    <row r="104" customFormat="false" ht="15" hidden="false" customHeight="true" outlineLevel="0" collapsed="false">
      <c r="B104" s="55" t="s">
        <v>1507</v>
      </c>
    </row>
    <row r="105" customFormat="false" ht="31.5" hidden="false" customHeight="true" outlineLevel="0" collapsed="false">
      <c r="B105" s="9" t="s">
        <v>3628</v>
      </c>
      <c r="C105" s="9"/>
      <c r="D105" s="9"/>
      <c r="E105" s="9"/>
      <c r="F105" s="9"/>
    </row>
    <row r="106" customFormat="false" ht="17.25" hidden="false" customHeight="true" outlineLevel="0" collapsed="false">
      <c r="B106" s="9" t="s">
        <v>3629</v>
      </c>
      <c r="C106" s="9"/>
      <c r="D106" s="9"/>
      <c r="E106" s="9"/>
      <c r="F106" s="9"/>
    </row>
    <row r="107" customFormat="false" ht="17.25" hidden="false" customHeight="true" outlineLevel="0" collapsed="false">
      <c r="B107" s="9" t="s">
        <v>3630</v>
      </c>
      <c r="C107" s="9"/>
      <c r="D107" s="9"/>
      <c r="E107" s="9"/>
      <c r="F107" s="9"/>
    </row>
    <row r="108" customFormat="false" ht="17.25" hidden="false" customHeight="true" outlineLevel="0" collapsed="false">
      <c r="B108" s="9" t="s">
        <v>3631</v>
      </c>
      <c r="C108" s="9"/>
      <c r="D108" s="9"/>
      <c r="E108" s="9"/>
      <c r="F108" s="9"/>
    </row>
    <row r="109" customFormat="false" ht="17.25" hidden="false" customHeight="true" outlineLevel="0" collapsed="false">
      <c r="B109" s="9" t="s">
        <v>3632</v>
      </c>
      <c r="C109" s="9"/>
      <c r="D109" s="9"/>
      <c r="E109" s="9"/>
      <c r="F109" s="9"/>
    </row>
    <row r="111" customFormat="false" ht="15.75" hidden="false" customHeight="true" outlineLevel="0" collapsed="false">
      <c r="B111" s="7" t="s">
        <v>1513</v>
      </c>
      <c r="C111" s="8"/>
      <c r="D111" s="8"/>
      <c r="E111" s="8"/>
      <c r="F111" s="8"/>
      <c r="G111" s="8"/>
      <c r="H111" s="8"/>
      <c r="I111" s="8"/>
      <c r="J111" s="8"/>
      <c r="K111" s="8"/>
    </row>
    <row r="112" customFormat="false" ht="17.25" hidden="false" customHeight="true" outlineLevel="0" collapsed="false">
      <c r="B112" s="9" t="s">
        <v>1514</v>
      </c>
      <c r="C112" s="9"/>
      <c r="D112" s="9"/>
      <c r="E112" s="9"/>
      <c r="N112" s="56" t="s">
        <v>1515</v>
      </c>
    </row>
    <row r="113" customFormat="false" ht="17.25" hidden="false" customHeight="true" outlineLevel="0" collapsed="false">
      <c r="B113" s="9" t="s">
        <v>3633</v>
      </c>
      <c r="C113" s="9"/>
      <c r="D113" s="9"/>
      <c r="E113" s="9"/>
      <c r="N113" s="57" t="s">
        <v>3634</v>
      </c>
    </row>
    <row r="114" customFormat="false" ht="17.25" hidden="false" customHeight="true" outlineLevel="0" collapsed="false">
      <c r="B114" s="9" t="s">
        <v>3635</v>
      </c>
      <c r="C114" s="9"/>
      <c r="D114" s="9"/>
      <c r="E114" s="9"/>
      <c r="N114" s="57" t="s">
        <v>3636</v>
      </c>
    </row>
    <row r="115" customFormat="false" ht="17.25" hidden="false" customHeight="true" outlineLevel="0" collapsed="false">
      <c r="B115" s="9" t="s">
        <v>3637</v>
      </c>
      <c r="C115" s="9"/>
      <c r="D115" s="9"/>
      <c r="E115" s="9"/>
      <c r="N115" s="57" t="s">
        <v>3638</v>
      </c>
    </row>
    <row r="117" customFormat="false" ht="15.75" hidden="false" customHeight="true" outlineLevel="0" collapsed="false">
      <c r="B117" s="7" t="s">
        <v>1522</v>
      </c>
      <c r="C117" s="8"/>
      <c r="D117" s="8"/>
      <c r="E117" s="8"/>
      <c r="F117" s="8"/>
      <c r="G117" s="8"/>
      <c r="H117" s="8"/>
      <c r="I117" s="8"/>
      <c r="J117" s="8"/>
      <c r="K117" s="8"/>
    </row>
    <row r="118" customFormat="false" ht="16.5" hidden="false" customHeight="true" outlineLevel="0" collapsed="false">
      <c r="B118" s="11" t="s">
        <v>1523</v>
      </c>
      <c r="C118" s="11" t="s">
        <v>1524</v>
      </c>
      <c r="D118" s="11" t="s">
        <v>1615</v>
      </c>
    </row>
    <row r="119" customFormat="false" ht="30.75" hidden="false" customHeight="true" outlineLevel="0" collapsed="false">
      <c r="B119" s="58" t="s">
        <v>1119</v>
      </c>
      <c r="C119" s="58" t="s">
        <v>1037</v>
      </c>
      <c r="D119" s="58" t="s">
        <v>1191</v>
      </c>
    </row>
  </sheetData>
  <mergeCells count="34">
    <mergeCell ref="B2:J2"/>
    <mergeCell ref="D3:E3"/>
    <mergeCell ref="C6:D6"/>
    <mergeCell ref="C7:D7"/>
    <mergeCell ref="C8:D8"/>
    <mergeCell ref="B11:F11"/>
    <mergeCell ref="B12:F14"/>
    <mergeCell ref="B15:F17"/>
    <mergeCell ref="B18:F19"/>
    <mergeCell ref="B20:F20"/>
    <mergeCell ref="B23:C23"/>
    <mergeCell ref="B24:C24"/>
    <mergeCell ref="B25:C25"/>
    <mergeCell ref="B26:C26"/>
    <mergeCell ref="B27:F27"/>
    <mergeCell ref="B37:F37"/>
    <mergeCell ref="B38:F38"/>
    <mergeCell ref="B39:F39"/>
    <mergeCell ref="B40:F40"/>
    <mergeCell ref="B41:F41"/>
    <mergeCell ref="B42:F42"/>
    <mergeCell ref="B43:F44"/>
    <mergeCell ref="B53:F53"/>
    <mergeCell ref="B56:F57"/>
    <mergeCell ref="C96:E96"/>
    <mergeCell ref="B105:F105"/>
    <mergeCell ref="B106:F106"/>
    <mergeCell ref="B107:F107"/>
    <mergeCell ref="B108:F108"/>
    <mergeCell ref="B109:F109"/>
    <mergeCell ref="B112:E112"/>
    <mergeCell ref="B113:E113"/>
    <mergeCell ref="B114:E114"/>
    <mergeCell ref="B115:E115"/>
  </mergeCells>
  <hyperlinks>
    <hyperlink ref="B3" location="'N-03 Index DMAIC'!A1" display="← Back to Index"/>
    <hyperlink ref="E30" location="'E-31 Nonparametric Tests'!A1" display="E-31  Nonparametric Tests"/>
    <hyperlink ref="E31" location="'E-24 2-Sample t-Test'!A1" display="E-24  Two-Sample t-Test (Welch and Pooled)"/>
    <hyperlink ref="E32" location="'E-27 Two-Way ANOVA'!A1" display="E-27  Two-Way ANOVA and Interactions"/>
    <hyperlink ref="B119" location="'E-24 2-Sample t-Test'!A1" display="E-24  Two-Sample t-Test (Welch and Pooled)"/>
    <hyperlink ref="C119" location="'E-26 One-Way ANOVA'!A1" display="E-26  One-Way ANOVA with Tukey HSD"/>
    <hyperlink ref="D119" location="'E-31 Nonparametric Tests'!A1" display="E-31  Nonparametric Tes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3639</v>
      </c>
      <c r="C2" s="3"/>
      <c r="D2" s="3"/>
      <c r="E2" s="3"/>
      <c r="F2" s="3"/>
      <c r="G2" s="3"/>
      <c r="H2" s="3"/>
      <c r="I2" s="3"/>
      <c r="J2" s="3"/>
      <c r="K2" s="80" t="s">
        <v>2864</v>
      </c>
    </row>
    <row r="3" customFormat="false" ht="28.5" hidden="false" customHeight="true" outlineLevel="0" collapsed="false">
      <c r="B3" s="5" t="s">
        <v>3</v>
      </c>
      <c r="D3" s="6" t="s">
        <v>3640</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3641</v>
      </c>
      <c r="D6" s="9"/>
    </row>
    <row r="7" customFormat="false" ht="17.25" hidden="false" customHeight="true" outlineLevel="0" collapsed="false">
      <c r="B7" s="47" t="s">
        <v>1394</v>
      </c>
      <c r="C7" s="9" t="s">
        <v>3642</v>
      </c>
      <c r="D7" s="9"/>
    </row>
    <row r="8" customFormat="false" ht="31.5" hidden="false" customHeight="true" outlineLevel="0" collapsed="false">
      <c r="B8" s="47" t="s">
        <v>1396</v>
      </c>
      <c r="C8" s="9" t="s">
        <v>3643</v>
      </c>
      <c r="D8" s="9"/>
    </row>
    <row r="10" customFormat="false" ht="15.75" hidden="false" customHeight="true" outlineLevel="0" collapsed="false">
      <c r="B10" s="7" t="s">
        <v>1398</v>
      </c>
      <c r="C10" s="8"/>
      <c r="D10" s="8"/>
      <c r="E10" s="8"/>
      <c r="F10" s="8"/>
      <c r="G10" s="8"/>
      <c r="H10" s="8"/>
      <c r="I10" s="8"/>
      <c r="J10" s="8"/>
      <c r="K10" s="8"/>
    </row>
    <row r="11" customFormat="false" ht="8.25" hidden="false" customHeight="true" outlineLevel="0" collapsed="false">
      <c r="B11" s="9" t="s">
        <v>3644</v>
      </c>
      <c r="C11" s="9"/>
      <c r="D11" s="9"/>
      <c r="E11" s="9"/>
      <c r="F11" s="9"/>
    </row>
    <row r="12" customFormat="false" ht="8.25" hidden="false" customHeight="true" outlineLevel="0" collapsed="false">
      <c r="B12" s="9"/>
      <c r="C12" s="9"/>
      <c r="D12" s="9"/>
      <c r="E12" s="9"/>
      <c r="F12" s="9"/>
    </row>
    <row r="13" customFormat="false" ht="10.5" hidden="false" customHeight="true" outlineLevel="0" collapsed="false">
      <c r="B13" s="9" t="s">
        <v>3645</v>
      </c>
      <c r="C13" s="9"/>
      <c r="D13" s="9"/>
      <c r="E13" s="9"/>
      <c r="F13" s="9"/>
    </row>
    <row r="14" customFormat="false" ht="10.5" hidden="false" customHeight="true" outlineLevel="0" collapsed="false">
      <c r="B14" s="9"/>
      <c r="C14" s="9"/>
      <c r="D14" s="9"/>
      <c r="E14" s="9"/>
      <c r="F14" s="9"/>
    </row>
    <row r="15" customFormat="false" ht="10.5" hidden="false" customHeight="true" outlineLevel="0" collapsed="false">
      <c r="B15" s="9"/>
      <c r="C15" s="9"/>
      <c r="D15" s="9"/>
      <c r="E15" s="9"/>
      <c r="F15" s="9"/>
    </row>
    <row r="16" customFormat="false" ht="15.75" hidden="false" customHeight="true" outlineLevel="0" collapsed="false">
      <c r="B16" s="9" t="s">
        <v>3646</v>
      </c>
      <c r="C16" s="9"/>
      <c r="D16" s="9"/>
      <c r="E16" s="9"/>
      <c r="F16" s="9"/>
    </row>
    <row r="17" customFormat="false" ht="15.75" hidden="false" customHeight="true" outlineLevel="0" collapsed="false">
      <c r="B17" s="9"/>
      <c r="C17" s="9"/>
      <c r="D17" s="9"/>
      <c r="E17" s="9"/>
      <c r="F17" s="9"/>
    </row>
    <row r="18" customFormat="false" ht="10.5" hidden="false" customHeight="true" outlineLevel="0" collapsed="false">
      <c r="B18" s="9" t="s">
        <v>3647</v>
      </c>
      <c r="C18" s="9"/>
      <c r="D18" s="9"/>
      <c r="E18" s="9"/>
      <c r="F18" s="9"/>
    </row>
    <row r="19" customFormat="false" ht="10.5" hidden="false" customHeight="true" outlineLevel="0" collapsed="false">
      <c r="B19" s="9"/>
      <c r="C19" s="9"/>
      <c r="D19" s="9"/>
      <c r="E19" s="9"/>
      <c r="F19" s="9"/>
    </row>
    <row r="20" customFormat="false" ht="10.5" hidden="false" customHeight="true" outlineLevel="0" collapsed="false">
      <c r="B20" s="9"/>
      <c r="C20" s="9"/>
      <c r="D20" s="9"/>
      <c r="E20" s="9"/>
      <c r="F20" s="9"/>
    </row>
    <row r="21" customFormat="false" ht="15.75" hidden="false" customHeight="true" outlineLevel="0" collapsed="false">
      <c r="B21" s="9" t="s">
        <v>3648</v>
      </c>
      <c r="C21" s="9"/>
      <c r="D21" s="9"/>
      <c r="E21" s="9"/>
      <c r="F21" s="9"/>
    </row>
    <row r="22" customFormat="false" ht="15.75" hidden="false" customHeight="true" outlineLevel="0" collapsed="false">
      <c r="B22" s="9"/>
      <c r="C22" s="9"/>
      <c r="D22" s="9"/>
      <c r="E22" s="9"/>
      <c r="F22" s="9"/>
    </row>
    <row r="24" customFormat="false" ht="15.75" hidden="false" customHeight="true" outlineLevel="0" collapsed="false">
      <c r="B24" s="7" t="s">
        <v>1406</v>
      </c>
      <c r="C24" s="8"/>
      <c r="D24" s="8"/>
      <c r="E24" s="8"/>
      <c r="F24" s="8"/>
      <c r="G24" s="8"/>
      <c r="H24" s="8"/>
      <c r="I24" s="8"/>
      <c r="J24" s="8"/>
      <c r="K24" s="8"/>
    </row>
    <row r="25" customFormat="false" ht="17.25" hidden="false" customHeight="true" outlineLevel="0" collapsed="false">
      <c r="B25" s="48" t="s">
        <v>1407</v>
      </c>
      <c r="C25" s="48"/>
      <c r="D25" s="48"/>
      <c r="E25" s="49" t="s">
        <v>1408</v>
      </c>
      <c r="F25" s="49"/>
    </row>
    <row r="26" customFormat="false" ht="31.5" hidden="false" customHeight="true" outlineLevel="0" collapsed="false">
      <c r="B26" s="23" t="s">
        <v>3649</v>
      </c>
      <c r="C26" s="23"/>
      <c r="D26" s="23"/>
      <c r="E26" s="23" t="s">
        <v>3650</v>
      </c>
      <c r="F26" s="23"/>
    </row>
    <row r="27" customFormat="false" ht="31.5" hidden="false" customHeight="true" outlineLevel="0" collapsed="false">
      <c r="B27" s="23" t="s">
        <v>3651</v>
      </c>
      <c r="C27" s="23"/>
      <c r="D27" s="23"/>
      <c r="E27" s="23" t="s">
        <v>3652</v>
      </c>
      <c r="F27" s="23"/>
    </row>
    <row r="28" customFormat="false" ht="31.5" hidden="false" customHeight="true" outlineLevel="0" collapsed="false">
      <c r="B28" s="23" t="s">
        <v>3653</v>
      </c>
      <c r="C28" s="23"/>
      <c r="D28" s="23"/>
      <c r="E28" s="23" t="s">
        <v>3654</v>
      </c>
      <c r="F28" s="23"/>
    </row>
    <row r="30" customFormat="false" ht="16.5" hidden="false" customHeight="true" outlineLevel="0" collapsed="false">
      <c r="B30" s="11" t="s">
        <v>1416</v>
      </c>
      <c r="C30" s="11" t="s">
        <v>1417</v>
      </c>
      <c r="D30" s="11" t="s">
        <v>1418</v>
      </c>
      <c r="E30" s="11" t="s">
        <v>1419</v>
      </c>
    </row>
    <row r="31" customFormat="false" ht="44.25" hidden="false" customHeight="true" outlineLevel="0" collapsed="false">
      <c r="B31" s="12" t="s">
        <v>3655</v>
      </c>
      <c r="C31" s="12" t="s">
        <v>3656</v>
      </c>
      <c r="D31" s="12" t="s">
        <v>3657</v>
      </c>
      <c r="E31" s="50" t="s">
        <v>1191</v>
      </c>
    </row>
    <row r="32" customFormat="false" ht="44.25" hidden="false" customHeight="true" outlineLevel="0" collapsed="false">
      <c r="B32" s="12" t="s">
        <v>3658</v>
      </c>
      <c r="C32" s="12" t="s">
        <v>3659</v>
      </c>
      <c r="D32" s="12" t="s">
        <v>3660</v>
      </c>
      <c r="E32" s="50" t="s">
        <v>967</v>
      </c>
    </row>
    <row r="33" customFormat="false" ht="30.75" hidden="false" customHeight="true" outlineLevel="0" collapsed="false">
      <c r="B33" s="12" t="s">
        <v>3661</v>
      </c>
      <c r="C33" s="12" t="s">
        <v>3662</v>
      </c>
      <c r="D33" s="12" t="s">
        <v>3663</v>
      </c>
      <c r="E33" s="50" t="s">
        <v>1546</v>
      </c>
    </row>
    <row r="35" customFormat="false" ht="15.75" hidden="false" customHeight="true" outlineLevel="0" collapsed="false">
      <c r="B35" s="7" t="s">
        <v>1429</v>
      </c>
      <c r="C35" s="8"/>
      <c r="D35" s="8"/>
      <c r="E35" s="8"/>
      <c r="F35" s="8"/>
      <c r="G35" s="8"/>
      <c r="H35" s="8"/>
      <c r="I35" s="8"/>
      <c r="J35" s="8"/>
      <c r="K35" s="8"/>
    </row>
    <row r="36" customFormat="false" ht="15" hidden="false" customHeight="true" outlineLevel="0" collapsed="false">
      <c r="B36" s="47" t="s">
        <v>3664</v>
      </c>
    </row>
    <row r="37" customFormat="false" ht="8.25" hidden="false" customHeight="true" outlineLevel="0" collapsed="false">
      <c r="B37" s="52" t="s">
        <v>3665</v>
      </c>
      <c r="C37" s="52"/>
      <c r="D37" s="52"/>
      <c r="E37" s="52"/>
      <c r="F37" s="52"/>
    </row>
    <row r="38" customFormat="false" ht="8.25" hidden="false" customHeight="true" outlineLevel="0" collapsed="false">
      <c r="B38" s="52"/>
      <c r="C38" s="52"/>
      <c r="D38" s="52"/>
      <c r="E38" s="52"/>
      <c r="F38" s="52"/>
    </row>
    <row r="39" customFormat="false" ht="15" hidden="false" customHeight="true" outlineLevel="0" collapsed="false">
      <c r="B39" s="59" t="s">
        <v>3666</v>
      </c>
    </row>
    <row r="40" customFormat="false" ht="17.25" hidden="false" customHeight="true" outlineLevel="0" collapsed="false">
      <c r="B40" s="51" t="s">
        <v>3667</v>
      </c>
      <c r="C40" s="51"/>
      <c r="D40" s="51"/>
      <c r="E40" s="51"/>
      <c r="F40" s="51"/>
    </row>
    <row r="41" customFormat="false" ht="15" hidden="false" customHeight="true" outlineLevel="0" collapsed="false">
      <c r="B41" s="47" t="s">
        <v>3668</v>
      </c>
    </row>
    <row r="42" customFormat="false" ht="8.25" hidden="false" customHeight="true" outlineLevel="0" collapsed="false">
      <c r="B42" s="52" t="s">
        <v>3669</v>
      </c>
      <c r="C42" s="52"/>
      <c r="D42" s="52"/>
      <c r="E42" s="52"/>
      <c r="F42" s="52"/>
    </row>
    <row r="43" customFormat="false" ht="8.25" hidden="false" customHeight="true" outlineLevel="0" collapsed="false">
      <c r="B43" s="52"/>
      <c r="C43" s="52"/>
      <c r="D43" s="52"/>
      <c r="E43" s="52"/>
      <c r="F43" s="52"/>
    </row>
    <row r="44" customFormat="false" ht="15" hidden="false" customHeight="true" outlineLevel="0" collapsed="false">
      <c r="B44" s="47" t="s">
        <v>3500</v>
      </c>
    </row>
    <row r="45" customFormat="false" ht="15.75" hidden="false" customHeight="true" outlineLevel="0" collapsed="false">
      <c r="B45" s="52" t="s">
        <v>3670</v>
      </c>
      <c r="C45" s="52"/>
      <c r="D45" s="52"/>
      <c r="E45" s="52"/>
      <c r="F45" s="52"/>
    </row>
    <row r="46" customFormat="false" ht="15.75" hidden="false" customHeight="true" outlineLevel="0" collapsed="false">
      <c r="B46" s="52"/>
      <c r="C46" s="52"/>
      <c r="D46" s="52"/>
      <c r="E46" s="52"/>
      <c r="F46" s="52"/>
    </row>
    <row r="47" customFormat="false" ht="17.25" hidden="false" customHeight="true" outlineLevel="0" collapsed="false">
      <c r="B47" s="51" t="s">
        <v>3671</v>
      </c>
      <c r="C47" s="51"/>
      <c r="D47" s="51"/>
      <c r="E47" s="51"/>
      <c r="F47" s="51"/>
    </row>
    <row r="48" customFormat="false" ht="17.25" hidden="false" customHeight="true" outlineLevel="0" collapsed="false">
      <c r="B48" s="52" t="s">
        <v>3672</v>
      </c>
      <c r="C48" s="52"/>
      <c r="D48" s="52"/>
      <c r="E48" s="52"/>
      <c r="F48" s="52"/>
    </row>
    <row r="49" customFormat="false" ht="17.25" hidden="false" customHeight="true" outlineLevel="0" collapsed="false">
      <c r="B49" s="52" t="s">
        <v>3673</v>
      </c>
      <c r="C49" s="52"/>
      <c r="D49" s="52"/>
      <c r="E49" s="52"/>
      <c r="F49" s="52"/>
    </row>
    <row r="51" customFormat="false" ht="15.75" hidden="false" customHeight="true" outlineLevel="0" collapsed="false">
      <c r="B51" s="7" t="s">
        <v>1437</v>
      </c>
      <c r="C51" s="8"/>
      <c r="D51" s="8"/>
      <c r="E51" s="8"/>
      <c r="F51" s="8"/>
      <c r="G51" s="8"/>
      <c r="H51" s="8"/>
      <c r="I51" s="8"/>
      <c r="J51" s="8"/>
      <c r="K51" s="8"/>
    </row>
    <row r="52" customFormat="false" ht="17.25" hidden="false" customHeight="true" outlineLevel="0" collapsed="false">
      <c r="B52" s="11" t="s">
        <v>1438</v>
      </c>
      <c r="C52" s="11" t="s">
        <v>1439</v>
      </c>
      <c r="D52" s="11" t="s">
        <v>1440</v>
      </c>
      <c r="E52" s="11"/>
    </row>
    <row r="53" customFormat="false" ht="17.25" hidden="false" customHeight="true" outlineLevel="0" collapsed="false">
      <c r="B53" s="12" t="s">
        <v>3674</v>
      </c>
      <c r="C53" s="12" t="s">
        <v>3675</v>
      </c>
      <c r="D53" s="12" t="s">
        <v>3676</v>
      </c>
      <c r="E53" s="12"/>
    </row>
    <row r="54" customFormat="false" ht="31.5" hidden="false" customHeight="true" outlineLevel="0" collapsed="false">
      <c r="B54" s="12" t="s">
        <v>3677</v>
      </c>
      <c r="C54" s="12" t="s">
        <v>3678</v>
      </c>
      <c r="D54" s="12" t="s">
        <v>3679</v>
      </c>
      <c r="E54" s="12"/>
    </row>
    <row r="55" customFormat="false" ht="17.25" hidden="false" customHeight="true" outlineLevel="0" collapsed="false">
      <c r="B55" s="12" t="s">
        <v>3680</v>
      </c>
      <c r="C55" s="12" t="s">
        <v>3681</v>
      </c>
      <c r="D55" s="12" t="s">
        <v>3682</v>
      </c>
      <c r="E55" s="12"/>
    </row>
    <row r="56" customFormat="false" ht="17.25" hidden="false" customHeight="true" outlineLevel="0" collapsed="false">
      <c r="B56" s="12" t="s">
        <v>2223</v>
      </c>
      <c r="C56" s="12" t="s">
        <v>3683</v>
      </c>
      <c r="D56" s="12" t="s">
        <v>3684</v>
      </c>
      <c r="E56" s="12"/>
    </row>
    <row r="57" customFormat="false" ht="17.25" hidden="false" customHeight="true" outlineLevel="0" collapsed="false">
      <c r="B57" s="12" t="s">
        <v>2220</v>
      </c>
      <c r="C57" s="12" t="s">
        <v>3685</v>
      </c>
      <c r="D57" s="12" t="s">
        <v>3686</v>
      </c>
      <c r="E57" s="12"/>
    </row>
    <row r="58" customFormat="false" ht="44.25" hidden="false" customHeight="true" outlineLevel="0" collapsed="false">
      <c r="B58" s="12" t="s">
        <v>2591</v>
      </c>
      <c r="C58" s="12" t="s">
        <v>3687</v>
      </c>
      <c r="D58" s="12" t="s">
        <v>3688</v>
      </c>
      <c r="E58" s="12"/>
    </row>
    <row r="59" customFormat="false" ht="28.5" hidden="false" customHeight="true" outlineLevel="0" collapsed="false">
      <c r="B59" s="16" t="s">
        <v>1453</v>
      </c>
      <c r="C59" s="16"/>
      <c r="D59" s="16"/>
      <c r="E59" s="16"/>
      <c r="F59" s="16"/>
    </row>
    <row r="61" customFormat="false" ht="15.75" hidden="false" customHeight="true" outlineLevel="0" collapsed="false">
      <c r="B61" s="7" t="s">
        <v>1454</v>
      </c>
      <c r="C61" s="8"/>
      <c r="D61" s="8"/>
      <c r="E61" s="8"/>
      <c r="F61" s="8"/>
      <c r="G61" s="8"/>
      <c r="H61" s="8"/>
      <c r="I61" s="8"/>
      <c r="J61" s="8"/>
      <c r="K61" s="8"/>
    </row>
    <row r="62" customFormat="false" ht="15.75" hidden="false" customHeight="true" outlineLevel="0" collapsed="false">
      <c r="B62" s="9" t="s">
        <v>3689</v>
      </c>
      <c r="C62" s="9"/>
      <c r="D62" s="9"/>
      <c r="E62" s="9"/>
      <c r="F62" s="9"/>
    </row>
    <row r="63" customFormat="false" ht="15.75" hidden="false" customHeight="true" outlineLevel="0" collapsed="false">
      <c r="B63" s="9"/>
      <c r="C63" s="9"/>
      <c r="D63" s="9"/>
      <c r="E63" s="9"/>
      <c r="F63" s="9"/>
    </row>
    <row r="64" customFormat="false" ht="15" hidden="false" customHeight="true" outlineLevel="0" collapsed="false">
      <c r="B64" s="19" t="s">
        <v>85</v>
      </c>
      <c r="C64" s="41" t="s">
        <v>86</v>
      </c>
    </row>
    <row r="66" customFormat="false" ht="17.25" hidden="false" customHeight="true" outlineLevel="0" collapsed="false">
      <c r="C66" s="11" t="s">
        <v>3514</v>
      </c>
      <c r="D66" s="11" t="s">
        <v>3690</v>
      </c>
      <c r="E66" s="11" t="s">
        <v>3515</v>
      </c>
      <c r="F66" s="11" t="s">
        <v>3691</v>
      </c>
      <c r="G66" s="11"/>
    </row>
    <row r="67" customFormat="false" ht="17.25" hidden="false" customHeight="true" outlineLevel="0" collapsed="false">
      <c r="C67" s="61" t="n">
        <v>498.96</v>
      </c>
      <c r="D67" s="61" t="n">
        <v>500.37</v>
      </c>
      <c r="E67" s="61" t="n">
        <v>502.29</v>
      </c>
      <c r="F67" s="87" t="n">
        <v>500.48</v>
      </c>
      <c r="G67" s="87"/>
    </row>
    <row r="68" customFormat="false" ht="17.25" hidden="false" customHeight="true" outlineLevel="0" collapsed="false">
      <c r="C68" s="61" t="n">
        <v>499.76</v>
      </c>
      <c r="D68" s="61" t="n">
        <v>501.84</v>
      </c>
      <c r="E68" s="61" t="n">
        <v>501.81</v>
      </c>
      <c r="F68" s="87" t="n">
        <v>500.33</v>
      </c>
      <c r="G68" s="87"/>
    </row>
    <row r="69" customFormat="false" ht="17.25" hidden="false" customHeight="true" outlineLevel="0" collapsed="false">
      <c r="C69" s="61" t="n">
        <v>501.72</v>
      </c>
      <c r="D69" s="61" t="n">
        <v>499.8</v>
      </c>
      <c r="E69" s="61" t="n">
        <v>501.12</v>
      </c>
      <c r="F69" s="87" t="n">
        <v>500.8</v>
      </c>
      <c r="G69" s="87"/>
    </row>
    <row r="70" customFormat="false" ht="17.25" hidden="false" customHeight="true" outlineLevel="0" collapsed="false">
      <c r="C70" s="61" t="n">
        <v>499.77</v>
      </c>
      <c r="D70" s="61" t="n">
        <v>501.28</v>
      </c>
      <c r="E70" s="61" t="n">
        <v>502.4</v>
      </c>
      <c r="F70" s="87" t="n">
        <v>500.65</v>
      </c>
      <c r="G70" s="87"/>
    </row>
    <row r="71" customFormat="false" ht="17.25" hidden="false" customHeight="true" outlineLevel="0" collapsed="false">
      <c r="C71" s="61" t="n">
        <v>500.01</v>
      </c>
      <c r="D71" s="61" t="n">
        <v>500.55</v>
      </c>
      <c r="E71" s="61" t="n">
        <v>499.63</v>
      </c>
      <c r="F71" s="87" t="n">
        <v>501.51</v>
      </c>
      <c r="G71" s="87"/>
    </row>
    <row r="72" customFormat="false" ht="17.25" hidden="false" customHeight="true" outlineLevel="0" collapsed="false">
      <c r="C72" s="61" t="n">
        <v>499.45</v>
      </c>
      <c r="D72" s="61" t="n">
        <v>499.38</v>
      </c>
      <c r="E72" s="61" t="n">
        <v>500.77</v>
      </c>
      <c r="F72" s="87" t="n">
        <v>499.55</v>
      </c>
      <c r="G72" s="87"/>
    </row>
    <row r="73" customFormat="false" ht="17.25" hidden="false" customHeight="true" outlineLevel="0" collapsed="false">
      <c r="C73" s="61" t="n">
        <v>501.14</v>
      </c>
      <c r="D73" s="61" t="n">
        <v>500.22</v>
      </c>
      <c r="E73" s="61" t="n">
        <v>501.71</v>
      </c>
      <c r="F73" s="87" t="n">
        <v>499.72</v>
      </c>
      <c r="G73" s="87"/>
    </row>
    <row r="74" customFormat="false" ht="17.25" hidden="false" customHeight="true" outlineLevel="0" collapsed="false">
      <c r="C74" s="61" t="n">
        <v>500</v>
      </c>
      <c r="D74" s="61" t="n">
        <v>498.96</v>
      </c>
      <c r="E74" s="61" t="n">
        <v>502.26</v>
      </c>
      <c r="F74" s="87" t="n">
        <v>498.57</v>
      </c>
      <c r="G74" s="87"/>
    </row>
    <row r="76" customFormat="false" ht="15" hidden="false" customHeight="true" outlineLevel="0" collapsed="false">
      <c r="B76" s="10" t="s">
        <v>2228</v>
      </c>
      <c r="C76" s="75" t="n">
        <v>0.05</v>
      </c>
    </row>
    <row r="78" customFormat="false" ht="15.75" hidden="false" customHeight="true" outlineLevel="0" collapsed="false">
      <c r="B78" s="7" t="s">
        <v>3516</v>
      </c>
      <c r="C78" s="8"/>
      <c r="D78" s="8"/>
      <c r="E78" s="8"/>
      <c r="F78" s="8"/>
      <c r="G78" s="8"/>
      <c r="H78" s="8"/>
      <c r="I78" s="8"/>
      <c r="J78" s="8"/>
      <c r="K78" s="8"/>
    </row>
    <row r="79" customFormat="false" ht="15" hidden="false" customHeight="true" outlineLevel="0" collapsed="false">
      <c r="B79" s="88" t="s">
        <v>3692</v>
      </c>
      <c r="C79" s="89" t="s">
        <v>3693</v>
      </c>
      <c r="D79" s="89" t="s">
        <v>3694</v>
      </c>
      <c r="E79" s="89" t="s">
        <v>3695</v>
      </c>
      <c r="F79" s="89" t="s">
        <v>3696</v>
      </c>
    </row>
    <row r="80" customFormat="false" ht="15" hidden="false" customHeight="true" outlineLevel="0" collapsed="false">
      <c r="B80" s="10" t="s">
        <v>1769</v>
      </c>
      <c r="C80" s="44" t="n">
        <f aca="false">COUNT($C$67:$C$74)</f>
        <v>8</v>
      </c>
      <c r="D80" s="44" t="n">
        <f aca="false">COUNT($D$67:$D$74)</f>
        <v>8</v>
      </c>
      <c r="E80" s="44" t="n">
        <f aca="false">COUNT($E$67:$E$74)</f>
        <v>8</v>
      </c>
      <c r="F80" s="44" t="n">
        <f aca="false">COUNT($F$67:$F$74)</f>
        <v>8</v>
      </c>
    </row>
    <row r="81" customFormat="false" ht="15" hidden="false" customHeight="true" outlineLevel="0" collapsed="false">
      <c r="B81" s="10" t="s">
        <v>3697</v>
      </c>
      <c r="C81" s="66" t="n">
        <f aca="false">AVERAGE($C$67:$C$74)</f>
        <v>500.10125</v>
      </c>
      <c r="D81" s="66" t="n">
        <f aca="false">AVERAGE($D$67:$D$74)</f>
        <v>500.3</v>
      </c>
      <c r="E81" s="66" t="n">
        <f aca="false">AVERAGE($E$67:$E$74)</f>
        <v>501.49875</v>
      </c>
      <c r="F81" s="66" t="n">
        <f aca="false">AVERAGE($F$67:$F$74)</f>
        <v>500.20125</v>
      </c>
    </row>
    <row r="82" customFormat="false" ht="15" hidden="false" customHeight="true" outlineLevel="0" collapsed="false">
      <c r="B82" s="10" t="s">
        <v>3698</v>
      </c>
      <c r="C82" s="77" t="n">
        <f aca="false">VAR($C$67:$C$74)</f>
        <v>0.810098214285735</v>
      </c>
      <c r="D82" s="77" t="n">
        <f aca="false">VAR($D$67:$D$74)</f>
        <v>0.899685714285703</v>
      </c>
      <c r="E82" s="77" t="n">
        <f aca="false">VAR($E$67:$E$74)</f>
        <v>0.903726785714287</v>
      </c>
      <c r="F82" s="77" t="n">
        <f aca="false">VAR($F$67:$F$74)</f>
        <v>0.811955357142851</v>
      </c>
    </row>
    <row r="83" customFormat="false" ht="15" hidden="false" customHeight="true" outlineLevel="0" collapsed="false">
      <c r="B83" s="10" t="s">
        <v>3699</v>
      </c>
      <c r="C83" s="66" t="n">
        <f aca="false">STDEV($C$67:$C$74)</f>
        <v>0.900054561838189</v>
      </c>
      <c r="D83" s="66" t="n">
        <f aca="false">STDEV($D$67:$D$74)</f>
        <v>0.948517640471543</v>
      </c>
      <c r="E83" s="66" t="n">
        <f aca="false">STDEV($E$67:$E$74)</f>
        <v>0.950645457420529</v>
      </c>
      <c r="F83" s="66" t="n">
        <f aca="false">STDEV($F$67:$F$74)</f>
        <v>0.901085654720377</v>
      </c>
    </row>
    <row r="85" customFormat="false" ht="15" hidden="false" customHeight="true" outlineLevel="0" collapsed="false">
      <c r="B85" s="10" t="s">
        <v>3700</v>
      </c>
      <c r="C85" s="66" t="n">
        <f aca="false">AVERAGE($C$67:$F$74)</f>
        <v>500.5253125</v>
      </c>
    </row>
    <row r="86" customFormat="false" ht="15" hidden="false" customHeight="true" outlineLevel="0" collapsed="false">
      <c r="B86" s="10" t="s">
        <v>3701</v>
      </c>
      <c r="C86" s="44" t="n">
        <f aca="false">COUNT($C$67:$F$74)</f>
        <v>32</v>
      </c>
    </row>
    <row r="87" customFormat="false" ht="15" hidden="false" customHeight="true" outlineLevel="0" collapsed="false">
      <c r="B87" s="10" t="s">
        <v>3702</v>
      </c>
      <c r="C87" s="44" t="n">
        <f aca="false">COUNT($C$80:$F$80)</f>
        <v>4</v>
      </c>
    </row>
    <row r="89" customFormat="false" ht="15.75" hidden="false" customHeight="true" outlineLevel="0" collapsed="false">
      <c r="B89" s="7" t="s">
        <v>3703</v>
      </c>
      <c r="C89" s="8"/>
      <c r="D89" s="8"/>
      <c r="E89" s="8"/>
      <c r="F89" s="8"/>
      <c r="G89" s="8"/>
      <c r="H89" s="8"/>
      <c r="I89" s="8"/>
      <c r="J89" s="8"/>
      <c r="K89" s="8"/>
    </row>
    <row r="90" customFormat="false" ht="16.5" hidden="false" customHeight="true" outlineLevel="0" collapsed="false">
      <c r="B90" s="11" t="s">
        <v>3704</v>
      </c>
      <c r="C90" s="11" t="s">
        <v>3705</v>
      </c>
      <c r="D90" s="11" t="s">
        <v>2244</v>
      </c>
      <c r="E90" s="11" t="s">
        <v>3706</v>
      </c>
      <c r="F90" s="11" t="s">
        <v>2257</v>
      </c>
      <c r="G90" s="11" t="s">
        <v>3007</v>
      </c>
    </row>
    <row r="91" customFormat="false" ht="15" hidden="false" customHeight="true" outlineLevel="0" collapsed="false">
      <c r="B91" s="78" t="s">
        <v>3707</v>
      </c>
      <c r="C91" s="66" t="n">
        <f aca="false">SUMPRODUCT($C$80:$F$80,($C$81:$F$81-C85)^2)</f>
        <v>10.2655343749995</v>
      </c>
      <c r="D91" s="44" t="n">
        <f aca="false">C87-1</f>
        <v>3</v>
      </c>
      <c r="E91" s="66" t="n">
        <f aca="false">C91/D91</f>
        <v>3.4218447916665</v>
      </c>
      <c r="F91" s="66" t="n">
        <f aca="false">IFERROR(E91/E92,0)</f>
        <v>3.99577134359347</v>
      </c>
      <c r="G91" s="77" t="n">
        <f aca="false">FDIST(F91,D91,D92)</f>
        <v>0.017346595614096</v>
      </c>
    </row>
    <row r="92" customFormat="false" ht="15" hidden="false" customHeight="true" outlineLevel="0" collapsed="false">
      <c r="B92" s="78" t="s">
        <v>3708</v>
      </c>
      <c r="C92" s="66" t="n">
        <f aca="false">SUMPRODUCT($C$80:$F$80-1,$C$82:$F$82)</f>
        <v>23.9782625</v>
      </c>
      <c r="D92" s="44" t="n">
        <f aca="false">C86-C87</f>
        <v>28</v>
      </c>
      <c r="E92" s="66" t="n">
        <f aca="false">C92/D92</f>
        <v>0.856366517857144</v>
      </c>
    </row>
    <row r="93" customFormat="false" ht="15" hidden="false" customHeight="true" outlineLevel="0" collapsed="false">
      <c r="B93" s="78" t="s">
        <v>3709</v>
      </c>
      <c r="C93" s="66" t="n">
        <f aca="false">C91+C92</f>
        <v>34.2437968749995</v>
      </c>
      <c r="D93" s="44" t="n">
        <f aca="false">C86-1</f>
        <v>31</v>
      </c>
    </row>
    <row r="94" customFormat="false" ht="15" hidden="false" customHeight="true" outlineLevel="0" collapsed="false">
      <c r="B94" s="90" t="s">
        <v>3710</v>
      </c>
      <c r="C94" s="66" t="n">
        <f aca="false">DEVSQ($C$67:$F$74)</f>
        <v>34.243796875</v>
      </c>
    </row>
    <row r="96" customFormat="false" ht="15" hidden="false" customHeight="true" outlineLevel="0" collapsed="false">
      <c r="B96" s="10" t="s">
        <v>3711</v>
      </c>
      <c r="C96" s="66" t="n">
        <f aca="false">FINV(C76,D91,D92)</f>
        <v>2.94668526601727</v>
      </c>
    </row>
    <row r="97" customFormat="false" ht="15" hidden="false" customHeight="true" outlineLevel="0" collapsed="false">
      <c r="B97" s="10" t="s">
        <v>3712</v>
      </c>
      <c r="C97" s="76" t="n">
        <f aca="false">IFERROR(C91/C93,0)</f>
        <v>0.299777925107776</v>
      </c>
    </row>
    <row r="98" customFormat="false" ht="15" hidden="false" customHeight="true" outlineLevel="0" collapsed="false">
      <c r="B98" s="10" t="s">
        <v>3713</v>
      </c>
      <c r="C98" s="76" t="n">
        <f aca="false">IFERROR((C91-D91*E92)/(C93+E92),0)</f>
        <v>0.219270626614644</v>
      </c>
    </row>
    <row r="100" customFormat="false" ht="15.75" hidden="false" customHeight="true" outlineLevel="0" collapsed="false">
      <c r="B100" s="7" t="s">
        <v>3714</v>
      </c>
      <c r="C100" s="8"/>
      <c r="D100" s="8"/>
      <c r="E100" s="8"/>
      <c r="F100" s="8"/>
      <c r="G100" s="8"/>
      <c r="H100" s="8"/>
      <c r="I100" s="8"/>
      <c r="J100" s="8"/>
      <c r="K100" s="8"/>
    </row>
    <row r="101" customFormat="false" ht="16.5" hidden="false" customHeight="true" outlineLevel="0" collapsed="false">
      <c r="B101" s="11" t="s">
        <v>3715</v>
      </c>
      <c r="C101" s="11" t="s">
        <v>3716</v>
      </c>
      <c r="D101" s="11" t="s">
        <v>3717</v>
      </c>
      <c r="E101" s="11" t="s">
        <v>3718</v>
      </c>
      <c r="F101" s="11" t="s">
        <v>3719</v>
      </c>
      <c r="G101" s="11" t="s">
        <v>3720</v>
      </c>
    </row>
    <row r="102" customFormat="false" ht="16.5" hidden="false" customHeight="true" outlineLevel="0" collapsed="false">
      <c r="B102" s="12" t="n">
        <v>5</v>
      </c>
      <c r="C102" s="12" t="n">
        <v>3.64</v>
      </c>
      <c r="D102" s="12" t="n">
        <v>4.6</v>
      </c>
      <c r="E102" s="12" t="n">
        <v>5.22</v>
      </c>
      <c r="F102" s="12" t="n">
        <v>5.67</v>
      </c>
      <c r="G102" s="12" t="n">
        <v>6.03</v>
      </c>
    </row>
    <row r="103" customFormat="false" ht="16.5" hidden="false" customHeight="true" outlineLevel="0" collapsed="false">
      <c r="B103" s="12" t="n">
        <v>10</v>
      </c>
      <c r="C103" s="12" t="n">
        <v>3.15</v>
      </c>
      <c r="D103" s="12" t="n">
        <v>3.88</v>
      </c>
      <c r="E103" s="12" t="n">
        <v>4.33</v>
      </c>
      <c r="F103" s="12" t="n">
        <v>4.65</v>
      </c>
      <c r="G103" s="12" t="n">
        <v>4.91</v>
      </c>
    </row>
    <row r="104" customFormat="false" ht="16.5" hidden="false" customHeight="true" outlineLevel="0" collapsed="false">
      <c r="B104" s="12" t="n">
        <v>15</v>
      </c>
      <c r="C104" s="12" t="n">
        <v>3.01</v>
      </c>
      <c r="D104" s="12" t="n">
        <v>3.67</v>
      </c>
      <c r="E104" s="12" t="n">
        <v>4.08</v>
      </c>
      <c r="F104" s="12" t="n">
        <v>4.37</v>
      </c>
      <c r="G104" s="12" t="n">
        <v>4.59</v>
      </c>
    </row>
    <row r="105" customFormat="false" ht="16.5" hidden="false" customHeight="true" outlineLevel="0" collapsed="false">
      <c r="B105" s="12" t="n">
        <v>20</v>
      </c>
      <c r="C105" s="12" t="n">
        <v>2.95</v>
      </c>
      <c r="D105" s="12" t="n">
        <v>3.58</v>
      </c>
      <c r="E105" s="12" t="n">
        <v>3.96</v>
      </c>
      <c r="F105" s="12" t="n">
        <v>4.23</v>
      </c>
      <c r="G105" s="12" t="n">
        <v>4.45</v>
      </c>
    </row>
    <row r="106" customFormat="false" ht="16.5" hidden="false" customHeight="true" outlineLevel="0" collapsed="false">
      <c r="B106" s="12" t="n">
        <v>24</v>
      </c>
      <c r="C106" s="12" t="n">
        <v>2.92</v>
      </c>
      <c r="D106" s="12" t="n">
        <v>3.53</v>
      </c>
      <c r="E106" s="12" t="n">
        <v>3.9</v>
      </c>
      <c r="F106" s="12" t="n">
        <v>4.17</v>
      </c>
      <c r="G106" s="12" t="n">
        <v>4.37</v>
      </c>
    </row>
    <row r="107" customFormat="false" ht="16.5" hidden="false" customHeight="true" outlineLevel="0" collapsed="false">
      <c r="B107" s="12" t="n">
        <v>30</v>
      </c>
      <c r="C107" s="12" t="n">
        <v>2.89</v>
      </c>
      <c r="D107" s="12" t="n">
        <v>3.49</v>
      </c>
      <c r="E107" s="12" t="n">
        <v>3.85</v>
      </c>
      <c r="F107" s="12" t="n">
        <v>4.1</v>
      </c>
      <c r="G107" s="12" t="n">
        <v>4.3</v>
      </c>
    </row>
    <row r="108" customFormat="false" ht="16.5" hidden="false" customHeight="true" outlineLevel="0" collapsed="false">
      <c r="B108" s="12" t="n">
        <v>40</v>
      </c>
      <c r="C108" s="12" t="n">
        <v>2.86</v>
      </c>
      <c r="D108" s="12" t="n">
        <v>3.44</v>
      </c>
      <c r="E108" s="12" t="n">
        <v>3.79</v>
      </c>
      <c r="F108" s="12" t="n">
        <v>4.04</v>
      </c>
      <c r="G108" s="12" t="n">
        <v>4.23</v>
      </c>
    </row>
    <row r="109" customFormat="false" ht="16.5" hidden="false" customHeight="true" outlineLevel="0" collapsed="false">
      <c r="B109" s="12" t="n">
        <v>60</v>
      </c>
      <c r="C109" s="12" t="n">
        <v>2.83</v>
      </c>
      <c r="D109" s="12" t="n">
        <v>3.4</v>
      </c>
      <c r="E109" s="12" t="n">
        <v>3.74</v>
      </c>
      <c r="F109" s="12" t="n">
        <v>3.98</v>
      </c>
      <c r="G109" s="12" t="n">
        <v>4.16</v>
      </c>
    </row>
    <row r="110" customFormat="false" ht="16.5" hidden="false" customHeight="true" outlineLevel="0" collapsed="false">
      <c r="B110" s="12" t="n">
        <v>120</v>
      </c>
      <c r="C110" s="12" t="n">
        <v>2.8</v>
      </c>
      <c r="D110" s="12" t="n">
        <v>3.36</v>
      </c>
      <c r="E110" s="12" t="n">
        <v>3.68</v>
      </c>
      <c r="F110" s="12" t="n">
        <v>3.92</v>
      </c>
      <c r="G110" s="12" t="n">
        <v>4.1</v>
      </c>
    </row>
    <row r="111" customFormat="false" ht="16.5" hidden="false" customHeight="true" outlineLevel="0" collapsed="false">
      <c r="B111" s="12" t="n">
        <v>1000</v>
      </c>
      <c r="C111" s="12" t="n">
        <v>2.77</v>
      </c>
      <c r="D111" s="12" t="n">
        <v>3.31</v>
      </c>
      <c r="E111" s="12" t="n">
        <v>3.63</v>
      </c>
      <c r="F111" s="12" t="n">
        <v>3.86</v>
      </c>
      <c r="G111" s="12" t="n">
        <v>4.03</v>
      </c>
    </row>
    <row r="112" customFormat="false" ht="15.75" hidden="false" customHeight="true" outlineLevel="0" collapsed="false">
      <c r="B112" s="16" t="s">
        <v>3721</v>
      </c>
      <c r="C112" s="16"/>
      <c r="D112" s="16"/>
      <c r="E112" s="16"/>
      <c r="F112" s="16"/>
    </row>
    <row r="114" customFormat="false" ht="15" hidden="false" customHeight="true" outlineLevel="0" collapsed="false">
      <c r="B114" s="10" t="s">
        <v>3722</v>
      </c>
      <c r="C114" s="63" t="n">
        <f aca="false">INDEX($C$102:$G$111,MATCH(D92,$B$102:$B$111,1),MATCH("k = "&amp;TEXT(C87,"0"),$C$101:$G$101,0))</f>
        <v>3.9</v>
      </c>
    </row>
    <row r="115" customFormat="false" ht="15" hidden="false" customHeight="true" outlineLevel="0" collapsed="false">
      <c r="B115" s="10" t="s">
        <v>3723</v>
      </c>
      <c r="C115" s="44" t="n">
        <f aca="false">MIN($C$80:$F$80)</f>
        <v>8</v>
      </c>
    </row>
    <row r="116" customFormat="false" ht="15" hidden="false" customHeight="true" outlineLevel="0" collapsed="false">
      <c r="B116" s="10" t="s">
        <v>3724</v>
      </c>
      <c r="C116" s="66" t="n">
        <f aca="false">C114*SQRT(E92/C115)</f>
        <v>1.2759964114667</v>
      </c>
    </row>
    <row r="118" customFormat="false" ht="15.75" hidden="false" customHeight="true" outlineLevel="0" collapsed="false">
      <c r="B118" s="7" t="s">
        <v>3725</v>
      </c>
      <c r="C118" s="8"/>
      <c r="D118" s="8"/>
      <c r="E118" s="8"/>
      <c r="F118" s="8"/>
      <c r="G118" s="8"/>
      <c r="H118" s="8"/>
      <c r="I118" s="8"/>
      <c r="J118" s="8"/>
      <c r="K118" s="8"/>
    </row>
    <row r="119" customFormat="false" ht="17.25" hidden="false" customHeight="true" outlineLevel="0" collapsed="false">
      <c r="B119" s="11" t="s">
        <v>3726</v>
      </c>
      <c r="C119" s="11" t="s">
        <v>3727</v>
      </c>
      <c r="D119" s="11" t="s">
        <v>3728</v>
      </c>
      <c r="E119" s="11" t="s">
        <v>3729</v>
      </c>
      <c r="F119" s="11" t="s">
        <v>3730</v>
      </c>
      <c r="G119" s="11"/>
    </row>
    <row r="120" customFormat="false" ht="18.75" hidden="false" customHeight="true" outlineLevel="0" collapsed="false">
      <c r="B120" s="78" t="s">
        <v>3731</v>
      </c>
      <c r="C120" s="66" t="n">
        <f aca="false">C81-D81</f>
        <v>-0.198750000000018</v>
      </c>
      <c r="D120" s="66" t="n">
        <f aca="false">ABS(C120)</f>
        <v>0.198750000000018</v>
      </c>
      <c r="E120" s="66" t="n">
        <f aca="false">C116</f>
        <v>1.2759964114667</v>
      </c>
      <c r="F120" s="54" t="str">
        <f aca="false">IF(D120&gt;E120,"SIGNIFICANT","not significant")</f>
        <v>not significant</v>
      </c>
      <c r="G120" s="54"/>
    </row>
    <row r="121" customFormat="false" ht="18.75" hidden="false" customHeight="true" outlineLevel="0" collapsed="false">
      <c r="B121" s="78" t="s">
        <v>3732</v>
      </c>
      <c r="C121" s="66" t="n">
        <f aca="false">C81-E81</f>
        <v>-1.39749999999998</v>
      </c>
      <c r="D121" s="66" t="n">
        <f aca="false">ABS(C121)</f>
        <v>1.39749999999998</v>
      </c>
      <c r="E121" s="66" t="n">
        <f aca="false">C116</f>
        <v>1.2759964114667</v>
      </c>
      <c r="F121" s="54" t="str">
        <f aca="false">IF(D121&gt;E121,"SIGNIFICANT","not significant")</f>
        <v>SIGNIFICANT</v>
      </c>
      <c r="G121" s="54"/>
    </row>
    <row r="122" customFormat="false" ht="18.75" hidden="false" customHeight="true" outlineLevel="0" collapsed="false">
      <c r="B122" s="78" t="s">
        <v>3733</v>
      </c>
      <c r="C122" s="66" t="n">
        <f aca="false">C81-F81</f>
        <v>-0.100000000000023</v>
      </c>
      <c r="D122" s="66" t="n">
        <f aca="false">ABS(C122)</f>
        <v>0.100000000000023</v>
      </c>
      <c r="E122" s="66" t="n">
        <f aca="false">C116</f>
        <v>1.2759964114667</v>
      </c>
      <c r="F122" s="54" t="str">
        <f aca="false">IF(D122&gt;E122,"SIGNIFICANT","not significant")</f>
        <v>not significant</v>
      </c>
      <c r="G122" s="54"/>
    </row>
    <row r="123" customFormat="false" ht="18.75" hidden="false" customHeight="true" outlineLevel="0" collapsed="false">
      <c r="B123" s="78" t="s">
        <v>3734</v>
      </c>
      <c r="C123" s="66" t="n">
        <f aca="false">D81-E81</f>
        <v>-1.19874999999996</v>
      </c>
      <c r="D123" s="66" t="n">
        <f aca="false">ABS(C123)</f>
        <v>1.19874999999996</v>
      </c>
      <c r="E123" s="66" t="n">
        <f aca="false">C116</f>
        <v>1.2759964114667</v>
      </c>
      <c r="F123" s="54" t="str">
        <f aca="false">IF(D123&gt;E123,"SIGNIFICANT","not significant")</f>
        <v>not significant</v>
      </c>
      <c r="G123" s="54"/>
    </row>
    <row r="124" customFormat="false" ht="18.75" hidden="false" customHeight="true" outlineLevel="0" collapsed="false">
      <c r="B124" s="78" t="s">
        <v>3735</v>
      </c>
      <c r="C124" s="66" t="n">
        <f aca="false">D81-F81</f>
        <v>0.0987499999999955</v>
      </c>
      <c r="D124" s="66" t="n">
        <f aca="false">ABS(C124)</f>
        <v>0.0987499999999955</v>
      </c>
      <c r="E124" s="66" t="n">
        <f aca="false">C116</f>
        <v>1.2759964114667</v>
      </c>
      <c r="F124" s="54" t="str">
        <f aca="false">IF(D124&gt;E124,"SIGNIFICANT","not significant")</f>
        <v>not significant</v>
      </c>
      <c r="G124" s="54"/>
    </row>
    <row r="125" customFormat="false" ht="18.75" hidden="false" customHeight="true" outlineLevel="0" collapsed="false">
      <c r="B125" s="78" t="s">
        <v>3736</v>
      </c>
      <c r="C125" s="66" t="n">
        <f aca="false">E81-F81</f>
        <v>1.29749999999996</v>
      </c>
      <c r="D125" s="66" t="n">
        <f aca="false">ABS(C125)</f>
        <v>1.29749999999996</v>
      </c>
      <c r="E125" s="66" t="n">
        <f aca="false">C116</f>
        <v>1.2759964114667</v>
      </c>
      <c r="F125" s="54" t="str">
        <f aca="false">IF(D125&gt;E125,"SIGNIFICANT","not significant")</f>
        <v>SIGNIFICANT</v>
      </c>
      <c r="G125" s="54"/>
    </row>
    <row r="127" customFormat="false" ht="18" hidden="false" customHeight="true" outlineLevel="0" collapsed="false">
      <c r="B127" s="7" t="s">
        <v>3737</v>
      </c>
      <c r="C127" s="8"/>
      <c r="D127" s="8"/>
      <c r="E127" s="8"/>
      <c r="F127" s="8"/>
      <c r="G127" s="8"/>
      <c r="H127" s="8"/>
      <c r="I127" s="8"/>
      <c r="J127" s="8"/>
      <c r="K127" s="8"/>
    </row>
    <row r="128" customFormat="false" ht="30.75" hidden="false" customHeight="true" outlineLevel="0" collapsed="false">
      <c r="B128" s="11" t="s">
        <v>3738</v>
      </c>
      <c r="C128" s="11" t="s">
        <v>3739</v>
      </c>
      <c r="D128" s="11" t="s">
        <v>3740</v>
      </c>
      <c r="E128" s="11" t="s">
        <v>3741</v>
      </c>
      <c r="F128" s="11" t="s">
        <v>3742</v>
      </c>
      <c r="G128" s="11" t="s">
        <v>3743</v>
      </c>
    </row>
    <row r="129" customFormat="false" ht="15" hidden="false" customHeight="true" outlineLevel="0" collapsed="false">
      <c r="B129" s="91" t="s">
        <v>3693</v>
      </c>
      <c r="C129" s="64" t="n">
        <f aca="false">MIN($C$67:$C$74)</f>
        <v>498.96</v>
      </c>
      <c r="D129" s="63" t="n">
        <f aca="false">QUARTILE($C$67:$C$74,1)-MIN($C$67:$C$74)</f>
        <v>0.722500000000025</v>
      </c>
      <c r="E129" s="63" t="n">
        <f aca="false">MEDIAN($C$67:$C$74)-QUARTILE($C$67:$C$74,1)</f>
        <v>0.202499999999986</v>
      </c>
      <c r="F129" s="63" t="n">
        <f aca="false">QUARTILE($C$67:$C$74,3)-MEDIAN($C$67:$C$74)</f>
        <v>0.407500000000027</v>
      </c>
      <c r="G129" s="63" t="n">
        <f aca="false">MAX($C$67:$C$74)-QUARTILE($C$67:$C$74,3)</f>
        <v>1.42750000000001</v>
      </c>
    </row>
    <row r="130" customFormat="false" ht="15" hidden="false" customHeight="true" outlineLevel="0" collapsed="false">
      <c r="B130" s="91" t="s">
        <v>3694</v>
      </c>
      <c r="C130" s="64" t="n">
        <f aca="false">MIN($D$67:$D$74)</f>
        <v>498.96</v>
      </c>
      <c r="D130" s="63" t="n">
        <f aca="false">QUARTILE($D$67:$D$74,1)-MIN($D$67:$D$74)</f>
        <v>0.735000000000014</v>
      </c>
      <c r="E130" s="63" t="n">
        <f aca="false">MEDIAN($D$67:$D$74)-QUARTILE($D$67:$D$74,1)</f>
        <v>0.600000000000023</v>
      </c>
      <c r="F130" s="63" t="n">
        <f aca="false">QUARTILE($D$67:$D$74,3)-MEDIAN($D$67:$D$74)</f>
        <v>0.4375</v>
      </c>
      <c r="G130" s="63" t="n">
        <f aca="false">MAX($D$67:$D$74)-QUARTILE($D$67:$D$74,3)</f>
        <v>1.10749999999996</v>
      </c>
    </row>
    <row r="131" customFormat="false" ht="15" hidden="false" customHeight="true" outlineLevel="0" collapsed="false">
      <c r="B131" s="91" t="s">
        <v>3695</v>
      </c>
      <c r="C131" s="64" t="n">
        <f aca="false">MIN($E$67:$E$74)</f>
        <v>499.63</v>
      </c>
      <c r="D131" s="63" t="n">
        <f aca="false">QUARTILE($E$67:$E$74,1)-MIN($E$67:$E$74)</f>
        <v>1.40250000000003</v>
      </c>
      <c r="E131" s="63" t="n">
        <f aca="false">MEDIAN($E$67:$E$74)-QUARTILE($E$67:$E$74,1)</f>
        <v>0.727499999999964</v>
      </c>
      <c r="F131" s="63" t="n">
        <f aca="false">QUARTILE($E$67:$E$74,3)-MEDIAN($E$67:$E$74)</f>
        <v>0.507499999999993</v>
      </c>
      <c r="G131" s="63" t="n">
        <f aca="false">MAX($E$67:$E$74)-QUARTILE($E$67:$E$74,3)</f>
        <v>0.132499999999993</v>
      </c>
    </row>
    <row r="132" customFormat="false" ht="15" hidden="false" customHeight="true" outlineLevel="0" collapsed="false">
      <c r="B132" s="91" t="s">
        <v>3696</v>
      </c>
      <c r="C132" s="64" t="n">
        <f aca="false">MIN($F$67:$F$74)</f>
        <v>498.57</v>
      </c>
      <c r="D132" s="63" t="n">
        <f aca="false">QUARTILE($F$67:$F$74,1)-MIN($F$67:$F$74)</f>
        <v>1.10750000000002</v>
      </c>
      <c r="E132" s="63" t="n">
        <f aca="false">MEDIAN($F$67:$F$74)-QUARTILE($F$67:$F$74,1)</f>
        <v>0.727499999999964</v>
      </c>
      <c r="F132" s="63" t="n">
        <f aca="false">QUARTILE($F$67:$F$74,3)-MEDIAN($F$67:$F$74)</f>
        <v>0.282500000000027</v>
      </c>
      <c r="G132" s="63" t="n">
        <f aca="false">MAX($F$67:$F$74)-QUARTILE($F$67:$F$74,3)</f>
        <v>0.822499999999991</v>
      </c>
    </row>
    <row r="133" customFormat="false" ht="51.75" hidden="false" customHeight="true" outlineLevel="0" collapsed="false">
      <c r="B133" s="16" t="s">
        <v>3744</v>
      </c>
      <c r="C133" s="16"/>
      <c r="D133" s="16"/>
      <c r="E133" s="16"/>
      <c r="F133" s="16"/>
    </row>
    <row r="135" customFormat="false" ht="18" hidden="false" customHeight="true" outlineLevel="0" collapsed="false">
      <c r="B135" s="7" t="s">
        <v>1493</v>
      </c>
      <c r="C135" s="8"/>
      <c r="D135" s="8"/>
      <c r="E135" s="8"/>
      <c r="F135" s="8"/>
      <c r="G135" s="8"/>
      <c r="H135" s="8"/>
      <c r="I135" s="8"/>
      <c r="J135" s="8"/>
      <c r="K135" s="8"/>
    </row>
    <row r="136" customFormat="false" ht="33.75" hidden="false" customHeight="true" outlineLevel="0" collapsed="false">
      <c r="B136" s="53" t="s">
        <v>1494</v>
      </c>
      <c r="C136" s="54" t="str">
        <f aca="false">IF(G91&lt;C76,"REJECT H0 (F = "&amp;TEXT(F91,"0.00")&amp;", p = "&amp;TEXT(G91,"0.00000")&amp;") - at least one group differs. The factor explains "&amp;TEXT(C97,"0.0%")&amp;" of the total variation. Read the Tukey block above to see which pairs are responsible.","FAIL TO REJECT H0 (F = "&amp;TEXT(F91,"0.00")&amp;", p = "&amp;TEXT(G91,"0.0000")&amp;") - no evidence that the group means differ. Do not read the Tukey comparisons; check the power on E-19.")</f>
        <v>REJECT H0 (F = 4.00, p = 0.01735) - at least one group differs. The factor explains 30.0% of the total variation. Read the Tukey block above to see which pairs are responsible.</v>
      </c>
      <c r="D136" s="54"/>
      <c r="E136" s="54"/>
    </row>
    <row r="138" customFormat="false" ht="27.75" hidden="false" customHeight="true" outlineLevel="0" collapsed="false">
      <c r="B138" s="11" t="s">
        <v>1495</v>
      </c>
      <c r="C138" s="11" t="s">
        <v>1496</v>
      </c>
      <c r="D138" s="11" t="s">
        <v>1497</v>
      </c>
    </row>
    <row r="139" customFormat="false" ht="30.75" hidden="false" customHeight="true" outlineLevel="0" collapsed="false">
      <c r="B139" s="12" t="s">
        <v>3745</v>
      </c>
      <c r="C139" s="12" t="s">
        <v>3444</v>
      </c>
      <c r="D139" s="12" t="s">
        <v>3746</v>
      </c>
    </row>
    <row r="140" customFormat="false" ht="30.75" hidden="false" customHeight="true" outlineLevel="0" collapsed="false">
      <c r="B140" s="12" t="s">
        <v>3747</v>
      </c>
      <c r="C140" s="12" t="s">
        <v>3748</v>
      </c>
      <c r="D140" s="12" t="s">
        <v>3749</v>
      </c>
    </row>
    <row r="141" customFormat="false" ht="30.75" hidden="false" customHeight="true" outlineLevel="0" collapsed="false">
      <c r="B141" s="12" t="s">
        <v>3750</v>
      </c>
      <c r="C141" s="12" t="s">
        <v>3751</v>
      </c>
      <c r="D141" s="12" t="s">
        <v>3752</v>
      </c>
    </row>
    <row r="142" customFormat="false" ht="30.75" hidden="false" customHeight="true" outlineLevel="0" collapsed="false">
      <c r="B142" s="12" t="s">
        <v>3753</v>
      </c>
      <c r="C142" s="12" t="s">
        <v>3754</v>
      </c>
      <c r="D142" s="12" t="s">
        <v>3755</v>
      </c>
    </row>
    <row r="144" customFormat="false" ht="15" hidden="false" customHeight="true" outlineLevel="0" collapsed="false">
      <c r="B144" s="55" t="s">
        <v>1507</v>
      </c>
    </row>
    <row r="145" customFormat="false" ht="17.25" hidden="false" customHeight="true" outlineLevel="0" collapsed="false">
      <c r="B145" s="9" t="s">
        <v>3756</v>
      </c>
      <c r="C145" s="9"/>
      <c r="D145" s="9"/>
      <c r="E145" s="9"/>
      <c r="F145" s="9"/>
    </row>
    <row r="146" customFormat="false" ht="17.25" hidden="false" customHeight="true" outlineLevel="0" collapsed="false">
      <c r="B146" s="9" t="s">
        <v>3757</v>
      </c>
      <c r="C146" s="9"/>
      <c r="D146" s="9"/>
      <c r="E146" s="9"/>
      <c r="F146" s="9"/>
    </row>
    <row r="147" customFormat="false" ht="17.25" hidden="false" customHeight="true" outlineLevel="0" collapsed="false">
      <c r="B147" s="9" t="s">
        <v>3758</v>
      </c>
      <c r="C147" s="9"/>
      <c r="D147" s="9"/>
      <c r="E147" s="9"/>
      <c r="F147" s="9"/>
    </row>
    <row r="148" customFormat="false" ht="17.25" hidden="false" customHeight="true" outlineLevel="0" collapsed="false">
      <c r="B148" s="9" t="s">
        <v>3759</v>
      </c>
      <c r="C148" s="9"/>
      <c r="D148" s="9"/>
      <c r="E148" s="9"/>
      <c r="F148" s="9"/>
    </row>
    <row r="149" customFormat="false" ht="17.25" hidden="false" customHeight="true" outlineLevel="0" collapsed="false">
      <c r="B149" s="9" t="s">
        <v>3760</v>
      </c>
      <c r="C149" s="9"/>
      <c r="D149" s="9"/>
      <c r="E149" s="9"/>
      <c r="F149" s="9"/>
    </row>
    <row r="151" customFormat="false" ht="15.75" hidden="false" customHeight="true" outlineLevel="0" collapsed="false">
      <c r="B151" s="7" t="s">
        <v>1513</v>
      </c>
      <c r="C151" s="8"/>
      <c r="D151" s="8"/>
      <c r="E151" s="8"/>
      <c r="F151" s="8"/>
      <c r="G151" s="8"/>
      <c r="H151" s="8"/>
      <c r="I151" s="8"/>
      <c r="J151" s="8"/>
      <c r="K151" s="8"/>
    </row>
    <row r="152" customFormat="false" ht="17.25" hidden="false" customHeight="true" outlineLevel="0" collapsed="false">
      <c r="B152" s="9" t="s">
        <v>1514</v>
      </c>
      <c r="C152" s="9"/>
      <c r="D152" s="9"/>
      <c r="E152" s="9"/>
      <c r="N152" s="56" t="s">
        <v>1515</v>
      </c>
    </row>
    <row r="153" customFormat="false" ht="17.25" hidden="false" customHeight="true" outlineLevel="0" collapsed="false">
      <c r="B153" s="9" t="s">
        <v>3761</v>
      </c>
      <c r="C153" s="9"/>
      <c r="D153" s="9"/>
      <c r="E153" s="9"/>
      <c r="N153" s="57" t="s">
        <v>3762</v>
      </c>
    </row>
    <row r="154" customFormat="false" ht="17.25" hidden="false" customHeight="true" outlineLevel="0" collapsed="false">
      <c r="B154" s="9" t="s">
        <v>3763</v>
      </c>
      <c r="C154" s="9"/>
      <c r="D154" s="9"/>
      <c r="E154" s="9"/>
      <c r="N154" s="57" t="s">
        <v>3764</v>
      </c>
    </row>
    <row r="155" customFormat="false" ht="17.25" hidden="false" customHeight="true" outlineLevel="0" collapsed="false">
      <c r="B155" s="9" t="s">
        <v>3765</v>
      </c>
      <c r="C155" s="9"/>
      <c r="D155" s="9"/>
      <c r="E155" s="9"/>
      <c r="N155" s="57" t="s">
        <v>3766</v>
      </c>
    </row>
    <row r="157" customFormat="false" ht="15.75" hidden="false" customHeight="true" outlineLevel="0" collapsed="false">
      <c r="B157" s="7" t="s">
        <v>1522</v>
      </c>
      <c r="C157" s="8"/>
      <c r="D157" s="8"/>
      <c r="E157" s="8"/>
      <c r="F157" s="8"/>
      <c r="G157" s="8"/>
      <c r="H157" s="8"/>
      <c r="I157" s="8"/>
      <c r="J157" s="8"/>
      <c r="K157" s="8"/>
    </row>
    <row r="158" customFormat="false" ht="16.5" hidden="false" customHeight="true" outlineLevel="0" collapsed="false">
      <c r="B158" s="11" t="s">
        <v>1523</v>
      </c>
      <c r="C158" s="11" t="s">
        <v>1524</v>
      </c>
      <c r="D158" s="11" t="s">
        <v>1615</v>
      </c>
    </row>
    <row r="159" customFormat="false" ht="30.75" hidden="false" customHeight="true" outlineLevel="0" collapsed="false">
      <c r="B159" s="58" t="s">
        <v>3367</v>
      </c>
      <c r="C159" s="58" t="s">
        <v>3370</v>
      </c>
      <c r="D159" s="58" t="s">
        <v>1191</v>
      </c>
    </row>
  </sheetData>
  <mergeCells count="62">
    <mergeCell ref="B2:J2"/>
    <mergeCell ref="D3:F3"/>
    <mergeCell ref="C6:D6"/>
    <mergeCell ref="C7:D7"/>
    <mergeCell ref="C8:D8"/>
    <mergeCell ref="B11:F12"/>
    <mergeCell ref="B13:F15"/>
    <mergeCell ref="B16:F17"/>
    <mergeCell ref="B18:F20"/>
    <mergeCell ref="B21:F22"/>
    <mergeCell ref="B25:D25"/>
    <mergeCell ref="E25:F25"/>
    <mergeCell ref="B26:D26"/>
    <mergeCell ref="E26:F26"/>
    <mergeCell ref="B27:D27"/>
    <mergeCell ref="E27:F27"/>
    <mergeCell ref="B28:D28"/>
    <mergeCell ref="E28:F28"/>
    <mergeCell ref="B37:F38"/>
    <mergeCell ref="B40:F40"/>
    <mergeCell ref="B42:F43"/>
    <mergeCell ref="B45:F46"/>
    <mergeCell ref="B47:F47"/>
    <mergeCell ref="B48:F48"/>
    <mergeCell ref="B49:F49"/>
    <mergeCell ref="D52:E52"/>
    <mergeCell ref="D53:E53"/>
    <mergeCell ref="D54:E54"/>
    <mergeCell ref="D55:E55"/>
    <mergeCell ref="D56:E56"/>
    <mergeCell ref="D57:E57"/>
    <mergeCell ref="D58:E58"/>
    <mergeCell ref="B59:F59"/>
    <mergeCell ref="B62:F63"/>
    <mergeCell ref="F66:G66"/>
    <mergeCell ref="F67:G67"/>
    <mergeCell ref="F68:G68"/>
    <mergeCell ref="F69:G69"/>
    <mergeCell ref="F70:G70"/>
    <mergeCell ref="F71:G71"/>
    <mergeCell ref="F72:G72"/>
    <mergeCell ref="F73:G73"/>
    <mergeCell ref="F74:G74"/>
    <mergeCell ref="B112:F112"/>
    <mergeCell ref="F119:G119"/>
    <mergeCell ref="F120:G120"/>
    <mergeCell ref="F121:G121"/>
    <mergeCell ref="F122:G122"/>
    <mergeCell ref="F123:G123"/>
    <mergeCell ref="F124:G124"/>
    <mergeCell ref="F125:G125"/>
    <mergeCell ref="B133:F133"/>
    <mergeCell ref="C136:E136"/>
    <mergeCell ref="B145:F145"/>
    <mergeCell ref="B146:F146"/>
    <mergeCell ref="B147:F147"/>
    <mergeCell ref="B148:F148"/>
    <mergeCell ref="B149:F149"/>
    <mergeCell ref="B152:E152"/>
    <mergeCell ref="B153:E153"/>
    <mergeCell ref="B154:E154"/>
    <mergeCell ref="B155:E155"/>
  </mergeCells>
  <hyperlinks>
    <hyperlink ref="B3" location="'N-03 Index DMAIC'!A1" display="← Back to Index"/>
    <hyperlink ref="E31" location="'E-31 Nonparametric Tests'!A1" display="E-31  Nonparametric Tests"/>
    <hyperlink ref="E32" location="'E-28 Variance Tests'!A1" display="E-28  Tests for Variance: F, Levene, Bartlett"/>
    <hyperlink ref="E33" location="'E-05 Sampling Subgroups'!A1" display="E-05  Sampling Strategies and Rational Subgrouping"/>
    <hyperlink ref="B159" location="'E-25 Paired t-Test'!A1" display="E-25  Paired t-Test"/>
    <hyperlink ref="C159" location="'E-27 Two-Way ANOVA'!A1" display="E-27  Two-Way ANOVA and Interactions"/>
    <hyperlink ref="D159" location="'E-31 Nonparametric Tests'!A1" display="E-31  Nonparametric Tes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3767</v>
      </c>
      <c r="C2" s="3"/>
      <c r="D2" s="3"/>
      <c r="E2" s="3"/>
      <c r="F2" s="3"/>
      <c r="G2" s="3"/>
      <c r="H2" s="3"/>
      <c r="I2" s="3"/>
      <c r="J2" s="3"/>
      <c r="K2" s="80" t="s">
        <v>2864</v>
      </c>
    </row>
    <row r="3" customFormat="false" ht="28.5" hidden="false" customHeight="true" outlineLevel="0" collapsed="false">
      <c r="B3" s="5" t="s">
        <v>3</v>
      </c>
      <c r="D3" s="6" t="s">
        <v>3768</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3769</v>
      </c>
      <c r="D6" s="9"/>
    </row>
    <row r="7" customFormat="false" ht="17.25" hidden="false" customHeight="true" outlineLevel="0" collapsed="false">
      <c r="B7" s="47" t="s">
        <v>1394</v>
      </c>
      <c r="C7" s="9" t="s">
        <v>3770</v>
      </c>
      <c r="D7" s="9"/>
    </row>
    <row r="8" customFormat="false" ht="17.25" hidden="false" customHeight="true" outlineLevel="0" collapsed="false">
      <c r="B8" s="47" t="s">
        <v>1396</v>
      </c>
      <c r="C8" s="9" t="s">
        <v>3771</v>
      </c>
      <c r="D8" s="9"/>
    </row>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3772</v>
      </c>
      <c r="C11" s="9"/>
      <c r="D11" s="9"/>
      <c r="E11" s="9"/>
      <c r="F11" s="9"/>
    </row>
    <row r="12" customFormat="false" ht="17.25" hidden="false" customHeight="true" outlineLevel="0" collapsed="false">
      <c r="B12" s="9" t="s">
        <v>3773</v>
      </c>
      <c r="C12" s="9"/>
      <c r="D12" s="9"/>
      <c r="E12" s="9"/>
      <c r="F12" s="9"/>
    </row>
    <row r="13" customFormat="false" ht="15.75" hidden="false" customHeight="true" outlineLevel="0" collapsed="false">
      <c r="B13" s="9" t="s">
        <v>3774</v>
      </c>
      <c r="C13" s="9"/>
      <c r="D13" s="9"/>
      <c r="E13" s="9"/>
      <c r="F13" s="9"/>
    </row>
    <row r="14" customFormat="false" ht="15.75" hidden="false" customHeight="true" outlineLevel="0" collapsed="false">
      <c r="B14" s="9"/>
      <c r="C14" s="9"/>
      <c r="D14" s="9"/>
      <c r="E14" s="9"/>
      <c r="F14" s="9"/>
    </row>
    <row r="15" customFormat="false" ht="11.25" hidden="false" customHeight="true" outlineLevel="0" collapsed="false">
      <c r="B15" s="9" t="s">
        <v>3775</v>
      </c>
      <c r="C15" s="9"/>
      <c r="D15" s="9"/>
      <c r="E15" s="9"/>
      <c r="F15" s="9"/>
    </row>
    <row r="16" customFormat="false" ht="11.25" hidden="false" customHeight="true" outlineLevel="0" collapsed="false">
      <c r="B16" s="9"/>
      <c r="C16" s="9"/>
      <c r="D16" s="9"/>
      <c r="E16" s="9"/>
      <c r="F16" s="9"/>
    </row>
    <row r="17" customFormat="false" ht="11.25" hidden="false" customHeight="true" outlineLevel="0" collapsed="false">
      <c r="B17" s="9"/>
      <c r="C17" s="9"/>
      <c r="D17" s="9"/>
      <c r="E17" s="9"/>
      <c r="F17" s="9"/>
    </row>
    <row r="18" customFormat="false" ht="11.25" hidden="false" customHeight="true" outlineLevel="0" collapsed="false">
      <c r="B18" s="9"/>
      <c r="C18" s="9"/>
      <c r="D18" s="9"/>
      <c r="E18" s="9"/>
      <c r="F18" s="9"/>
    </row>
    <row r="19" customFormat="false" ht="10.5" hidden="false" customHeight="true" outlineLevel="0" collapsed="false">
      <c r="B19" s="9" t="s">
        <v>3776</v>
      </c>
      <c r="C19" s="9"/>
      <c r="D19" s="9"/>
      <c r="E19" s="9"/>
      <c r="F19" s="9"/>
    </row>
    <row r="20" customFormat="false" ht="10.5" hidden="false" customHeight="true" outlineLevel="0" collapsed="false">
      <c r="B20" s="9"/>
      <c r="C20" s="9"/>
      <c r="D20" s="9"/>
      <c r="E20" s="9"/>
      <c r="F20" s="9"/>
    </row>
    <row r="21" customFormat="false" ht="10.5" hidden="false" customHeight="true" outlineLevel="0" collapsed="false">
      <c r="B21" s="9"/>
      <c r="C21" s="9"/>
      <c r="D21" s="9"/>
      <c r="E21" s="9"/>
      <c r="F21" s="9"/>
    </row>
    <row r="22" customFormat="false" ht="15.75" hidden="false" customHeight="true" outlineLevel="0" collapsed="false">
      <c r="B22" s="9" t="s">
        <v>3777</v>
      </c>
      <c r="C22" s="9"/>
      <c r="D22" s="9"/>
      <c r="E22" s="9"/>
      <c r="F22" s="9"/>
    </row>
    <row r="23" customFormat="false" ht="15.75" hidden="false" customHeight="true" outlineLevel="0" collapsed="false">
      <c r="B23" s="9"/>
      <c r="C23" s="9"/>
      <c r="D23" s="9"/>
      <c r="E23" s="9"/>
      <c r="F23" s="9"/>
    </row>
    <row r="25" customFormat="false" ht="15.75" hidden="false" customHeight="true" outlineLevel="0" collapsed="false">
      <c r="B25" s="7" t="s">
        <v>1406</v>
      </c>
      <c r="C25" s="8"/>
      <c r="D25" s="8"/>
      <c r="E25" s="8"/>
      <c r="F25" s="8"/>
      <c r="G25" s="8"/>
      <c r="H25" s="8"/>
      <c r="I25" s="8"/>
      <c r="J25" s="8"/>
      <c r="K25" s="8"/>
    </row>
    <row r="26" customFormat="false" ht="17.25" hidden="false" customHeight="true" outlineLevel="0" collapsed="false">
      <c r="B26" s="48" t="s">
        <v>1407</v>
      </c>
      <c r="C26" s="48"/>
      <c r="D26" s="48"/>
      <c r="E26" s="49" t="s">
        <v>1408</v>
      </c>
      <c r="F26" s="49"/>
    </row>
    <row r="27" customFormat="false" ht="31.5" hidden="false" customHeight="true" outlineLevel="0" collapsed="false">
      <c r="B27" s="23" t="s">
        <v>3778</v>
      </c>
      <c r="C27" s="23"/>
      <c r="D27" s="23"/>
      <c r="E27" s="23" t="s">
        <v>3779</v>
      </c>
      <c r="F27" s="23"/>
    </row>
    <row r="28" customFormat="false" ht="31.5" hidden="false" customHeight="true" outlineLevel="0" collapsed="false">
      <c r="B28" s="23" t="s">
        <v>3780</v>
      </c>
      <c r="C28" s="23"/>
      <c r="D28" s="23"/>
      <c r="E28" s="23" t="s">
        <v>3781</v>
      </c>
      <c r="F28" s="23"/>
    </row>
    <row r="29" customFormat="false" ht="45.75" hidden="false" customHeight="true" outlineLevel="0" collapsed="false">
      <c r="B29" s="23" t="s">
        <v>3782</v>
      </c>
      <c r="C29" s="23"/>
      <c r="D29" s="23"/>
      <c r="E29" s="23" t="s">
        <v>3783</v>
      </c>
      <c r="F29" s="23"/>
    </row>
    <row r="30" customFormat="false" ht="17.25" hidden="false" customHeight="true" outlineLevel="0" collapsed="false">
      <c r="B30" s="23" t="s">
        <v>3784</v>
      </c>
      <c r="C30" s="23"/>
      <c r="D30" s="23"/>
      <c r="E30" s="23"/>
      <c r="F30" s="23"/>
    </row>
    <row r="32" customFormat="false" ht="16.5" hidden="false" customHeight="true" outlineLevel="0" collapsed="false">
      <c r="B32" s="11" t="s">
        <v>1416</v>
      </c>
      <c r="C32" s="11" t="s">
        <v>1417</v>
      </c>
      <c r="D32" s="11" t="s">
        <v>1418</v>
      </c>
      <c r="E32" s="11" t="s">
        <v>1419</v>
      </c>
    </row>
    <row r="33" customFormat="false" ht="30.75" hidden="false" customHeight="true" outlineLevel="0" collapsed="false">
      <c r="B33" s="12" t="s">
        <v>3785</v>
      </c>
      <c r="C33" s="12" t="s">
        <v>3786</v>
      </c>
      <c r="D33" s="12" t="s">
        <v>3787</v>
      </c>
      <c r="E33" s="12"/>
    </row>
    <row r="34" customFormat="false" ht="44.25" hidden="false" customHeight="true" outlineLevel="0" collapsed="false">
      <c r="B34" s="12" t="s">
        <v>3788</v>
      </c>
      <c r="C34" s="12" t="s">
        <v>3789</v>
      </c>
      <c r="D34" s="12" t="s">
        <v>3790</v>
      </c>
      <c r="E34" s="50" t="s">
        <v>970</v>
      </c>
    </row>
    <row r="35" customFormat="false" ht="30.75" hidden="false" customHeight="true" outlineLevel="0" collapsed="false">
      <c r="B35" s="12" t="s">
        <v>3791</v>
      </c>
      <c r="C35" s="12" t="s">
        <v>3792</v>
      </c>
      <c r="D35" s="12" t="s">
        <v>3793</v>
      </c>
      <c r="E35" s="50" t="s">
        <v>3794</v>
      </c>
    </row>
    <row r="37" customFormat="false" ht="15.75" hidden="false" customHeight="true" outlineLevel="0" collapsed="false">
      <c r="B37" s="7" t="s">
        <v>1429</v>
      </c>
      <c r="C37" s="8"/>
      <c r="D37" s="8"/>
      <c r="E37" s="8"/>
      <c r="F37" s="8"/>
      <c r="G37" s="8"/>
      <c r="H37" s="8"/>
      <c r="I37" s="8"/>
      <c r="J37" s="8"/>
      <c r="K37" s="8"/>
    </row>
    <row r="38" customFormat="false" ht="17.25" hidden="false" customHeight="true" outlineLevel="0" collapsed="false">
      <c r="B38" s="51" t="s">
        <v>3795</v>
      </c>
      <c r="C38" s="51"/>
      <c r="D38" s="51"/>
      <c r="E38" s="51"/>
      <c r="F38" s="51"/>
    </row>
    <row r="39" customFormat="false" ht="9" hidden="false" customHeight="true" outlineLevel="0" collapsed="false">
      <c r="B39" s="52" t="s">
        <v>3796</v>
      </c>
      <c r="C39" s="52"/>
      <c r="D39" s="52"/>
      <c r="E39" s="52"/>
      <c r="F39" s="52"/>
    </row>
    <row r="40" customFormat="false" ht="9" hidden="false" customHeight="true" outlineLevel="0" collapsed="false">
      <c r="B40" s="52"/>
      <c r="C40" s="52"/>
      <c r="D40" s="52"/>
      <c r="E40" s="52"/>
      <c r="F40" s="52"/>
    </row>
    <row r="41" customFormat="false" ht="9" hidden="false" customHeight="true" outlineLevel="0" collapsed="false">
      <c r="B41" s="52"/>
      <c r="C41" s="52"/>
      <c r="D41" s="52"/>
      <c r="E41" s="52"/>
      <c r="F41" s="52"/>
    </row>
    <row r="42" customFormat="false" ht="9" hidden="false" customHeight="true" outlineLevel="0" collapsed="false">
      <c r="B42" s="52"/>
      <c r="C42" s="52"/>
      <c r="D42" s="52"/>
      <c r="E42" s="52"/>
      <c r="F42" s="52"/>
    </row>
    <row r="43" customFormat="false" ht="9" hidden="false" customHeight="true" outlineLevel="0" collapsed="false">
      <c r="B43" s="52"/>
      <c r="C43" s="52"/>
      <c r="D43" s="52"/>
      <c r="E43" s="52"/>
      <c r="F43" s="52"/>
    </row>
    <row r="44" customFormat="false" ht="17.25" hidden="false" customHeight="true" outlineLevel="0" collapsed="false">
      <c r="B44" s="51" t="s">
        <v>3797</v>
      </c>
      <c r="C44" s="51"/>
      <c r="D44" s="51"/>
      <c r="E44" s="51"/>
      <c r="F44" s="51"/>
    </row>
    <row r="45" customFormat="false" ht="17.25" hidden="false" customHeight="true" outlineLevel="0" collapsed="false">
      <c r="B45" s="52" t="s">
        <v>3798</v>
      </c>
      <c r="C45" s="52"/>
      <c r="D45" s="52"/>
      <c r="E45" s="52"/>
      <c r="F45" s="52"/>
    </row>
    <row r="46" customFormat="false" ht="17.25" hidden="false" customHeight="true" outlineLevel="0" collapsed="false">
      <c r="B46" s="51" t="s">
        <v>3799</v>
      </c>
      <c r="C46" s="51"/>
      <c r="D46" s="51"/>
      <c r="E46" s="51"/>
      <c r="F46" s="51"/>
    </row>
    <row r="48" customFormat="false" ht="15.75" hidden="false" customHeight="true" outlineLevel="0" collapsed="false">
      <c r="B48" s="7" t="s">
        <v>1437</v>
      </c>
      <c r="C48" s="8"/>
      <c r="D48" s="8"/>
      <c r="E48" s="8"/>
      <c r="F48" s="8"/>
      <c r="G48" s="8"/>
      <c r="H48" s="8"/>
      <c r="I48" s="8"/>
      <c r="J48" s="8"/>
      <c r="K48" s="8"/>
    </row>
    <row r="49" customFormat="false" ht="16.5" hidden="false" customHeight="true" outlineLevel="0" collapsed="false">
      <c r="B49" s="11" t="s">
        <v>1438</v>
      </c>
      <c r="C49" s="11" t="s">
        <v>1439</v>
      </c>
      <c r="D49" s="11" t="s">
        <v>1440</v>
      </c>
    </row>
    <row r="50" customFormat="false" ht="30.75" hidden="false" customHeight="true" outlineLevel="0" collapsed="false">
      <c r="B50" s="12" t="s">
        <v>1562</v>
      </c>
      <c r="C50" s="12" t="s">
        <v>3800</v>
      </c>
      <c r="D50" s="12" t="s">
        <v>3801</v>
      </c>
    </row>
    <row r="51" customFormat="false" ht="30.75" hidden="false" customHeight="true" outlineLevel="0" collapsed="false">
      <c r="B51" s="12" t="s">
        <v>3680</v>
      </c>
      <c r="C51" s="12" t="s">
        <v>3802</v>
      </c>
      <c r="D51" s="12" t="s">
        <v>3803</v>
      </c>
    </row>
    <row r="52" customFormat="false" ht="30.75" hidden="false" customHeight="true" outlineLevel="0" collapsed="false">
      <c r="B52" s="12" t="s">
        <v>3677</v>
      </c>
      <c r="C52" s="12" t="s">
        <v>3804</v>
      </c>
      <c r="D52" s="12" t="s">
        <v>3805</v>
      </c>
    </row>
    <row r="53" customFormat="false" ht="30.75" hidden="false" customHeight="true" outlineLevel="0" collapsed="false">
      <c r="B53" s="12" t="s">
        <v>3806</v>
      </c>
      <c r="C53" s="12" t="s">
        <v>3683</v>
      </c>
      <c r="D53" s="12" t="s">
        <v>3807</v>
      </c>
    </row>
    <row r="54" customFormat="false" ht="30.75" hidden="false" customHeight="true" outlineLevel="0" collapsed="false">
      <c r="B54" s="12" t="s">
        <v>1568</v>
      </c>
      <c r="C54" s="12" t="s">
        <v>1569</v>
      </c>
      <c r="D54" s="12" t="s">
        <v>3808</v>
      </c>
    </row>
    <row r="55" customFormat="false" ht="28.5" hidden="false" customHeight="true" outlineLevel="0" collapsed="false">
      <c r="B55" s="16" t="s">
        <v>1453</v>
      </c>
      <c r="C55" s="16"/>
      <c r="D55" s="16"/>
      <c r="E55" s="16"/>
      <c r="F55" s="16"/>
    </row>
    <row r="57" customFormat="false" ht="15.75" hidden="false" customHeight="true" outlineLevel="0" collapsed="false">
      <c r="B57" s="7" t="s">
        <v>1454</v>
      </c>
      <c r="C57" s="8"/>
      <c r="D57" s="8"/>
      <c r="E57" s="8"/>
      <c r="F57" s="8"/>
      <c r="G57" s="8"/>
      <c r="H57" s="8"/>
      <c r="I57" s="8"/>
      <c r="J57" s="8"/>
      <c r="K57" s="8"/>
    </row>
    <row r="58" customFormat="false" ht="15.75" hidden="false" customHeight="true" outlineLevel="0" collapsed="false">
      <c r="B58" s="9" t="s">
        <v>3809</v>
      </c>
      <c r="C58" s="9"/>
      <c r="D58" s="9"/>
      <c r="E58" s="9"/>
      <c r="F58" s="9"/>
    </row>
    <row r="59" customFormat="false" ht="15.75" hidden="false" customHeight="true" outlineLevel="0" collapsed="false">
      <c r="B59" s="9"/>
      <c r="C59" s="9"/>
      <c r="D59" s="9"/>
      <c r="E59" s="9"/>
      <c r="F59" s="9"/>
    </row>
    <row r="60" customFormat="false" ht="15" hidden="false" customHeight="true" outlineLevel="0" collapsed="false">
      <c r="B60" s="19" t="s">
        <v>85</v>
      </c>
      <c r="C60" s="41" t="s">
        <v>86</v>
      </c>
    </row>
    <row r="62" customFormat="false" ht="16.5" hidden="false" customHeight="true" outlineLevel="0" collapsed="false">
      <c r="C62" s="11" t="s">
        <v>3810</v>
      </c>
      <c r="D62" s="11" t="s">
        <v>3811</v>
      </c>
      <c r="E62" s="11" t="s">
        <v>3812</v>
      </c>
      <c r="F62" s="11" t="s">
        <v>3813</v>
      </c>
      <c r="G62" s="11" t="s">
        <v>3814</v>
      </c>
      <c r="H62" s="11" t="s">
        <v>3815</v>
      </c>
    </row>
    <row r="63" customFormat="false" ht="15" hidden="false" customHeight="true" outlineLevel="0" collapsed="false">
      <c r="C63" s="61" t="n">
        <v>499.98</v>
      </c>
      <c r="D63" s="61" t="n">
        <v>500.11</v>
      </c>
      <c r="E63" s="61" t="n">
        <v>500.07</v>
      </c>
      <c r="F63" s="61" t="n">
        <v>500.53</v>
      </c>
      <c r="G63" s="61" t="n">
        <v>501.51</v>
      </c>
      <c r="H63" s="61" t="n">
        <v>501.83</v>
      </c>
    </row>
    <row r="64" customFormat="false" ht="15" hidden="false" customHeight="true" outlineLevel="0" collapsed="false">
      <c r="C64" s="61" t="n">
        <v>500.26</v>
      </c>
      <c r="D64" s="61" t="n">
        <v>500.88</v>
      </c>
      <c r="E64" s="61" t="n">
        <v>499.55</v>
      </c>
      <c r="F64" s="61" t="n">
        <v>500.33</v>
      </c>
      <c r="G64" s="61" t="n">
        <v>500.66</v>
      </c>
      <c r="H64" s="61" t="n">
        <v>501.43</v>
      </c>
    </row>
    <row r="65" customFormat="false" ht="15" hidden="false" customHeight="true" outlineLevel="0" collapsed="false">
      <c r="C65" s="61" t="n">
        <v>500.32</v>
      </c>
      <c r="D65" s="61" t="n">
        <v>500.11</v>
      </c>
      <c r="E65" s="61" t="n">
        <v>499.47</v>
      </c>
      <c r="F65" s="61" t="n">
        <v>501.23</v>
      </c>
      <c r="G65" s="61" t="n">
        <v>501.44</v>
      </c>
      <c r="H65" s="61" t="n">
        <v>502.39</v>
      </c>
    </row>
    <row r="66" customFormat="false" ht="15" hidden="false" customHeight="true" outlineLevel="0" collapsed="false">
      <c r="C66" s="61" t="n">
        <v>499.44</v>
      </c>
      <c r="D66" s="61" t="n">
        <v>500.7</v>
      </c>
      <c r="E66" s="61" t="n">
        <v>499.1</v>
      </c>
      <c r="F66" s="61" t="n">
        <v>500.91</v>
      </c>
      <c r="G66" s="61" t="n">
        <v>500.98</v>
      </c>
      <c r="H66" s="61" t="n">
        <v>501.74</v>
      </c>
    </row>
    <row r="67" customFormat="false" ht="15.75" hidden="false" customHeight="true" outlineLevel="0" collapsed="false">
      <c r="B67" s="16" t="s">
        <v>3816</v>
      </c>
      <c r="C67" s="16"/>
      <c r="D67" s="16"/>
      <c r="E67" s="16"/>
      <c r="F67" s="16"/>
    </row>
    <row r="69" customFormat="false" ht="15" hidden="false" customHeight="true" outlineLevel="0" collapsed="false">
      <c r="B69" s="10" t="s">
        <v>2228</v>
      </c>
      <c r="C69" s="75" t="n">
        <v>0.05</v>
      </c>
    </row>
    <row r="71" customFormat="false" ht="15.75" hidden="false" customHeight="true" outlineLevel="0" collapsed="false">
      <c r="B71" s="7" t="s">
        <v>3817</v>
      </c>
      <c r="C71" s="8"/>
      <c r="D71" s="8"/>
      <c r="E71" s="8"/>
      <c r="F71" s="8"/>
      <c r="G71" s="8"/>
      <c r="H71" s="8"/>
      <c r="I71" s="8"/>
      <c r="J71" s="8"/>
      <c r="K71" s="8"/>
    </row>
    <row r="72" customFormat="false" ht="17.25" hidden="false" customHeight="true" outlineLevel="0" collapsed="false">
      <c r="B72" s="11"/>
      <c r="C72" s="11" t="s">
        <v>3818</v>
      </c>
      <c r="D72" s="11" t="s">
        <v>3819</v>
      </c>
      <c r="E72" s="11" t="s">
        <v>3820</v>
      </c>
      <c r="F72" s="11" t="s">
        <v>3821</v>
      </c>
      <c r="G72" s="11"/>
    </row>
    <row r="73" customFormat="false" ht="17.25" hidden="false" customHeight="true" outlineLevel="0" collapsed="false">
      <c r="B73" s="78" t="s">
        <v>3693</v>
      </c>
      <c r="C73" s="66" t="n">
        <f aca="false">AVERAGE($C$63:$C$66)</f>
        <v>500</v>
      </c>
      <c r="D73" s="66" t="n">
        <f aca="false">AVERAGE($D$63:$D$66)</f>
        <v>500.45</v>
      </c>
      <c r="E73" s="66" t="n">
        <f aca="false">AVERAGE($E$63:$E$66)</f>
        <v>499.5475</v>
      </c>
      <c r="F73" s="92" t="n">
        <f aca="false">AVERAGE($C$63:$E$66)</f>
        <v>499.999166666667</v>
      </c>
      <c r="G73" s="92"/>
    </row>
    <row r="74" customFormat="false" ht="17.25" hidden="false" customHeight="true" outlineLevel="0" collapsed="false">
      <c r="B74" s="78" t="s">
        <v>3695</v>
      </c>
      <c r="C74" s="66" t="n">
        <f aca="false">AVERAGE($F$63:$F$66)</f>
        <v>500.75</v>
      </c>
      <c r="D74" s="66" t="n">
        <f aca="false">AVERAGE($G$63:$G$66)</f>
        <v>501.1475</v>
      </c>
      <c r="E74" s="66" t="n">
        <f aca="false">AVERAGE($H$63:$H$66)</f>
        <v>501.8475</v>
      </c>
      <c r="F74" s="92" t="n">
        <f aca="false">AVERAGE($F$63:$H$66)</f>
        <v>501.248333333333</v>
      </c>
      <c r="G74" s="92"/>
    </row>
    <row r="75" customFormat="false" ht="17.25" hidden="false" customHeight="true" outlineLevel="0" collapsed="false">
      <c r="B75" s="78" t="s">
        <v>3822</v>
      </c>
      <c r="C75" s="66" t="n">
        <f aca="false">AVERAGE($C$63:$C$66,$F$63:$F$66)</f>
        <v>500.375</v>
      </c>
      <c r="D75" s="66" t="n">
        <f aca="false">AVERAGE($D$63:$D$66,$G$63:$G$66)</f>
        <v>500.79875</v>
      </c>
      <c r="E75" s="66" t="n">
        <f aca="false">AVERAGE($E$63:$E$66,$H$63:$H$66)</f>
        <v>500.6975</v>
      </c>
      <c r="F75" s="92" t="n">
        <f aca="false">AVERAGE($C$63:$H$66)</f>
        <v>500.62375</v>
      </c>
      <c r="G75" s="92"/>
    </row>
    <row r="77" customFormat="false" ht="15" hidden="false" customHeight="true" outlineLevel="0" collapsed="false">
      <c r="B77" s="10" t="s">
        <v>3823</v>
      </c>
      <c r="C77" s="65" t="n">
        <v>2</v>
      </c>
    </row>
    <row r="78" customFormat="false" ht="15" hidden="false" customHeight="true" outlineLevel="0" collapsed="false">
      <c r="B78" s="10" t="s">
        <v>3824</v>
      </c>
      <c r="C78" s="65" t="n">
        <v>3</v>
      </c>
    </row>
    <row r="79" customFormat="false" ht="15" hidden="false" customHeight="true" outlineLevel="0" collapsed="false">
      <c r="B79" s="10" t="s">
        <v>3825</v>
      </c>
      <c r="C79" s="44" t="n">
        <f aca="false">COUNT($C$63:$C$66)</f>
        <v>4</v>
      </c>
    </row>
    <row r="80" customFormat="false" ht="15" hidden="false" customHeight="true" outlineLevel="0" collapsed="false">
      <c r="B80" s="10" t="s">
        <v>3826</v>
      </c>
      <c r="C80" s="44" t="n">
        <f aca="false">COUNT($C$63:$H$66)</f>
        <v>24</v>
      </c>
    </row>
    <row r="82" customFormat="false" ht="15.75" hidden="false" customHeight="true" outlineLevel="0" collapsed="false">
      <c r="B82" s="7" t="s">
        <v>3827</v>
      </c>
      <c r="C82" s="8"/>
      <c r="D82" s="8"/>
      <c r="E82" s="8"/>
      <c r="F82" s="8"/>
      <c r="G82" s="8"/>
      <c r="H82" s="8"/>
      <c r="I82" s="8"/>
      <c r="J82" s="8"/>
      <c r="K82" s="8"/>
    </row>
    <row r="83" customFormat="false" ht="16.5" hidden="false" customHeight="true" outlineLevel="0" collapsed="false">
      <c r="B83" s="11" t="s">
        <v>3704</v>
      </c>
      <c r="C83" s="11" t="s">
        <v>3705</v>
      </c>
      <c r="D83" s="11" t="s">
        <v>2244</v>
      </c>
      <c r="E83" s="11" t="s">
        <v>3706</v>
      </c>
      <c r="F83" s="11" t="s">
        <v>2257</v>
      </c>
      <c r="G83" s="11" t="s">
        <v>3007</v>
      </c>
    </row>
    <row r="84" customFormat="false" ht="15" hidden="false" customHeight="true" outlineLevel="0" collapsed="false">
      <c r="B84" s="78" t="s">
        <v>3828</v>
      </c>
      <c r="C84" s="66" t="n">
        <f aca="false">C78*C79*((F73-F75)^2+(F74-F75)^2)</f>
        <v>9.36250416666583</v>
      </c>
      <c r="D84" s="44" t="n">
        <f aca="false">C77-1</f>
        <v>1</v>
      </c>
      <c r="E84" s="66" t="n">
        <f aca="false">C84/D84</f>
        <v>9.36250416666583</v>
      </c>
      <c r="F84" s="66" t="n">
        <f aca="false">IFERROR(E84/E87,0)</f>
        <v>58.3975379657427</v>
      </c>
      <c r="G84" s="77" t="n">
        <f aca="false">FDIST(F84,D84,D87)</f>
        <v>4.67604971717304E-007</v>
      </c>
    </row>
    <row r="85" customFormat="false" ht="15" hidden="false" customHeight="true" outlineLevel="0" collapsed="false">
      <c r="B85" s="78" t="s">
        <v>3829</v>
      </c>
      <c r="C85" s="66" t="n">
        <f aca="false">C77*C79*SUMPRODUCT(($C$75:$E$75-F75)^2)</f>
        <v>0.783524999999945</v>
      </c>
      <c r="D85" s="44" t="n">
        <f aca="false">C78-1</f>
        <v>2</v>
      </c>
      <c r="E85" s="66" t="n">
        <f aca="false">C85/D85</f>
        <v>0.391762499999972</v>
      </c>
      <c r="F85" s="66" t="n">
        <f aca="false">IFERROR(E85/E87,0)</f>
        <v>2.44357332825091</v>
      </c>
      <c r="G85" s="77" t="n">
        <f aca="false">FDIST(F85,D85,D87)</f>
        <v>0.115113874973359</v>
      </c>
    </row>
    <row r="86" customFormat="false" ht="15" hidden="false" customHeight="true" outlineLevel="0" collapsed="false">
      <c r="B86" s="78" t="s">
        <v>3830</v>
      </c>
      <c r="C86" s="66" t="n">
        <f aca="false">C79*((C73-F73-C75+F75)^2+(D73-F73-D75+F75)^2+(E73-F73-E75+F75)^2+(C74-F74-C75+F75)^2+(D74-F74-D75+F75)^2+(E74-F74-E75+F75)^2)</f>
        <v>3.31550833333304</v>
      </c>
      <c r="D86" s="44" t="n">
        <f aca="false">(C77-1)*(C78-1)</f>
        <v>2</v>
      </c>
      <c r="E86" s="66" t="n">
        <f aca="false">C86/D86</f>
        <v>1.65775416666652</v>
      </c>
      <c r="F86" s="66" t="n">
        <f aca="false">IFERROR(E86/E87,0)</f>
        <v>10.3400500723357</v>
      </c>
      <c r="G86" s="77" t="n">
        <f aca="false">FDIST(F86,D86,D87)</f>
        <v>0.00102344436117853</v>
      </c>
    </row>
    <row r="87" customFormat="false" ht="15" hidden="false" customHeight="true" outlineLevel="0" collapsed="false">
      <c r="B87" s="78" t="s">
        <v>3831</v>
      </c>
      <c r="C87" s="66" t="n">
        <f aca="false">DEVSQ($C$63:$C$66)+DEVSQ($D$63:$D$66)+DEVSQ($E$63:$E$66)+DEVSQ($F$63:$F$66)+DEVSQ($G$63:$G$66)+DEVSQ($H$63:$H$66)</f>
        <v>2.88582499999992</v>
      </c>
      <c r="D87" s="44" t="n">
        <f aca="false">C77*C78*(C79-1)</f>
        <v>18</v>
      </c>
      <c r="E87" s="66" t="n">
        <f aca="false">C87/D87</f>
        <v>0.160323611111107</v>
      </c>
    </row>
    <row r="88" customFormat="false" ht="15" hidden="false" customHeight="true" outlineLevel="0" collapsed="false">
      <c r="B88" s="78" t="s">
        <v>3709</v>
      </c>
      <c r="C88" s="66" t="n">
        <f aca="false">C84+C85+C86+C87</f>
        <v>16.3473624999987</v>
      </c>
      <c r="D88" s="44" t="n">
        <f aca="false">C80-1</f>
        <v>23</v>
      </c>
    </row>
    <row r="89" customFormat="false" ht="15" hidden="false" customHeight="true" outlineLevel="0" collapsed="false">
      <c r="B89" s="90" t="s">
        <v>3710</v>
      </c>
      <c r="C89" s="66" t="n">
        <f aca="false">DEVSQ($C$63:$H$66)</f>
        <v>16.3473624999998</v>
      </c>
    </row>
    <row r="91" customFormat="false" ht="15" hidden="false" customHeight="true" outlineLevel="0" collapsed="false">
      <c r="B91" s="10" t="s">
        <v>3832</v>
      </c>
      <c r="C91" s="76" t="n">
        <f aca="false">IFERROR(C84/(C84+C85+C86+C87),0)</f>
        <v>0.57272261300051</v>
      </c>
    </row>
    <row r="92" customFormat="false" ht="15" hidden="false" customHeight="true" outlineLevel="0" collapsed="false">
      <c r="B92" s="10" t="s">
        <v>3833</v>
      </c>
      <c r="C92" s="76" t="n">
        <f aca="false">IFERROR(C85/(C84+C85+C86+C87),0)</f>
        <v>0.0479297501355344</v>
      </c>
    </row>
    <row r="93" customFormat="false" ht="15" hidden="false" customHeight="true" outlineLevel="0" collapsed="false">
      <c r="B93" s="10" t="s">
        <v>3834</v>
      </c>
      <c r="C93" s="76" t="n">
        <f aca="false">IFERROR(C86/(C84+C85+C86+C87),0)</f>
        <v>0.202816101578055</v>
      </c>
    </row>
    <row r="95" customFormat="false" ht="15.75" hidden="false" customHeight="true" outlineLevel="0" collapsed="false">
      <c r="B95" s="7" t="s">
        <v>1493</v>
      </c>
      <c r="C95" s="8"/>
      <c r="D95" s="8"/>
      <c r="E95" s="8"/>
      <c r="F95" s="8"/>
      <c r="G95" s="8"/>
      <c r="H95" s="8"/>
      <c r="I95" s="8"/>
      <c r="J95" s="8"/>
      <c r="K95" s="8"/>
    </row>
    <row r="96" customFormat="false" ht="49.5" hidden="false" customHeight="true" outlineLevel="0" collapsed="false">
      <c r="B96" s="53" t="s">
        <v>1494</v>
      </c>
      <c r="C96" s="54" t="str">
        <f aca="false">IF(G86&lt;C69,"INTERACTION IS SIGNIFICANT (p = "&amp;TEXT(G86,"0.0000")&amp;") - do NOT interpret the main effects on their own. The effect of shift depends on the valve group; read the cell mean table row by row and act on the specific combination.",IF(AND(G84&lt;C69,G85&lt;C69),"BOTH MAIN EFFECTS SIGNIFICANT, no interaction - shift and valve group each shift the mean independently and their effects simply add.",IF(G84&lt;C69,"SHIFT MATTERS, valve group does not, and there is no interaction.",IF(G85&lt;C69,"VALVE GROUP MATTERS, shift does not, and there is no interaction.","NO SIGNIFICANT EFFECTS - neither factor nor their combination explains the variation. Check the power on E-19 and look elsewhere, for example a multi-vari study on E-40."))))</f>
        <v>INTERACTION IS SIGNIFICANT (p = 0.0010) - do NOT interpret the main effects on their own. The effect of shift depends on the valve group; read the cell mean table row by row and act on the specific combination.</v>
      </c>
      <c r="D96" s="54"/>
      <c r="E96" s="54"/>
      <c r="F96" s="54"/>
    </row>
    <row r="98" customFormat="false" ht="16.5" hidden="false" customHeight="true" outlineLevel="0" collapsed="false">
      <c r="B98" s="11" t="s">
        <v>1495</v>
      </c>
      <c r="C98" s="11" t="s">
        <v>1496</v>
      </c>
      <c r="D98" s="11" t="s">
        <v>1497</v>
      </c>
    </row>
    <row r="99" customFormat="false" ht="30.75" hidden="false" customHeight="true" outlineLevel="0" collapsed="false">
      <c r="B99" s="12" t="s">
        <v>3835</v>
      </c>
      <c r="C99" s="12" t="s">
        <v>3836</v>
      </c>
      <c r="D99" s="12" t="s">
        <v>3837</v>
      </c>
    </row>
    <row r="100" customFormat="false" ht="30.75" hidden="false" customHeight="true" outlineLevel="0" collapsed="false">
      <c r="B100" s="12" t="s">
        <v>3838</v>
      </c>
      <c r="C100" s="12" t="s">
        <v>3839</v>
      </c>
      <c r="D100" s="12" t="s">
        <v>3840</v>
      </c>
    </row>
    <row r="101" customFormat="false" ht="30.75" hidden="false" customHeight="true" outlineLevel="0" collapsed="false">
      <c r="B101" s="12" t="s">
        <v>3841</v>
      </c>
      <c r="C101" s="12" t="s">
        <v>3842</v>
      </c>
      <c r="D101" s="12" t="s">
        <v>3843</v>
      </c>
    </row>
    <row r="102" customFormat="false" ht="30.75" hidden="false" customHeight="true" outlineLevel="0" collapsed="false">
      <c r="B102" s="12" t="s">
        <v>3844</v>
      </c>
      <c r="C102" s="12" t="s">
        <v>3845</v>
      </c>
      <c r="D102" s="12" t="s">
        <v>3846</v>
      </c>
    </row>
    <row r="104" customFormat="false" ht="15" hidden="false" customHeight="true" outlineLevel="0" collapsed="false">
      <c r="B104" s="55" t="s">
        <v>1507</v>
      </c>
    </row>
    <row r="105" customFormat="false" ht="31.5" hidden="false" customHeight="true" outlineLevel="0" collapsed="false">
      <c r="B105" s="9" t="s">
        <v>3847</v>
      </c>
      <c r="C105" s="9"/>
      <c r="D105" s="9"/>
      <c r="E105" s="9"/>
      <c r="F105" s="9"/>
    </row>
    <row r="106" customFormat="false" ht="17.25" hidden="false" customHeight="true" outlineLevel="0" collapsed="false">
      <c r="B106" s="9" t="s">
        <v>3848</v>
      </c>
      <c r="C106" s="9"/>
      <c r="D106" s="9"/>
      <c r="E106" s="9"/>
      <c r="F106" s="9"/>
    </row>
    <row r="107" customFormat="false" ht="17.25" hidden="false" customHeight="true" outlineLevel="0" collapsed="false">
      <c r="B107" s="9" t="s">
        <v>3849</v>
      </c>
      <c r="C107" s="9"/>
      <c r="D107" s="9"/>
      <c r="E107" s="9"/>
      <c r="F107" s="9"/>
    </row>
    <row r="108" customFormat="false" ht="17.25" hidden="false" customHeight="true" outlineLevel="0" collapsed="false">
      <c r="B108" s="9" t="s">
        <v>3850</v>
      </c>
      <c r="C108" s="9"/>
      <c r="D108" s="9"/>
      <c r="E108" s="9"/>
      <c r="F108" s="9"/>
    </row>
    <row r="109" customFormat="false" ht="17.25" hidden="false" customHeight="true" outlineLevel="0" collapsed="false">
      <c r="B109" s="9" t="s">
        <v>3851</v>
      </c>
      <c r="C109" s="9"/>
      <c r="D109" s="9"/>
      <c r="E109" s="9"/>
      <c r="F109" s="9"/>
    </row>
    <row r="111" customFormat="false" ht="15.75" hidden="false" customHeight="true" outlineLevel="0" collapsed="false">
      <c r="B111" s="7" t="s">
        <v>1513</v>
      </c>
      <c r="C111" s="8"/>
      <c r="D111" s="8"/>
      <c r="E111" s="8"/>
      <c r="F111" s="8"/>
      <c r="G111" s="8"/>
      <c r="H111" s="8"/>
      <c r="I111" s="8"/>
      <c r="J111" s="8"/>
      <c r="K111" s="8"/>
    </row>
    <row r="112" customFormat="false" ht="17.25" hidden="false" customHeight="true" outlineLevel="0" collapsed="false">
      <c r="B112" s="9" t="s">
        <v>1514</v>
      </c>
      <c r="C112" s="9"/>
      <c r="D112" s="9"/>
      <c r="E112" s="9"/>
      <c r="N112" s="56" t="s">
        <v>1515</v>
      </c>
    </row>
    <row r="113" customFormat="false" ht="17.25" hidden="false" customHeight="true" outlineLevel="0" collapsed="false">
      <c r="B113" s="9" t="s">
        <v>3852</v>
      </c>
      <c r="C113" s="9"/>
      <c r="D113" s="9"/>
      <c r="E113" s="9"/>
      <c r="N113" s="57" t="s">
        <v>3853</v>
      </c>
    </row>
    <row r="114" customFormat="false" ht="17.25" hidden="false" customHeight="true" outlineLevel="0" collapsed="false">
      <c r="B114" s="9" t="s">
        <v>3854</v>
      </c>
      <c r="C114" s="9"/>
      <c r="D114" s="9"/>
      <c r="E114" s="9"/>
      <c r="N114" s="57" t="s">
        <v>3855</v>
      </c>
    </row>
    <row r="115" customFormat="false" ht="17.25" hidden="false" customHeight="true" outlineLevel="0" collapsed="false">
      <c r="B115" s="9" t="s">
        <v>3856</v>
      </c>
      <c r="C115" s="9"/>
      <c r="D115" s="9"/>
      <c r="E115" s="9"/>
      <c r="N115" s="57" t="s">
        <v>3857</v>
      </c>
    </row>
    <row r="117" customFormat="false" ht="15.75" hidden="false" customHeight="true" outlineLevel="0" collapsed="false">
      <c r="B117" s="7" t="s">
        <v>1522</v>
      </c>
      <c r="C117" s="8"/>
      <c r="D117" s="8"/>
      <c r="E117" s="8"/>
      <c r="F117" s="8"/>
      <c r="G117" s="8"/>
      <c r="H117" s="8"/>
      <c r="I117" s="8"/>
      <c r="J117" s="8"/>
      <c r="K117" s="8"/>
    </row>
    <row r="118" customFormat="false" ht="16.5" hidden="false" customHeight="true" outlineLevel="0" collapsed="false">
      <c r="B118" s="11" t="s">
        <v>1523</v>
      </c>
      <c r="C118" s="11" t="s">
        <v>1524</v>
      </c>
      <c r="D118" s="11" t="s">
        <v>3858</v>
      </c>
    </row>
    <row r="119" customFormat="false" ht="30.75" hidden="false" customHeight="true" outlineLevel="0" collapsed="false">
      <c r="B119" s="58" t="s">
        <v>1037</v>
      </c>
      <c r="C119" s="58" t="s">
        <v>967</v>
      </c>
      <c r="D119" s="58" t="s">
        <v>1039</v>
      </c>
    </row>
  </sheetData>
  <mergeCells count="42">
    <mergeCell ref="B2:J2"/>
    <mergeCell ref="D3:F3"/>
    <mergeCell ref="C6:D6"/>
    <mergeCell ref="C7:D7"/>
    <mergeCell ref="C8:D8"/>
    <mergeCell ref="B11:F11"/>
    <mergeCell ref="B12:F12"/>
    <mergeCell ref="B13:F14"/>
    <mergeCell ref="B15:F18"/>
    <mergeCell ref="B19:F21"/>
    <mergeCell ref="B22:F23"/>
    <mergeCell ref="B26:D26"/>
    <mergeCell ref="E26:F26"/>
    <mergeCell ref="B27:D27"/>
    <mergeCell ref="E27:F27"/>
    <mergeCell ref="B28:D28"/>
    <mergeCell ref="E28:F28"/>
    <mergeCell ref="B29:D29"/>
    <mergeCell ref="E29:F29"/>
    <mergeCell ref="B30:F30"/>
    <mergeCell ref="B38:F38"/>
    <mergeCell ref="B39:F43"/>
    <mergeCell ref="B44:F44"/>
    <mergeCell ref="B45:F45"/>
    <mergeCell ref="B46:F46"/>
    <mergeCell ref="B55:F55"/>
    <mergeCell ref="B58:F59"/>
    <mergeCell ref="B67:F67"/>
    <mergeCell ref="F72:G72"/>
    <mergeCell ref="F73:G73"/>
    <mergeCell ref="F74:G74"/>
    <mergeCell ref="F75:G75"/>
    <mergeCell ref="C96:F96"/>
    <mergeCell ref="B105:F105"/>
    <mergeCell ref="B106:F106"/>
    <mergeCell ref="B107:F107"/>
    <mergeCell ref="B108:F108"/>
    <mergeCell ref="B109:F109"/>
    <mergeCell ref="B112:E112"/>
    <mergeCell ref="B113:E113"/>
    <mergeCell ref="B114:E114"/>
    <mergeCell ref="B115:E115"/>
  </mergeCells>
  <hyperlinks>
    <hyperlink ref="B3" location="'N-03 Index DMAIC'!A1" display="← Back to Index"/>
    <hyperlink ref="E34" location="'E-33 When Assumptions Fail'!A1" display="E-33  When Assumptions Fail: Transformations and Alternatives"/>
    <hyperlink ref="E35" location="'E-41 DOE Fundamentals'!A1" display="E-41  DOE Fundamentals and Terminology"/>
    <hyperlink ref="B119" location="'E-26 One-Way ANOVA'!A1" display="E-26  One-Way ANOVA with Tukey HSD"/>
    <hyperlink ref="C119" location="'E-28 Variance Tests'!A1" display="E-28  Tests for Variance: F, Levene, Bartlett"/>
    <hyperlink ref="D119" location="'E-42 Full Factorial'!A1" display="E-42  Full Factorial Designs (2^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3859</v>
      </c>
      <c r="C2" s="3"/>
      <c r="D2" s="3"/>
      <c r="E2" s="3"/>
      <c r="F2" s="3"/>
      <c r="G2" s="3"/>
      <c r="H2" s="3"/>
      <c r="I2" s="3"/>
      <c r="J2" s="3"/>
      <c r="K2" s="80" t="s">
        <v>2864</v>
      </c>
    </row>
    <row r="3" customFormat="false" ht="28.5" hidden="false" customHeight="true" outlineLevel="0" collapsed="false">
      <c r="B3" s="5" t="s">
        <v>3</v>
      </c>
      <c r="D3" s="6" t="s">
        <v>3860</v>
      </c>
      <c r="E3" s="6"/>
      <c r="F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429</v>
      </c>
      <c r="D6" s="9"/>
    </row>
    <row r="7" customFormat="false" ht="17.25" hidden="false" customHeight="true" outlineLevel="0" collapsed="false">
      <c r="B7" s="47" t="s">
        <v>1394</v>
      </c>
      <c r="C7" s="9" t="s">
        <v>3861</v>
      </c>
      <c r="D7" s="9"/>
    </row>
    <row r="8" customFormat="false" ht="31.5" hidden="false" customHeight="true" outlineLevel="0" collapsed="false">
      <c r="B8" s="47" t="s">
        <v>1396</v>
      </c>
      <c r="C8" s="9" t="s">
        <v>3862</v>
      </c>
      <c r="D8" s="9"/>
    </row>
    <row r="10" customFormat="false" ht="15.75" hidden="false" customHeight="true" outlineLevel="0" collapsed="false">
      <c r="B10" s="7" t="s">
        <v>1398</v>
      </c>
      <c r="C10" s="8"/>
      <c r="D10" s="8"/>
      <c r="E10" s="8"/>
      <c r="F10" s="8"/>
      <c r="G10" s="8"/>
      <c r="H10" s="8"/>
      <c r="I10" s="8"/>
      <c r="J10" s="8"/>
      <c r="K10" s="8"/>
    </row>
    <row r="11" customFormat="false" ht="15.75" hidden="false" customHeight="true" outlineLevel="0" collapsed="false">
      <c r="B11" s="9" t="s">
        <v>3863</v>
      </c>
      <c r="C11" s="9"/>
      <c r="D11" s="9"/>
      <c r="E11" s="9"/>
      <c r="F11" s="9"/>
    </row>
    <row r="12" customFormat="false" ht="15.75" hidden="false" customHeight="true" outlineLevel="0" collapsed="false">
      <c r="B12" s="9"/>
      <c r="C12" s="9"/>
      <c r="D12" s="9"/>
      <c r="E12" s="9"/>
      <c r="F12" s="9"/>
    </row>
    <row r="13" customFormat="false" ht="17.25" hidden="false" customHeight="true" outlineLevel="0" collapsed="false">
      <c r="B13" s="9" t="s">
        <v>3864</v>
      </c>
      <c r="C13" s="9"/>
      <c r="D13" s="9"/>
      <c r="E13" s="9"/>
      <c r="F13" s="9"/>
    </row>
    <row r="14" customFormat="false" ht="17.25" hidden="false" customHeight="true" outlineLevel="0" collapsed="false">
      <c r="B14" s="9" t="s">
        <v>3865</v>
      </c>
      <c r="C14" s="9"/>
      <c r="D14" s="9"/>
      <c r="E14" s="9"/>
      <c r="F14" s="9"/>
    </row>
    <row r="15" customFormat="false" ht="17.25" hidden="false" customHeight="true" outlineLevel="0" collapsed="false">
      <c r="B15" s="9" t="s">
        <v>3866</v>
      </c>
      <c r="C15" s="9"/>
      <c r="D15" s="9"/>
      <c r="E15" s="9"/>
      <c r="F15" s="9"/>
    </row>
    <row r="16" customFormat="false" ht="8.25" hidden="false" customHeight="true" outlineLevel="0" collapsed="false">
      <c r="B16" s="9" t="s">
        <v>3867</v>
      </c>
      <c r="C16" s="9"/>
      <c r="D16" s="9"/>
      <c r="E16" s="9"/>
      <c r="F16" s="9"/>
    </row>
    <row r="17" customFormat="false" ht="8.25" hidden="false" customHeight="true" outlineLevel="0" collapsed="false">
      <c r="B17" s="9"/>
      <c r="C17" s="9"/>
      <c r="D17" s="9"/>
      <c r="E17" s="9"/>
      <c r="F17" s="9"/>
    </row>
    <row r="18" customFormat="false" ht="8.25" hidden="false" customHeight="true" outlineLevel="0" collapsed="false">
      <c r="B18" s="9" t="s">
        <v>3868</v>
      </c>
      <c r="C18" s="9"/>
      <c r="D18" s="9"/>
      <c r="E18" s="9"/>
      <c r="F18" s="9"/>
    </row>
    <row r="19" customFormat="false" ht="8.25" hidden="false" customHeight="true" outlineLevel="0" collapsed="false">
      <c r="B19" s="9"/>
      <c r="C19" s="9"/>
      <c r="D19" s="9"/>
      <c r="E19" s="9"/>
      <c r="F19" s="9"/>
    </row>
    <row r="20" customFormat="false" ht="15" hidden="false" customHeight="true" outlineLevel="0" collapsed="false">
      <c r="B20" s="9" t="s">
        <v>3869</v>
      </c>
      <c r="C20" s="9"/>
      <c r="D20" s="9"/>
      <c r="E20" s="9"/>
      <c r="F20" s="9"/>
    </row>
    <row r="21" customFormat="false" ht="15" hidden="false" customHeight="true" outlineLevel="0" collapsed="false">
      <c r="B21" s="9"/>
      <c r="C21" s="9"/>
      <c r="D21" s="9"/>
      <c r="E21" s="9"/>
      <c r="F21" s="9"/>
    </row>
    <row r="22" customFormat="false" ht="15" hidden="false" customHeight="true" outlineLevel="0" collapsed="false">
      <c r="B22" s="9"/>
      <c r="C22" s="9"/>
      <c r="D22" s="9"/>
      <c r="E22" s="9"/>
      <c r="F22" s="9"/>
    </row>
    <row r="24" customFormat="false" ht="15.75" hidden="false" customHeight="true" outlineLevel="0" collapsed="false">
      <c r="B24" s="7" t="s">
        <v>1406</v>
      </c>
      <c r="C24" s="8"/>
      <c r="D24" s="8"/>
      <c r="E24" s="8"/>
      <c r="F24" s="8"/>
      <c r="G24" s="8"/>
      <c r="H24" s="8"/>
      <c r="I24" s="8"/>
      <c r="J24" s="8"/>
      <c r="K24" s="8"/>
    </row>
    <row r="25" customFormat="false" ht="17.25" hidden="false" customHeight="true" outlineLevel="0" collapsed="false">
      <c r="B25" s="48" t="s">
        <v>1407</v>
      </c>
      <c r="C25" s="48"/>
      <c r="D25" s="48"/>
      <c r="E25" s="49" t="s">
        <v>1408</v>
      </c>
      <c r="F25" s="49"/>
    </row>
    <row r="26" customFormat="false" ht="31.5" hidden="false" customHeight="true" outlineLevel="0" collapsed="false">
      <c r="B26" s="23" t="s">
        <v>3870</v>
      </c>
      <c r="C26" s="23"/>
      <c r="D26" s="23"/>
      <c r="E26" s="23" t="s">
        <v>3871</v>
      </c>
      <c r="F26" s="23"/>
    </row>
    <row r="27" customFormat="false" ht="31.5" hidden="false" customHeight="true" outlineLevel="0" collapsed="false">
      <c r="B27" s="23" t="s">
        <v>3872</v>
      </c>
      <c r="C27" s="23"/>
      <c r="D27" s="23"/>
      <c r="E27" s="23" t="s">
        <v>3873</v>
      </c>
      <c r="F27" s="23"/>
    </row>
    <row r="28" customFormat="false" ht="31.5" hidden="false" customHeight="true" outlineLevel="0" collapsed="false">
      <c r="B28" s="23" t="s">
        <v>3874</v>
      </c>
      <c r="C28" s="23"/>
      <c r="D28" s="23"/>
      <c r="E28" s="23" t="s">
        <v>3875</v>
      </c>
      <c r="F28" s="23"/>
    </row>
    <row r="29" customFormat="false" ht="17.25" hidden="false" customHeight="true" outlineLevel="0" collapsed="false">
      <c r="B29" s="23" t="s">
        <v>3876</v>
      </c>
      <c r="C29" s="23"/>
      <c r="D29" s="23"/>
      <c r="E29" s="23"/>
      <c r="F29" s="23"/>
    </row>
    <row r="31" customFormat="false" ht="16.5" hidden="false" customHeight="true" outlineLevel="0" collapsed="false">
      <c r="B31" s="11" t="s">
        <v>1416</v>
      </c>
      <c r="C31" s="11" t="s">
        <v>1417</v>
      </c>
      <c r="D31" s="11" t="s">
        <v>1418</v>
      </c>
      <c r="E31" s="11" t="s">
        <v>1419</v>
      </c>
    </row>
    <row r="32" customFormat="false" ht="30.75" hidden="false" customHeight="true" outlineLevel="0" collapsed="false">
      <c r="B32" s="12" t="s">
        <v>3877</v>
      </c>
      <c r="C32" s="12" t="s">
        <v>3878</v>
      </c>
      <c r="D32" s="12" t="s">
        <v>3879</v>
      </c>
      <c r="E32" s="50" t="s">
        <v>964</v>
      </c>
    </row>
    <row r="33" customFormat="false" ht="30.75" hidden="false" customHeight="true" outlineLevel="0" collapsed="false">
      <c r="B33" s="12" t="s">
        <v>3880</v>
      </c>
      <c r="C33" s="12" t="s">
        <v>3881</v>
      </c>
      <c r="D33" s="12" t="s">
        <v>3882</v>
      </c>
      <c r="E33" s="50" t="s">
        <v>3367</v>
      </c>
    </row>
    <row r="34" customFormat="false" ht="30.75" hidden="false" customHeight="true" outlineLevel="0" collapsed="false">
      <c r="B34" s="12" t="s">
        <v>3883</v>
      </c>
      <c r="C34" s="12" t="s">
        <v>3884</v>
      </c>
      <c r="D34" s="12" t="s">
        <v>3885</v>
      </c>
      <c r="E34" s="50" t="s">
        <v>1060</v>
      </c>
    </row>
    <row r="36" customFormat="false" ht="15.75" hidden="false" customHeight="true" outlineLevel="0" collapsed="false">
      <c r="B36" s="7" t="s">
        <v>1429</v>
      </c>
      <c r="C36" s="8"/>
      <c r="D36" s="8"/>
      <c r="E36" s="8"/>
      <c r="F36" s="8"/>
      <c r="G36" s="8"/>
      <c r="H36" s="8"/>
      <c r="I36" s="8"/>
      <c r="J36" s="8"/>
      <c r="K36" s="8"/>
    </row>
    <row r="37" customFormat="false" ht="15" hidden="false" customHeight="true" outlineLevel="0" collapsed="false">
      <c r="B37" s="47" t="s">
        <v>3886</v>
      </c>
    </row>
    <row r="38" customFormat="false" ht="8.25" hidden="false" customHeight="true" outlineLevel="0" collapsed="false">
      <c r="B38" s="52" t="s">
        <v>3887</v>
      </c>
      <c r="C38" s="52"/>
      <c r="D38" s="52"/>
      <c r="E38" s="52"/>
      <c r="F38" s="52"/>
    </row>
    <row r="39" customFormat="false" ht="8.25" hidden="false" customHeight="true" outlineLevel="0" collapsed="false">
      <c r="B39" s="52"/>
      <c r="C39" s="52"/>
      <c r="D39" s="52"/>
      <c r="E39" s="52"/>
      <c r="F39" s="52"/>
    </row>
    <row r="40" customFormat="false" ht="17.25" hidden="false" customHeight="true" outlineLevel="0" collapsed="false">
      <c r="B40" s="51" t="s">
        <v>3888</v>
      </c>
      <c r="C40" s="51"/>
      <c r="D40" s="51"/>
      <c r="E40" s="51"/>
      <c r="F40" s="51"/>
    </row>
    <row r="41" customFormat="false" ht="17.25" hidden="false" customHeight="true" outlineLevel="0" collapsed="false">
      <c r="B41" s="52" t="s">
        <v>3889</v>
      </c>
      <c r="C41" s="52"/>
      <c r="D41" s="52"/>
      <c r="E41" s="52"/>
      <c r="F41" s="52"/>
    </row>
    <row r="42" customFormat="false" ht="8.25" hidden="false" customHeight="true" outlineLevel="0" collapsed="false">
      <c r="B42" s="52" t="s">
        <v>3890</v>
      </c>
      <c r="C42" s="52"/>
      <c r="D42" s="52"/>
      <c r="E42" s="52"/>
      <c r="F42" s="52"/>
    </row>
    <row r="43" customFormat="false" ht="8.25" hidden="false" customHeight="true" outlineLevel="0" collapsed="false">
      <c r="B43" s="52"/>
      <c r="C43" s="52"/>
      <c r="D43" s="52"/>
      <c r="E43" s="52"/>
      <c r="F43" s="52"/>
    </row>
    <row r="44" customFormat="false" ht="17.25" hidden="false" customHeight="true" outlineLevel="0" collapsed="false">
      <c r="B44" s="51" t="s">
        <v>3891</v>
      </c>
      <c r="C44" s="51"/>
      <c r="D44" s="51"/>
      <c r="E44" s="51"/>
      <c r="F44" s="51"/>
    </row>
    <row r="45" customFormat="false" ht="15" hidden="false" customHeight="true" outlineLevel="0" collapsed="false">
      <c r="B45" s="59" t="s">
        <v>3892</v>
      </c>
    </row>
    <row r="46" customFormat="false" ht="17.25" hidden="false" customHeight="true" outlineLevel="0" collapsed="false">
      <c r="B46" s="52" t="s">
        <v>3893</v>
      </c>
      <c r="C46" s="52"/>
      <c r="D46" s="52"/>
      <c r="E46" s="52"/>
      <c r="F46" s="52"/>
    </row>
    <row r="47" customFormat="false" ht="17.25" hidden="false" customHeight="true" outlineLevel="0" collapsed="false">
      <c r="B47" s="52" t="s">
        <v>3894</v>
      </c>
      <c r="C47" s="52"/>
      <c r="D47" s="52"/>
      <c r="E47" s="52"/>
      <c r="F47" s="52"/>
    </row>
    <row r="48" customFormat="false" ht="15" hidden="false" customHeight="true" outlineLevel="0" collapsed="false">
      <c r="B48" s="59" t="s">
        <v>3895</v>
      </c>
    </row>
    <row r="50" customFormat="false" ht="15.75" hidden="false" customHeight="true" outlineLevel="0" collapsed="false">
      <c r="B50" s="7" t="s">
        <v>1437</v>
      </c>
      <c r="C50" s="8"/>
      <c r="D50" s="8"/>
      <c r="E50" s="8"/>
      <c r="F50" s="8"/>
      <c r="G50" s="8"/>
      <c r="H50" s="8"/>
      <c r="I50" s="8"/>
      <c r="J50" s="8"/>
      <c r="K50" s="8"/>
    </row>
    <row r="51" customFormat="false" ht="16.5" hidden="false" customHeight="true" outlineLevel="0" collapsed="false">
      <c r="B51" s="11" t="s">
        <v>1438</v>
      </c>
      <c r="C51" s="11" t="s">
        <v>1439</v>
      </c>
      <c r="D51" s="11" t="s">
        <v>1440</v>
      </c>
    </row>
    <row r="52" customFormat="false" ht="16.5" hidden="false" customHeight="true" outlineLevel="0" collapsed="false">
      <c r="B52" s="12" t="s">
        <v>3896</v>
      </c>
      <c r="C52" s="12" t="s">
        <v>3506</v>
      </c>
      <c r="D52" s="12" t="s">
        <v>3897</v>
      </c>
    </row>
    <row r="53" customFormat="false" ht="30.75" hidden="false" customHeight="true" outlineLevel="0" collapsed="false">
      <c r="B53" s="12" t="s">
        <v>3898</v>
      </c>
      <c r="C53" s="12" t="s">
        <v>3899</v>
      </c>
      <c r="D53" s="12" t="s">
        <v>3900</v>
      </c>
    </row>
    <row r="54" customFormat="false" ht="30.75" hidden="false" customHeight="true" outlineLevel="0" collapsed="false">
      <c r="B54" s="12" t="s">
        <v>1577</v>
      </c>
      <c r="C54" s="12" t="s">
        <v>3901</v>
      </c>
      <c r="D54" s="12" t="s">
        <v>3902</v>
      </c>
    </row>
    <row r="55" customFormat="false" ht="30.75" hidden="false" customHeight="true" outlineLevel="0" collapsed="false">
      <c r="B55" s="12" t="s">
        <v>3680</v>
      </c>
      <c r="C55" s="12" t="s">
        <v>3802</v>
      </c>
      <c r="D55" s="12" t="s">
        <v>3903</v>
      </c>
    </row>
    <row r="56" customFormat="false" ht="30.75" hidden="false" customHeight="true" outlineLevel="0" collapsed="false">
      <c r="B56" s="12" t="s">
        <v>2223</v>
      </c>
      <c r="C56" s="12" t="s">
        <v>3683</v>
      </c>
      <c r="D56" s="12" t="s">
        <v>3904</v>
      </c>
    </row>
    <row r="57" customFormat="false" ht="16.5" hidden="false" customHeight="true" outlineLevel="0" collapsed="false">
      <c r="B57" s="12" t="s">
        <v>2217</v>
      </c>
      <c r="C57" s="12" t="s">
        <v>3905</v>
      </c>
      <c r="D57" s="12" t="s">
        <v>3906</v>
      </c>
    </row>
    <row r="58" customFormat="false" ht="30.75" hidden="false" customHeight="true" outlineLevel="0" collapsed="false">
      <c r="B58" s="12" t="s">
        <v>2584</v>
      </c>
      <c r="C58" s="12" t="s">
        <v>2585</v>
      </c>
      <c r="D58" s="12" t="s">
        <v>3907</v>
      </c>
    </row>
    <row r="59" customFormat="false" ht="28.5" hidden="false" customHeight="true" outlineLevel="0" collapsed="false">
      <c r="B59" s="16" t="s">
        <v>1453</v>
      </c>
      <c r="C59" s="16"/>
      <c r="D59" s="16"/>
      <c r="E59" s="16"/>
      <c r="F59" s="16"/>
    </row>
    <row r="61" customFormat="false" ht="15.75" hidden="false" customHeight="true" outlineLevel="0" collapsed="false">
      <c r="B61" s="7" t="s">
        <v>1454</v>
      </c>
      <c r="C61" s="8"/>
      <c r="D61" s="8"/>
      <c r="E61" s="8"/>
      <c r="F61" s="8"/>
      <c r="G61" s="8"/>
      <c r="H61" s="8"/>
      <c r="I61" s="8"/>
      <c r="J61" s="8"/>
      <c r="K61" s="8"/>
    </row>
    <row r="62" customFormat="false" ht="15.75" hidden="false" customHeight="true" outlineLevel="0" collapsed="false">
      <c r="B62" s="9" t="s">
        <v>3908</v>
      </c>
      <c r="C62" s="9"/>
      <c r="D62" s="9"/>
      <c r="E62" s="9"/>
      <c r="F62" s="9"/>
    </row>
    <row r="63" customFormat="false" ht="15.75" hidden="false" customHeight="true" outlineLevel="0" collapsed="false">
      <c r="B63" s="9"/>
      <c r="C63" s="9"/>
      <c r="D63" s="9"/>
      <c r="E63" s="9"/>
      <c r="F63" s="9"/>
    </row>
    <row r="64" customFormat="false" ht="15" hidden="false" customHeight="true" outlineLevel="0" collapsed="false">
      <c r="B64" s="19" t="s">
        <v>85</v>
      </c>
      <c r="C64" s="41" t="s">
        <v>86</v>
      </c>
    </row>
    <row r="66" customFormat="false" ht="16.5" hidden="false" customHeight="true" outlineLevel="0" collapsed="false">
      <c r="C66" s="11" t="s">
        <v>3909</v>
      </c>
      <c r="D66" s="11" t="s">
        <v>3910</v>
      </c>
      <c r="E66" s="11" t="s">
        <v>3911</v>
      </c>
    </row>
    <row r="67" customFormat="false" ht="15" hidden="false" customHeight="true" outlineLevel="0" collapsed="false">
      <c r="C67" s="61" t="n">
        <v>499.97</v>
      </c>
      <c r="D67" s="61" t="n">
        <v>499.5</v>
      </c>
      <c r="E67" s="61" t="n">
        <v>500.41</v>
      </c>
    </row>
    <row r="68" customFormat="false" ht="15" hidden="false" customHeight="true" outlineLevel="0" collapsed="false">
      <c r="C68" s="61" t="n">
        <v>500.32</v>
      </c>
      <c r="D68" s="61" t="n">
        <v>500.06</v>
      </c>
      <c r="E68" s="61" t="n">
        <v>497.08</v>
      </c>
    </row>
    <row r="69" customFormat="false" ht="15" hidden="false" customHeight="true" outlineLevel="0" collapsed="false">
      <c r="C69" s="61" t="n">
        <v>499.84</v>
      </c>
      <c r="D69" s="61" t="n">
        <v>500.07</v>
      </c>
      <c r="E69" s="61" t="n">
        <v>498.82</v>
      </c>
    </row>
    <row r="70" customFormat="false" ht="15" hidden="false" customHeight="true" outlineLevel="0" collapsed="false">
      <c r="C70" s="61" t="n">
        <v>500.95</v>
      </c>
      <c r="D70" s="61" t="n">
        <v>500</v>
      </c>
      <c r="E70" s="61" t="n">
        <v>503.2</v>
      </c>
    </row>
    <row r="71" customFormat="false" ht="15" hidden="false" customHeight="true" outlineLevel="0" collapsed="false">
      <c r="C71" s="61" t="n">
        <v>499.89</v>
      </c>
      <c r="D71" s="61" t="n">
        <v>500.72</v>
      </c>
      <c r="E71" s="61" t="n">
        <v>501.06</v>
      </c>
    </row>
    <row r="72" customFormat="false" ht="15" hidden="false" customHeight="true" outlineLevel="0" collapsed="false">
      <c r="C72" s="61" t="n">
        <v>499.27</v>
      </c>
      <c r="D72" s="61" t="n">
        <v>501.27</v>
      </c>
      <c r="E72" s="61" t="n">
        <v>502.04</v>
      </c>
    </row>
    <row r="73" customFormat="false" ht="15" hidden="false" customHeight="true" outlineLevel="0" collapsed="false">
      <c r="C73" s="61" t="n">
        <v>501.32</v>
      </c>
      <c r="D73" s="61" t="n">
        <v>499.56</v>
      </c>
      <c r="E73" s="61" t="n">
        <v>500.51</v>
      </c>
    </row>
    <row r="74" customFormat="false" ht="15" hidden="false" customHeight="true" outlineLevel="0" collapsed="false">
      <c r="C74" s="61" t="n">
        <v>499.19</v>
      </c>
      <c r="D74" s="61" t="n">
        <v>498.97</v>
      </c>
      <c r="E74" s="61" t="n">
        <v>496.57</v>
      </c>
    </row>
    <row r="75" customFormat="false" ht="15" hidden="false" customHeight="true" outlineLevel="0" collapsed="false">
      <c r="C75" s="61" t="n">
        <v>499.34</v>
      </c>
      <c r="D75" s="61" t="n">
        <v>501.15</v>
      </c>
      <c r="E75" s="61" t="n">
        <v>499.84</v>
      </c>
    </row>
    <row r="76" customFormat="false" ht="15" hidden="false" customHeight="true" outlineLevel="0" collapsed="false">
      <c r="C76" s="61" t="n">
        <v>499.91</v>
      </c>
      <c r="D76" s="61" t="n">
        <v>500.7</v>
      </c>
      <c r="E76" s="61" t="n">
        <v>501.45</v>
      </c>
    </row>
    <row r="78" customFormat="false" ht="15" hidden="false" customHeight="true" outlineLevel="0" collapsed="false">
      <c r="B78" s="10" t="s">
        <v>2228</v>
      </c>
      <c r="C78" s="75" t="n">
        <v>0.05</v>
      </c>
    </row>
    <row r="80" customFormat="false" ht="15.75" hidden="false" customHeight="true" outlineLevel="0" collapsed="false">
      <c r="B80" s="7" t="s">
        <v>3516</v>
      </c>
      <c r="C80" s="8"/>
      <c r="D80" s="8"/>
      <c r="E80" s="8"/>
      <c r="F80" s="8"/>
      <c r="G80" s="8"/>
      <c r="H80" s="8"/>
      <c r="I80" s="8"/>
      <c r="J80" s="8"/>
      <c r="K80" s="8"/>
    </row>
    <row r="81" customFormat="false" ht="15" hidden="false" customHeight="true" outlineLevel="0" collapsed="false">
      <c r="C81" s="89" t="s">
        <v>3818</v>
      </c>
      <c r="D81" s="89" t="s">
        <v>3819</v>
      </c>
      <c r="E81" s="89" t="s">
        <v>3820</v>
      </c>
    </row>
    <row r="82" customFormat="false" ht="15" hidden="false" customHeight="true" outlineLevel="0" collapsed="false">
      <c r="B82" s="10" t="s">
        <v>1769</v>
      </c>
      <c r="C82" s="44" t="n">
        <f aca="false">COUNT($C$67:$C$76)</f>
        <v>10</v>
      </c>
      <c r="D82" s="44" t="n">
        <f aca="false">COUNT($D$67:$D$76)</f>
        <v>10</v>
      </c>
      <c r="E82" s="44" t="n">
        <f aca="false">COUNT($E$67:$E$76)</f>
        <v>10</v>
      </c>
    </row>
    <row r="83" customFormat="false" ht="15" hidden="false" customHeight="true" outlineLevel="0" collapsed="false">
      <c r="B83" s="10" t="s">
        <v>3698</v>
      </c>
      <c r="C83" s="77" t="n">
        <f aca="false">VAR($C$67:$C$76)</f>
        <v>0.490955555555558</v>
      </c>
      <c r="D83" s="77" t="n">
        <f aca="false">VAR($D$67:$D$76)</f>
        <v>0.561866666666652</v>
      </c>
      <c r="E83" s="77" t="n">
        <f aca="false">VAR($E$67:$E$76)</f>
        <v>4.40768444444446</v>
      </c>
    </row>
    <row r="84" customFormat="false" ht="15" hidden="false" customHeight="true" outlineLevel="0" collapsed="false">
      <c r="B84" s="10" t="s">
        <v>3699</v>
      </c>
      <c r="C84" s="66" t="n">
        <f aca="false">STDEV($C$67:$C$76)</f>
        <v>0.700682207249162</v>
      </c>
      <c r="D84" s="66" t="n">
        <f aca="false">STDEV($D$67:$D$76)</f>
        <v>0.749577658863077</v>
      </c>
      <c r="E84" s="66" t="n">
        <f aca="false">STDEV($E$67:$E$76)</f>
        <v>2.09944860485901</v>
      </c>
    </row>
    <row r="85" customFormat="false" ht="15" hidden="false" customHeight="true" outlineLevel="0" collapsed="false">
      <c r="B85" s="10" t="s">
        <v>1683</v>
      </c>
      <c r="C85" s="66" t="n">
        <f aca="false">MEDIAN($C$67:$C$76)</f>
        <v>499.9</v>
      </c>
      <c r="D85" s="66" t="n">
        <f aca="false">MEDIAN($D$67:$D$76)</f>
        <v>500.065</v>
      </c>
      <c r="E85" s="66" t="n">
        <f aca="false">MEDIAN($E$67:$E$76)</f>
        <v>500.46</v>
      </c>
    </row>
    <row r="87" customFormat="false" ht="15" hidden="false" customHeight="true" outlineLevel="0" collapsed="false">
      <c r="B87" s="10" t="s">
        <v>3701</v>
      </c>
      <c r="C87" s="44" t="n">
        <f aca="false">SUM($C$82:$E$82)</f>
        <v>30</v>
      </c>
    </row>
    <row r="88" customFormat="false" ht="15" hidden="false" customHeight="true" outlineLevel="0" collapsed="false">
      <c r="B88" s="10" t="s">
        <v>3702</v>
      </c>
      <c r="C88" s="44" t="n">
        <f aca="false">COUNT($C$82:$E$82)</f>
        <v>3</v>
      </c>
    </row>
    <row r="90" customFormat="false" ht="15.75" hidden="false" customHeight="true" outlineLevel="0" collapsed="false">
      <c r="B90" s="7" t="s">
        <v>3912</v>
      </c>
      <c r="C90" s="8"/>
      <c r="D90" s="8"/>
      <c r="E90" s="8"/>
      <c r="F90" s="8"/>
      <c r="G90" s="8"/>
      <c r="H90" s="8"/>
      <c r="I90" s="8"/>
      <c r="J90" s="8"/>
      <c r="K90" s="8"/>
    </row>
    <row r="91" customFormat="false" ht="15" hidden="false" customHeight="true" outlineLevel="0" collapsed="false">
      <c r="B91" s="10" t="s">
        <v>3913</v>
      </c>
      <c r="C91" s="66" t="n">
        <f aca="false">IFERROR(MAX($C$83,$D$83)/MIN($C$83,$D$83),0)</f>
        <v>1.14443488887879</v>
      </c>
    </row>
    <row r="92" customFormat="false" ht="15" hidden="false" customHeight="true" outlineLevel="0" collapsed="false">
      <c r="B92" s="10" t="s">
        <v>3914</v>
      </c>
      <c r="C92" s="77" t="n">
        <f aca="false">2*FDIST(C91,$C$82-1,$D$82-1)</f>
        <v>0.844014397859183</v>
      </c>
    </row>
    <row r="93" customFormat="false" ht="15" hidden="false" customHeight="true" outlineLevel="0" collapsed="false">
      <c r="B93" s="10" t="s">
        <v>3915</v>
      </c>
      <c r="C93" s="77" t="n">
        <f aca="false">FTEST($C$67:$C$76,$D$67:$D$76)</f>
        <v>0.844014397821015</v>
      </c>
    </row>
    <row r="95" customFormat="false" ht="15.75" hidden="false" customHeight="true" outlineLevel="0" collapsed="false">
      <c r="B95" s="7" t="s">
        <v>3916</v>
      </c>
      <c r="C95" s="8"/>
      <c r="D95" s="8"/>
      <c r="E95" s="8"/>
      <c r="F95" s="8"/>
      <c r="G95" s="8"/>
      <c r="H95" s="8"/>
      <c r="I95" s="8"/>
      <c r="J95" s="8"/>
      <c r="K95" s="8"/>
    </row>
    <row r="96" customFormat="false" ht="15.75" hidden="false" customHeight="true" outlineLevel="0" collapsed="false">
      <c r="B96" s="16" t="s">
        <v>3917</v>
      </c>
      <c r="C96" s="16"/>
      <c r="D96" s="16"/>
      <c r="E96" s="16"/>
      <c r="F96" s="16"/>
    </row>
    <row r="97" customFormat="false" ht="16.5" hidden="false" customHeight="true" outlineLevel="0" collapsed="false">
      <c r="C97" s="11" t="s">
        <v>3918</v>
      </c>
      <c r="D97" s="11" t="s">
        <v>3919</v>
      </c>
      <c r="E97" s="11" t="s">
        <v>3920</v>
      </c>
    </row>
    <row r="98" customFormat="false" ht="15" hidden="false" customHeight="true" outlineLevel="0" collapsed="false">
      <c r="C98" s="66" t="n">
        <f aca="false">ABS(C67-C85)</f>
        <v>0.07000000000005</v>
      </c>
      <c r="D98" s="66" t="n">
        <f aca="false">ABS(D67-D85)</f>
        <v>0.564999999999998</v>
      </c>
      <c r="E98" s="66" t="n">
        <f aca="false">ABS(E67-E85)</f>
        <v>0.0500000000000114</v>
      </c>
    </row>
    <row r="99" customFormat="false" ht="15" hidden="false" customHeight="true" outlineLevel="0" collapsed="false">
      <c r="C99" s="66" t="n">
        <f aca="false">ABS(C68-C85)</f>
        <v>0.420000000000016</v>
      </c>
      <c r="D99" s="66" t="n">
        <f aca="false">ABS(D68-D85)</f>
        <v>0.00499999999999545</v>
      </c>
      <c r="E99" s="66" t="n">
        <f aca="false">ABS(E68-E85)</f>
        <v>3.38000000000005</v>
      </c>
    </row>
    <row r="100" customFormat="false" ht="15" hidden="false" customHeight="true" outlineLevel="0" collapsed="false">
      <c r="C100" s="66" t="n">
        <f aca="false">ABS(C69-C85)</f>
        <v>0.0600000000000023</v>
      </c>
      <c r="D100" s="66" t="n">
        <f aca="false">ABS(D69-D85)</f>
        <v>0.00499999999999545</v>
      </c>
      <c r="E100" s="66" t="n">
        <f aca="false">ABS(E69-E85)</f>
        <v>1.64000000000004</v>
      </c>
    </row>
    <row r="101" customFormat="false" ht="15" hidden="false" customHeight="true" outlineLevel="0" collapsed="false">
      <c r="C101" s="66" t="n">
        <f aca="false">ABS(C70-C85)</f>
        <v>1.05000000000001</v>
      </c>
      <c r="D101" s="66" t="n">
        <f aca="false">ABS(D70-D85)</f>
        <v>0.0649999999999977</v>
      </c>
      <c r="E101" s="66" t="n">
        <f aca="false">ABS(E70-E85)</f>
        <v>2.73999999999995</v>
      </c>
    </row>
    <row r="102" customFormat="false" ht="15" hidden="false" customHeight="true" outlineLevel="0" collapsed="false">
      <c r="C102" s="66" t="n">
        <f aca="false">ABS(C71-C85)</f>
        <v>0.00999999999999091</v>
      </c>
      <c r="D102" s="66" t="n">
        <f aca="false">ABS(D71-D85)</f>
        <v>0.65500000000003</v>
      </c>
      <c r="E102" s="66" t="n">
        <f aca="false">ABS(E71-E85)</f>
        <v>0.599999999999966</v>
      </c>
    </row>
    <row r="103" customFormat="false" ht="15" hidden="false" customHeight="true" outlineLevel="0" collapsed="false">
      <c r="C103" s="66" t="n">
        <f aca="false">ABS(C72-C85)</f>
        <v>0.629999999999996</v>
      </c>
      <c r="D103" s="66" t="n">
        <f aca="false">ABS(D72-D85)</f>
        <v>1.20499999999998</v>
      </c>
      <c r="E103" s="66" t="n">
        <f aca="false">ABS(E72-E85)</f>
        <v>1.57999999999998</v>
      </c>
    </row>
    <row r="104" customFormat="false" ht="15" hidden="false" customHeight="true" outlineLevel="0" collapsed="false">
      <c r="C104" s="66" t="n">
        <f aca="false">ABS(C73-C85)</f>
        <v>1.42000000000002</v>
      </c>
      <c r="D104" s="66" t="n">
        <f aca="false">ABS(D73-D85)</f>
        <v>0.504999999999996</v>
      </c>
      <c r="E104" s="66" t="n">
        <f aca="false">ABS(E73-E85)</f>
        <v>0.0499999999999545</v>
      </c>
    </row>
    <row r="105" customFormat="false" ht="15" hidden="false" customHeight="true" outlineLevel="0" collapsed="false">
      <c r="C105" s="66" t="n">
        <f aca="false">ABS(C74-C85)</f>
        <v>0.70999999999998</v>
      </c>
      <c r="D105" s="66" t="n">
        <f aca="false">ABS(D74-D85)</f>
        <v>1.09499999999997</v>
      </c>
      <c r="E105" s="66" t="n">
        <f aca="false">ABS(E74-E85)</f>
        <v>3.89000000000004</v>
      </c>
    </row>
    <row r="106" customFormat="false" ht="15" hidden="false" customHeight="true" outlineLevel="0" collapsed="false">
      <c r="C106" s="66" t="n">
        <f aca="false">ABS(C75-C85)</f>
        <v>0.560000000000002</v>
      </c>
      <c r="D106" s="66" t="n">
        <f aca="false">ABS(D75-D85)</f>
        <v>1.08499999999998</v>
      </c>
      <c r="E106" s="66" t="n">
        <f aca="false">ABS(E75-E85)</f>
        <v>0.620000000000061</v>
      </c>
    </row>
    <row r="107" customFormat="false" ht="15" hidden="false" customHeight="true" outlineLevel="0" collapsed="false">
      <c r="C107" s="66" t="n">
        <f aca="false">ABS(C76-C85)</f>
        <v>0.0100000000000477</v>
      </c>
      <c r="D107" s="66" t="n">
        <f aca="false">ABS(D76-D85)</f>
        <v>0.634999999999991</v>
      </c>
      <c r="E107" s="66" t="n">
        <f aca="false">ABS(E76-E85)</f>
        <v>0.989999999999952</v>
      </c>
    </row>
    <row r="109" customFormat="false" ht="15" hidden="false" customHeight="true" outlineLevel="0" collapsed="false">
      <c r="B109" s="10" t="s">
        <v>3921</v>
      </c>
      <c r="C109" s="77" t="n">
        <f aca="false">AVERAGE($C$98:$E$107)</f>
        <v>0.876666666666669</v>
      </c>
    </row>
    <row r="110" customFormat="false" ht="15" hidden="false" customHeight="true" outlineLevel="0" collapsed="false">
      <c r="B110" s="10" t="s">
        <v>3922</v>
      </c>
      <c r="C110" s="77" t="n">
        <f aca="false">COUNT($C$98:$C$107)*(AVERAGE($C$98:$C$107)-C109)^2+COUNT($D$98:$D$107)*(AVERAGE($D$98:$D$107)-C109)^2+COUNT($E$98:$E$107)*(AVERAGE($E$98:$E$107)-C109)^2</f>
        <v>6.92042666666665</v>
      </c>
    </row>
    <row r="111" customFormat="false" ht="15" hidden="false" customHeight="true" outlineLevel="0" collapsed="false">
      <c r="B111" s="10" t="s">
        <v>3923</v>
      </c>
      <c r="C111" s="77" t="n">
        <f aca="false">DEVSQ($C$98:$C$107)+DEVSQ($D$98:$D$107)+DEVSQ($E$98:$E$107)</f>
        <v>20.7604900000003</v>
      </c>
    </row>
    <row r="112" customFormat="false" ht="15" hidden="false" customHeight="true" outlineLevel="0" collapsed="false">
      <c r="B112" s="10" t="s">
        <v>3924</v>
      </c>
      <c r="C112" s="66" t="n">
        <f aca="false">IFERROR((C87-C88)/(C88-1)*C110/C111,0)</f>
        <v>4.50017123873273</v>
      </c>
    </row>
    <row r="113" customFormat="false" ht="15" hidden="false" customHeight="true" outlineLevel="0" collapsed="false">
      <c r="B113" s="10" t="s">
        <v>3925</v>
      </c>
      <c r="C113" s="77" t="n">
        <f aca="false">FDIST(C112,C88-1,C87-C88)</f>
        <v>0.0205717519964024</v>
      </c>
    </row>
    <row r="115" customFormat="false" ht="15.75" hidden="false" customHeight="true" outlineLevel="0" collapsed="false">
      <c r="B115" s="7" t="s">
        <v>3926</v>
      </c>
      <c r="C115" s="8"/>
      <c r="D115" s="8"/>
      <c r="E115" s="8"/>
      <c r="F115" s="8"/>
      <c r="G115" s="8"/>
      <c r="H115" s="8"/>
      <c r="I115" s="8"/>
      <c r="J115" s="8"/>
      <c r="K115" s="8"/>
    </row>
    <row r="116" customFormat="false" ht="15" hidden="false" customHeight="true" outlineLevel="0" collapsed="false">
      <c r="B116" s="10" t="s">
        <v>3927</v>
      </c>
      <c r="C116" s="77" t="n">
        <f aca="false">SUMPRODUCT($C$82:$E$82-1,$C$83:$E$83)/(C87-C88)</f>
        <v>1.82016888888889</v>
      </c>
    </row>
    <row r="117" customFormat="false" ht="15" hidden="false" customHeight="true" outlineLevel="0" collapsed="false">
      <c r="B117" s="10" t="s">
        <v>3928</v>
      </c>
      <c r="C117" s="66" t="n">
        <f aca="false">1+(1/($C$82-1)+1/($D$82-1)+1/($E$82-1)-1/(C87-C88))/(3*(C88-1))</f>
        <v>1.04938271604938</v>
      </c>
    </row>
    <row r="118" customFormat="false" ht="15" hidden="false" customHeight="true" outlineLevel="0" collapsed="false">
      <c r="B118" s="10" t="s">
        <v>3929</v>
      </c>
      <c r="C118" s="66" t="n">
        <f aca="false">IFERROR(((C87-C88)*LN(C116)-SUMPRODUCT($C$82:$E$82-1,LN($C$83:$E$83)))/C117,0)</f>
        <v>13.7337662939583</v>
      </c>
    </row>
    <row r="119" customFormat="false" ht="15" hidden="false" customHeight="true" outlineLevel="0" collapsed="false">
      <c r="B119" s="10" t="s">
        <v>3930</v>
      </c>
      <c r="C119" s="77" t="n">
        <f aca="false">CHIDIST(C118,C88-1)</f>
        <v>0.00104171889452046</v>
      </c>
    </row>
    <row r="121" customFormat="false" ht="15" hidden="false" customHeight="true" outlineLevel="0" collapsed="false">
      <c r="B121" s="10" t="s">
        <v>3931</v>
      </c>
      <c r="C121" s="64" t="n">
        <f aca="false">IFERROR(MAX($C$83:$E$83)/MIN($C$83:$E$83),0)</f>
        <v>8.97776671343864</v>
      </c>
    </row>
    <row r="122" customFormat="false" ht="15" hidden="false" customHeight="true" outlineLevel="0" collapsed="false">
      <c r="B122" s="10" t="s">
        <v>3932</v>
      </c>
      <c r="C122" s="41" t="str">
        <f aca="false">INDEX($C$81:$E$81,MATCH(MAX($C$83:$E$83),$C$83:$E$83,0))</f>
        <v>Valve 3</v>
      </c>
    </row>
    <row r="124" customFormat="false" ht="15.75" hidden="false" customHeight="true" outlineLevel="0" collapsed="false">
      <c r="B124" s="7" t="s">
        <v>1493</v>
      </c>
      <c r="C124" s="8"/>
      <c r="D124" s="8"/>
      <c r="E124" s="8"/>
      <c r="F124" s="8"/>
      <c r="G124" s="8"/>
      <c r="H124" s="8"/>
      <c r="I124" s="8"/>
      <c r="J124" s="8"/>
      <c r="K124" s="8"/>
    </row>
    <row r="125" customFormat="false" ht="49.5" hidden="false" customHeight="true" outlineLevel="0" collapsed="false">
      <c r="B125" s="53" t="s">
        <v>1494</v>
      </c>
      <c r="C125" s="54" t="str">
        <f aca="false">IF(C113&lt;C78,"VARIANCES DIFFER (Levene p = "&amp;TEXT(C113,"0.0000")&amp;") - "&amp;C122&amp;" is the most variable, with a variance ratio of "&amp;TEXT(C121,"0.0")&amp;". Use Welch on E-24 or Kruskal-Wallis on E-31, and treat the inconsistency as a project in its own right.","NO EVIDENCE OF UNEQUAL VARIANCE (Levene p = "&amp;TEXT(C113,"0.0000")&amp;") - the pooled t-test and standard ANOVA assumptions are defensible. Welch remains the safer default anyway.")</f>
        <v>VARIANCES DIFFER (Levene p = 0.0206) - Valve 3 is the most variable, with a variance ratio of 9.0. Use Welch on E-24 or Kruskal-Wallis on E-31, and treat the inconsistency as a project in its own right.</v>
      </c>
      <c r="D125" s="54"/>
      <c r="E125" s="54"/>
      <c r="F125" s="54"/>
    </row>
    <row r="127" customFormat="false" ht="16.5" hidden="false" customHeight="true" outlineLevel="0" collapsed="false">
      <c r="B127" s="11" t="s">
        <v>1495</v>
      </c>
      <c r="C127" s="11" t="s">
        <v>1496</v>
      </c>
      <c r="D127" s="11" t="s">
        <v>1497</v>
      </c>
    </row>
    <row r="128" customFormat="false" ht="30.75" hidden="false" customHeight="true" outlineLevel="0" collapsed="false">
      <c r="B128" s="12" t="s">
        <v>3933</v>
      </c>
      <c r="C128" s="12" t="s">
        <v>3934</v>
      </c>
      <c r="D128" s="12" t="s">
        <v>3935</v>
      </c>
    </row>
    <row r="129" customFormat="false" ht="30.75" hidden="false" customHeight="true" outlineLevel="0" collapsed="false">
      <c r="B129" s="12" t="s">
        <v>3538</v>
      </c>
      <c r="C129" s="12" t="s">
        <v>3936</v>
      </c>
      <c r="D129" s="12" t="s">
        <v>3937</v>
      </c>
    </row>
    <row r="130" customFormat="false" ht="16.5" hidden="false" customHeight="true" outlineLevel="0" collapsed="false">
      <c r="B130" s="12" t="s">
        <v>3938</v>
      </c>
      <c r="C130" s="12" t="s">
        <v>3939</v>
      </c>
      <c r="D130" s="12" t="s">
        <v>3940</v>
      </c>
    </row>
    <row r="131" customFormat="false" ht="30.75" hidden="false" customHeight="true" outlineLevel="0" collapsed="false">
      <c r="B131" s="12" t="s">
        <v>3941</v>
      </c>
      <c r="C131" s="12" t="s">
        <v>3942</v>
      </c>
      <c r="D131" s="12" t="s">
        <v>3943</v>
      </c>
    </row>
    <row r="133" customFormat="false" ht="15" hidden="false" customHeight="true" outlineLevel="0" collapsed="false">
      <c r="B133" s="55" t="s">
        <v>1507</v>
      </c>
    </row>
    <row r="134" customFormat="false" ht="17.25" hidden="false" customHeight="true" outlineLevel="0" collapsed="false">
      <c r="B134" s="9" t="s">
        <v>3944</v>
      </c>
      <c r="C134" s="9"/>
      <c r="D134" s="9"/>
      <c r="E134" s="9"/>
      <c r="F134" s="9"/>
    </row>
    <row r="135" customFormat="false" ht="31.5" hidden="false" customHeight="true" outlineLevel="0" collapsed="false">
      <c r="B135" s="9" t="s">
        <v>3945</v>
      </c>
      <c r="C135" s="9"/>
      <c r="D135" s="9"/>
      <c r="E135" s="9"/>
      <c r="F135" s="9"/>
    </row>
    <row r="136" customFormat="false" ht="17.25" hidden="false" customHeight="true" outlineLevel="0" collapsed="false">
      <c r="B136" s="9" t="s">
        <v>3946</v>
      </c>
      <c r="C136" s="9"/>
      <c r="D136" s="9"/>
      <c r="E136" s="9"/>
      <c r="F136" s="9"/>
    </row>
    <row r="137" customFormat="false" ht="17.25" hidden="false" customHeight="true" outlineLevel="0" collapsed="false">
      <c r="B137" s="9" t="s">
        <v>3947</v>
      </c>
      <c r="C137" s="9"/>
      <c r="D137" s="9"/>
      <c r="E137" s="9"/>
      <c r="F137" s="9"/>
    </row>
    <row r="138" customFormat="false" ht="17.25" hidden="false" customHeight="true" outlineLevel="0" collapsed="false">
      <c r="B138" s="9" t="s">
        <v>3948</v>
      </c>
      <c r="C138" s="9"/>
      <c r="D138" s="9"/>
      <c r="E138" s="9"/>
      <c r="F138" s="9"/>
    </row>
    <row r="140" customFormat="false" ht="15.75" hidden="false" customHeight="true" outlineLevel="0" collapsed="false">
      <c r="B140" s="7" t="s">
        <v>1513</v>
      </c>
      <c r="C140" s="8"/>
      <c r="D140" s="8"/>
      <c r="E140" s="8"/>
      <c r="F140" s="8"/>
      <c r="G140" s="8"/>
      <c r="H140" s="8"/>
      <c r="I140" s="8"/>
      <c r="J140" s="8"/>
      <c r="K140" s="8"/>
    </row>
    <row r="141" customFormat="false" ht="17.25" hidden="false" customHeight="true" outlineLevel="0" collapsed="false">
      <c r="B141" s="9" t="s">
        <v>1514</v>
      </c>
      <c r="C141" s="9"/>
      <c r="D141" s="9"/>
      <c r="E141" s="9"/>
      <c r="N141" s="56" t="s">
        <v>1515</v>
      </c>
    </row>
    <row r="142" customFormat="false" ht="17.25" hidden="false" customHeight="true" outlineLevel="0" collapsed="false">
      <c r="B142" s="9" t="s">
        <v>3949</v>
      </c>
      <c r="C142" s="9"/>
      <c r="D142" s="9"/>
      <c r="E142" s="9"/>
      <c r="N142" s="57" t="s">
        <v>3950</v>
      </c>
    </row>
    <row r="143" customFormat="false" ht="17.25" hidden="false" customHeight="true" outlineLevel="0" collapsed="false">
      <c r="B143" s="9" t="s">
        <v>3951</v>
      </c>
      <c r="C143" s="9"/>
      <c r="D143" s="9"/>
      <c r="E143" s="9"/>
      <c r="N143" s="57" t="s">
        <v>3952</v>
      </c>
    </row>
    <row r="144" customFormat="false" ht="17.25" hidden="false" customHeight="true" outlineLevel="0" collapsed="false">
      <c r="B144" s="9" t="s">
        <v>3953</v>
      </c>
      <c r="C144" s="9"/>
      <c r="D144" s="9"/>
      <c r="E144" s="9"/>
      <c r="N144" s="57" t="s">
        <v>3954</v>
      </c>
    </row>
    <row r="146" customFormat="false" ht="15.75" hidden="false" customHeight="true" outlineLevel="0" collapsed="false">
      <c r="B146" s="7" t="s">
        <v>1522</v>
      </c>
      <c r="C146" s="8"/>
      <c r="D146" s="8"/>
      <c r="E146" s="8"/>
      <c r="F146" s="8"/>
      <c r="G146" s="8"/>
      <c r="H146" s="8"/>
      <c r="I146" s="8"/>
      <c r="J146" s="8"/>
      <c r="K146" s="8"/>
    </row>
    <row r="147" customFormat="false" ht="16.5" hidden="false" customHeight="true" outlineLevel="0" collapsed="false">
      <c r="B147" s="11" t="s">
        <v>1523</v>
      </c>
      <c r="C147" s="11" t="s">
        <v>1524</v>
      </c>
      <c r="D147" s="11" t="s">
        <v>1615</v>
      </c>
    </row>
    <row r="148" customFormat="false" ht="30.75" hidden="false" customHeight="true" outlineLevel="0" collapsed="false">
      <c r="B148" s="58" t="s">
        <v>3370</v>
      </c>
      <c r="C148" s="58" t="s">
        <v>1074</v>
      </c>
      <c r="D148" s="58" t="s">
        <v>1191</v>
      </c>
    </row>
  </sheetData>
  <mergeCells count="41">
    <mergeCell ref="B2:J2"/>
    <mergeCell ref="D3:F3"/>
    <mergeCell ref="C6:D6"/>
    <mergeCell ref="C7:D7"/>
    <mergeCell ref="C8:D8"/>
    <mergeCell ref="B11:F12"/>
    <mergeCell ref="B13:F13"/>
    <mergeCell ref="B14:F14"/>
    <mergeCell ref="B15:F15"/>
    <mergeCell ref="B16:F17"/>
    <mergeCell ref="B18:F19"/>
    <mergeCell ref="B20:F22"/>
    <mergeCell ref="B25:D25"/>
    <mergeCell ref="E25:F25"/>
    <mergeCell ref="B26:D26"/>
    <mergeCell ref="E26:F26"/>
    <mergeCell ref="B27:D27"/>
    <mergeCell ref="E27:F27"/>
    <mergeCell ref="B28:D28"/>
    <mergeCell ref="E28:F28"/>
    <mergeCell ref="B29:F29"/>
    <mergeCell ref="B38:F39"/>
    <mergeCell ref="B40:F40"/>
    <mergeCell ref="B41:F41"/>
    <mergeCell ref="B42:F43"/>
    <mergeCell ref="B44:F44"/>
    <mergeCell ref="B46:F46"/>
    <mergeCell ref="B47:F47"/>
    <mergeCell ref="B59:F59"/>
    <mergeCell ref="B62:F63"/>
    <mergeCell ref="B96:F96"/>
    <mergeCell ref="C125:F125"/>
    <mergeCell ref="B134:F134"/>
    <mergeCell ref="B135:F135"/>
    <mergeCell ref="B136:F136"/>
    <mergeCell ref="B137:F137"/>
    <mergeCell ref="B138:F138"/>
    <mergeCell ref="B141:E141"/>
    <mergeCell ref="B142:E142"/>
    <mergeCell ref="B143:E143"/>
    <mergeCell ref="B144:E144"/>
  </mergeCells>
  <hyperlinks>
    <hyperlink ref="B3" location="'N-03 Index DMAIC'!A1" display="← Back to Index"/>
    <hyperlink ref="E32" location="'E-32 Normality Testing'!A1" display="E-32  Normality Testing and Probability Plots"/>
    <hyperlink ref="E33" location="'E-25 Paired t-Test'!A1" display="E-25  Paired t-Test"/>
    <hyperlink ref="E34" location="'E-49 I-MR Chart'!A1" display="E-49  Individuals and Moving Range Chart"/>
    <hyperlink ref="B148" location="'E-27 Two-Way ANOVA'!A1" display="E-27  Two-Way ANOVA and Interactions"/>
    <hyperlink ref="C148" location="'E-29 Proportion Tests'!A1" display="E-29  One and Two Proportion Tests"/>
    <hyperlink ref="D148" location="'E-31 Nonparametric Tests'!A1" display="E-31  Nonparametric Tes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3955</v>
      </c>
      <c r="C2" s="3"/>
      <c r="D2" s="3"/>
      <c r="E2" s="3"/>
      <c r="F2" s="3"/>
      <c r="G2" s="3"/>
      <c r="H2" s="3"/>
      <c r="I2" s="3"/>
      <c r="J2" s="3"/>
      <c r="K2" s="80" t="s">
        <v>2864</v>
      </c>
    </row>
    <row r="3" customFormat="false" ht="28.5" hidden="false" customHeight="true" outlineLevel="0" collapsed="false">
      <c r="B3" s="5" t="s">
        <v>3</v>
      </c>
      <c r="D3" s="6" t="s">
        <v>3956</v>
      </c>
      <c r="E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3957</v>
      </c>
      <c r="D6" s="9"/>
    </row>
    <row r="7" customFormat="false" ht="31.5" hidden="false" customHeight="true" outlineLevel="0" collapsed="false">
      <c r="B7" s="47" t="s">
        <v>1394</v>
      </c>
      <c r="C7" s="9" t="s">
        <v>3958</v>
      </c>
      <c r="D7" s="9"/>
    </row>
    <row r="8" customFormat="false" ht="31.5" hidden="false" customHeight="true" outlineLevel="0" collapsed="false">
      <c r="B8" s="47" t="s">
        <v>1396</v>
      </c>
      <c r="C8" s="9" t="s">
        <v>3959</v>
      </c>
      <c r="D8" s="9"/>
    </row>
    <row r="10" customFormat="false" ht="15.75" hidden="false" customHeight="true" outlineLevel="0" collapsed="false">
      <c r="B10" s="7" t="s">
        <v>1398</v>
      </c>
      <c r="C10" s="8"/>
      <c r="D10" s="8"/>
      <c r="E10" s="8"/>
      <c r="F10" s="8"/>
      <c r="G10" s="8"/>
      <c r="H10" s="8"/>
      <c r="I10" s="8"/>
      <c r="J10" s="8"/>
      <c r="K10" s="8"/>
    </row>
    <row r="11" customFormat="false" ht="10.5" hidden="false" customHeight="true" outlineLevel="0" collapsed="false">
      <c r="B11" s="9" t="s">
        <v>3960</v>
      </c>
      <c r="C11" s="9"/>
      <c r="D11" s="9"/>
      <c r="E11" s="9"/>
      <c r="F11" s="9"/>
    </row>
    <row r="12" customFormat="false" ht="10.5" hidden="false" customHeight="true" outlineLevel="0" collapsed="false">
      <c r="B12" s="9"/>
      <c r="C12" s="9"/>
      <c r="D12" s="9"/>
      <c r="E12" s="9"/>
      <c r="F12" s="9"/>
    </row>
    <row r="13" customFormat="false" ht="10.5" hidden="false" customHeight="true" outlineLevel="0" collapsed="false">
      <c r="B13" s="9"/>
      <c r="C13" s="9"/>
      <c r="D13" s="9"/>
      <c r="E13" s="9"/>
      <c r="F13" s="9"/>
    </row>
    <row r="14" customFormat="false" ht="10.5" hidden="false" customHeight="true" outlineLevel="0" collapsed="false">
      <c r="B14" s="9" t="s">
        <v>3961</v>
      </c>
      <c r="C14" s="9"/>
      <c r="D14" s="9"/>
      <c r="E14" s="9"/>
      <c r="F14" s="9"/>
    </row>
    <row r="15" customFormat="false" ht="10.5" hidden="false" customHeight="true" outlineLevel="0" collapsed="false">
      <c r="B15" s="9"/>
      <c r="C15" s="9"/>
      <c r="D15" s="9"/>
      <c r="E15" s="9"/>
      <c r="F15" s="9"/>
    </row>
    <row r="16" customFormat="false" ht="10.5" hidden="false" customHeight="true" outlineLevel="0" collapsed="false">
      <c r="B16" s="9"/>
      <c r="C16" s="9"/>
      <c r="D16" s="9"/>
      <c r="E16" s="9"/>
      <c r="F16" s="9"/>
    </row>
    <row r="17" customFormat="false" ht="11.25" hidden="false" customHeight="true" outlineLevel="0" collapsed="false">
      <c r="B17" s="9" t="s">
        <v>3962</v>
      </c>
      <c r="C17" s="9"/>
      <c r="D17" s="9"/>
      <c r="E17" s="9"/>
      <c r="F17" s="9"/>
    </row>
    <row r="18" customFormat="false" ht="11.25" hidden="false" customHeight="true" outlineLevel="0" collapsed="false">
      <c r="B18" s="9"/>
      <c r="C18" s="9"/>
      <c r="D18" s="9"/>
      <c r="E18" s="9"/>
      <c r="F18" s="9"/>
    </row>
    <row r="19" customFormat="false" ht="11.25" hidden="false" customHeight="true" outlineLevel="0" collapsed="false">
      <c r="B19" s="9"/>
      <c r="C19" s="9"/>
      <c r="D19" s="9"/>
      <c r="E19" s="9"/>
      <c r="F19" s="9"/>
    </row>
    <row r="20" customFormat="false" ht="11.25" hidden="false" customHeight="true" outlineLevel="0" collapsed="false">
      <c r="B20" s="9"/>
      <c r="C20" s="9"/>
      <c r="D20" s="9"/>
      <c r="E20" s="9"/>
      <c r="F20" s="9"/>
    </row>
    <row r="21" customFormat="false" ht="15.75" hidden="false" customHeight="true" outlineLevel="0" collapsed="false">
      <c r="B21" s="9" t="s">
        <v>3963</v>
      </c>
      <c r="C21" s="9"/>
      <c r="D21" s="9"/>
      <c r="E21" s="9"/>
      <c r="F21" s="9"/>
    </row>
    <row r="22" customFormat="false" ht="15.75" hidden="false" customHeight="true" outlineLevel="0" collapsed="false">
      <c r="B22" s="9"/>
      <c r="C22" s="9"/>
      <c r="D22" s="9"/>
      <c r="E22" s="9"/>
      <c r="F22" s="9"/>
    </row>
    <row r="24" customFormat="false" ht="15.75" hidden="false" customHeight="true" outlineLevel="0" collapsed="false">
      <c r="B24" s="7" t="s">
        <v>1406</v>
      </c>
      <c r="C24" s="8"/>
      <c r="D24" s="8"/>
      <c r="E24" s="8"/>
      <c r="F24" s="8"/>
      <c r="G24" s="8"/>
      <c r="H24" s="8"/>
      <c r="I24" s="8"/>
      <c r="J24" s="8"/>
      <c r="K24" s="8"/>
    </row>
    <row r="25" customFormat="false" ht="17.25" hidden="false" customHeight="true" outlineLevel="0" collapsed="false">
      <c r="B25" s="48" t="s">
        <v>1407</v>
      </c>
      <c r="C25" s="48"/>
      <c r="D25" s="48"/>
      <c r="E25" s="55" t="s">
        <v>1408</v>
      </c>
    </row>
    <row r="26" customFormat="false" ht="30.75" hidden="false" customHeight="true" outlineLevel="0" collapsed="false">
      <c r="B26" s="23" t="s">
        <v>3964</v>
      </c>
      <c r="C26" s="23"/>
      <c r="D26" s="23"/>
      <c r="E26" s="82" t="s">
        <v>3965</v>
      </c>
    </row>
    <row r="27" customFormat="false" ht="30.75" hidden="false" customHeight="true" outlineLevel="0" collapsed="false">
      <c r="B27" s="23" t="s">
        <v>3966</v>
      </c>
      <c r="C27" s="23"/>
      <c r="D27" s="23"/>
      <c r="E27" s="82" t="s">
        <v>3967</v>
      </c>
    </row>
    <row r="28" customFormat="false" ht="30.75" hidden="false" customHeight="true" outlineLevel="0" collapsed="false">
      <c r="B28" s="23" t="s">
        <v>3968</v>
      </c>
      <c r="C28" s="23"/>
      <c r="D28" s="23"/>
      <c r="E28" s="82" t="s">
        <v>3969</v>
      </c>
    </row>
    <row r="29" customFormat="false" ht="17.25" hidden="false" customHeight="true" outlineLevel="0" collapsed="false">
      <c r="B29" s="23" t="s">
        <v>3970</v>
      </c>
      <c r="C29" s="23"/>
      <c r="D29" s="23"/>
      <c r="E29" s="23"/>
      <c r="F29" s="23"/>
    </row>
    <row r="31" customFormat="false" ht="16.5" hidden="false" customHeight="true" outlineLevel="0" collapsed="false">
      <c r="B31" s="11" t="s">
        <v>1416</v>
      </c>
      <c r="C31" s="11" t="s">
        <v>1417</v>
      </c>
      <c r="D31" s="11" t="s">
        <v>1418</v>
      </c>
      <c r="E31" s="11" t="s">
        <v>1419</v>
      </c>
    </row>
    <row r="32" customFormat="false" ht="30.75" hidden="false" customHeight="true" outlineLevel="0" collapsed="false">
      <c r="B32" s="12" t="s">
        <v>3971</v>
      </c>
      <c r="C32" s="12" t="s">
        <v>3972</v>
      </c>
      <c r="D32" s="12" t="s">
        <v>3973</v>
      </c>
      <c r="E32" s="50" t="s">
        <v>1072</v>
      </c>
    </row>
    <row r="33" customFormat="false" ht="44.25" hidden="false" customHeight="true" outlineLevel="0" collapsed="false">
      <c r="B33" s="12" t="s">
        <v>3974</v>
      </c>
      <c r="C33" s="12" t="s">
        <v>3975</v>
      </c>
      <c r="D33" s="12" t="s">
        <v>3976</v>
      </c>
      <c r="E33" s="50" t="s">
        <v>2272</v>
      </c>
    </row>
    <row r="34" customFormat="false" ht="44.25" hidden="false" customHeight="true" outlineLevel="0" collapsed="false">
      <c r="B34" s="12" t="s">
        <v>3977</v>
      </c>
      <c r="C34" s="12" t="s">
        <v>3978</v>
      </c>
      <c r="D34" s="12" t="s">
        <v>3979</v>
      </c>
      <c r="E34" s="50" t="s">
        <v>1025</v>
      </c>
    </row>
    <row r="36" customFormat="false" ht="15.75" hidden="false" customHeight="true" outlineLevel="0" collapsed="false">
      <c r="B36" s="7" t="s">
        <v>1429</v>
      </c>
      <c r="C36" s="8"/>
      <c r="D36" s="8"/>
      <c r="E36" s="8"/>
      <c r="F36" s="8"/>
      <c r="G36" s="8"/>
      <c r="H36" s="8"/>
      <c r="I36" s="8"/>
      <c r="J36" s="8"/>
      <c r="K36" s="8"/>
    </row>
    <row r="37" customFormat="false" ht="15" hidden="false" customHeight="true" outlineLevel="0" collapsed="false">
      <c r="B37" s="47" t="s">
        <v>3980</v>
      </c>
    </row>
    <row r="38" customFormat="false" ht="17.25" hidden="false" customHeight="true" outlineLevel="0" collapsed="false">
      <c r="B38" s="52" t="s">
        <v>3981</v>
      </c>
      <c r="C38" s="52"/>
      <c r="D38" s="52"/>
      <c r="E38" s="52"/>
      <c r="F38" s="52"/>
    </row>
    <row r="39" customFormat="false" ht="15" hidden="false" customHeight="true" outlineLevel="0" collapsed="false">
      <c r="B39" s="59" t="s">
        <v>3982</v>
      </c>
    </row>
    <row r="40" customFormat="false" ht="17.25" hidden="false" customHeight="true" outlineLevel="0" collapsed="false">
      <c r="B40" s="51" t="s">
        <v>3983</v>
      </c>
      <c r="C40" s="51"/>
      <c r="D40" s="51"/>
      <c r="E40" s="51"/>
      <c r="F40" s="51"/>
    </row>
    <row r="41" customFormat="false" ht="15" hidden="false" customHeight="true" outlineLevel="0" collapsed="false">
      <c r="B41" s="59" t="s">
        <v>3984</v>
      </c>
    </row>
    <row r="42" customFormat="false" ht="8.25" hidden="false" customHeight="true" outlineLevel="0" collapsed="false">
      <c r="B42" s="52" t="s">
        <v>3985</v>
      </c>
      <c r="C42" s="52"/>
      <c r="D42" s="52"/>
      <c r="E42" s="52"/>
      <c r="F42" s="52"/>
    </row>
    <row r="43" customFormat="false" ht="8.25" hidden="false" customHeight="true" outlineLevel="0" collapsed="false">
      <c r="B43" s="52"/>
      <c r="C43" s="52"/>
      <c r="D43" s="52"/>
      <c r="E43" s="52"/>
      <c r="F43" s="52"/>
    </row>
    <row r="44" customFormat="false" ht="17.25" hidden="false" customHeight="true" outlineLevel="0" collapsed="false">
      <c r="B44" s="51" t="s">
        <v>3986</v>
      </c>
      <c r="C44" s="51"/>
      <c r="D44" s="51"/>
      <c r="E44" s="51"/>
      <c r="F44" s="51"/>
    </row>
    <row r="45" customFormat="false" ht="17.25" hidden="false" customHeight="true" outlineLevel="0" collapsed="false">
      <c r="B45" s="52" t="s">
        <v>3987</v>
      </c>
      <c r="C45" s="52"/>
      <c r="D45" s="52"/>
      <c r="E45" s="52"/>
      <c r="F45" s="52"/>
    </row>
    <row r="46" customFormat="false" ht="17.25" hidden="false" customHeight="true" outlineLevel="0" collapsed="false">
      <c r="B46" s="52" t="s">
        <v>3988</v>
      </c>
      <c r="C46" s="52"/>
      <c r="D46" s="52"/>
      <c r="E46" s="52"/>
      <c r="F46" s="52"/>
    </row>
    <row r="47" customFormat="false" ht="17.25" hidden="false" customHeight="true" outlineLevel="0" collapsed="false">
      <c r="B47" s="51" t="s">
        <v>3989</v>
      </c>
      <c r="C47" s="51"/>
      <c r="D47" s="51"/>
      <c r="E47" s="51"/>
      <c r="F47" s="51"/>
    </row>
    <row r="48" customFormat="false" ht="17.25" hidden="false" customHeight="true" outlineLevel="0" collapsed="false">
      <c r="B48" s="52" t="s">
        <v>3990</v>
      </c>
      <c r="C48" s="52"/>
      <c r="D48" s="52"/>
      <c r="E48" s="52"/>
      <c r="F48" s="52"/>
    </row>
    <row r="50" customFormat="false" ht="15.75" hidden="false" customHeight="true" outlineLevel="0" collapsed="false">
      <c r="B50" s="7" t="s">
        <v>1437</v>
      </c>
      <c r="C50" s="8"/>
      <c r="D50" s="8"/>
      <c r="E50" s="8"/>
      <c r="F50" s="8"/>
      <c r="G50" s="8"/>
      <c r="H50" s="8"/>
      <c r="I50" s="8"/>
      <c r="J50" s="8"/>
      <c r="K50" s="8"/>
    </row>
    <row r="51" customFormat="false" ht="16.5" hidden="false" customHeight="true" outlineLevel="0" collapsed="false">
      <c r="B51" s="11" t="s">
        <v>1438</v>
      </c>
      <c r="C51" s="11" t="s">
        <v>1439</v>
      </c>
      <c r="D51" s="11" t="s">
        <v>1440</v>
      </c>
    </row>
    <row r="52" customFormat="false" ht="30.75" hidden="false" customHeight="true" outlineLevel="0" collapsed="false">
      <c r="B52" s="12" t="s">
        <v>1834</v>
      </c>
      <c r="C52" s="12" t="s">
        <v>1835</v>
      </c>
      <c r="D52" s="12" t="s">
        <v>3991</v>
      </c>
    </row>
    <row r="53" customFormat="false" ht="30.75" hidden="false" customHeight="true" outlineLevel="0" collapsed="false">
      <c r="B53" s="12" t="s">
        <v>1574</v>
      </c>
      <c r="C53" s="12" t="s">
        <v>2810</v>
      </c>
      <c r="D53" s="12" t="s">
        <v>3992</v>
      </c>
    </row>
    <row r="54" customFormat="false" ht="30.75" hidden="false" customHeight="true" outlineLevel="0" collapsed="false">
      <c r="B54" s="12" t="s">
        <v>2310</v>
      </c>
      <c r="C54" s="12" t="s">
        <v>3993</v>
      </c>
      <c r="D54" s="12" t="s">
        <v>3994</v>
      </c>
    </row>
    <row r="55" customFormat="false" ht="30.75" hidden="false" customHeight="true" outlineLevel="0" collapsed="false">
      <c r="B55" s="12" t="s">
        <v>3995</v>
      </c>
      <c r="C55" s="12" t="s">
        <v>3996</v>
      </c>
      <c r="D55" s="12" t="s">
        <v>3997</v>
      </c>
    </row>
    <row r="56" customFormat="false" ht="16.5" hidden="false" customHeight="true" outlineLevel="0" collapsed="false">
      <c r="B56" s="12" t="s">
        <v>1571</v>
      </c>
      <c r="C56" s="12" t="s">
        <v>1572</v>
      </c>
      <c r="D56" s="12" t="s">
        <v>3998</v>
      </c>
    </row>
    <row r="57" customFormat="false" ht="28.5" hidden="false" customHeight="true" outlineLevel="0" collapsed="false">
      <c r="B57" s="16" t="s">
        <v>1453</v>
      </c>
      <c r="C57" s="16"/>
      <c r="D57" s="16"/>
      <c r="E57" s="16"/>
      <c r="F57" s="16"/>
    </row>
    <row r="59" customFormat="false" ht="15.75" hidden="false" customHeight="true" outlineLevel="0" collapsed="false">
      <c r="B59" s="7" t="s">
        <v>1454</v>
      </c>
      <c r="C59" s="8"/>
      <c r="D59" s="8"/>
      <c r="E59" s="8"/>
      <c r="F59" s="8"/>
      <c r="G59" s="8"/>
      <c r="H59" s="8"/>
      <c r="I59" s="8"/>
      <c r="J59" s="8"/>
      <c r="K59" s="8"/>
    </row>
    <row r="60" customFormat="false" ht="15.75" hidden="false" customHeight="true" outlineLevel="0" collapsed="false">
      <c r="B60" s="9" t="s">
        <v>3999</v>
      </c>
      <c r="C60" s="9"/>
      <c r="D60" s="9"/>
      <c r="E60" s="9"/>
      <c r="F60" s="9"/>
    </row>
    <row r="61" customFormat="false" ht="15.75" hidden="false" customHeight="true" outlineLevel="0" collapsed="false">
      <c r="B61" s="9"/>
      <c r="C61" s="9"/>
      <c r="D61" s="9"/>
      <c r="E61" s="9"/>
      <c r="F61" s="9"/>
    </row>
    <row r="62" customFormat="false" ht="15" hidden="false" customHeight="true" outlineLevel="0" collapsed="false">
      <c r="B62" s="19" t="s">
        <v>85</v>
      </c>
      <c r="C62" s="41" t="s">
        <v>86</v>
      </c>
    </row>
    <row r="64" customFormat="false" ht="15.75" hidden="false" customHeight="true" outlineLevel="0" collapsed="false">
      <c r="B64" s="7" t="s">
        <v>4000</v>
      </c>
      <c r="C64" s="8"/>
      <c r="D64" s="8"/>
      <c r="E64" s="8"/>
      <c r="F64" s="8"/>
      <c r="G64" s="8"/>
      <c r="H64" s="8"/>
      <c r="I64" s="8"/>
      <c r="J64" s="8"/>
      <c r="K64" s="8"/>
    </row>
    <row r="65" customFormat="false" ht="15" hidden="false" customHeight="true" outlineLevel="0" collapsed="false">
      <c r="B65" s="10" t="s">
        <v>4001</v>
      </c>
      <c r="C65" s="65" t="n">
        <v>18</v>
      </c>
    </row>
    <row r="66" customFormat="false" ht="15" hidden="false" customHeight="true" outlineLevel="0" collapsed="false">
      <c r="B66" s="10" t="s">
        <v>4002</v>
      </c>
      <c r="C66" s="65" t="n">
        <v>1200</v>
      </c>
    </row>
    <row r="67" customFormat="false" ht="15" hidden="false" customHeight="true" outlineLevel="0" collapsed="false">
      <c r="B67" s="10" t="s">
        <v>4003</v>
      </c>
      <c r="C67" s="93" t="n">
        <v>0.01</v>
      </c>
    </row>
    <row r="68" customFormat="false" ht="15" hidden="false" customHeight="true" outlineLevel="0" collapsed="false">
      <c r="B68" s="10" t="s">
        <v>2228</v>
      </c>
      <c r="C68" s="75" t="n">
        <v>0.05</v>
      </c>
    </row>
    <row r="69" customFormat="false" ht="15" hidden="false" customHeight="true" outlineLevel="0" collapsed="false">
      <c r="B69" s="10" t="s">
        <v>2821</v>
      </c>
      <c r="C69" s="77" t="n">
        <f aca="false">IFERROR(C65/C66,0)</f>
        <v>0.015</v>
      </c>
    </row>
    <row r="70" customFormat="false" ht="15" hidden="false" customHeight="true" outlineLevel="0" collapsed="false">
      <c r="B70" s="10" t="s">
        <v>2422</v>
      </c>
      <c r="C70" s="66" t="n">
        <f aca="false">IFERROR((C69-C67)/SQRT(C67*(1-C67)/C66),0)</f>
        <v>1.74077655955698</v>
      </c>
    </row>
    <row r="71" customFormat="false" ht="15" hidden="false" customHeight="true" outlineLevel="0" collapsed="false">
      <c r="B71" s="10" t="s">
        <v>4004</v>
      </c>
      <c r="C71" s="77" t="n">
        <f aca="false">2*(1-NORMSDIST(ABS(C70)))</f>
        <v>0.0817227522986594</v>
      </c>
    </row>
    <row r="72" customFormat="false" ht="15" hidden="false" customHeight="true" outlineLevel="0" collapsed="false">
      <c r="B72" s="10" t="s">
        <v>4005</v>
      </c>
      <c r="C72" s="77" t="n">
        <f aca="false">MIN(1,2*IF(C65&gt;=C66*C67,1-BINOMDIST(C65-1,C66,C67,TRUE()),BINOMDIST(C65,C66,C67,TRUE())))</f>
        <v>0.124010406423889</v>
      </c>
    </row>
    <row r="73" customFormat="false" ht="15" hidden="false" customHeight="true" outlineLevel="0" collapsed="false">
      <c r="B73" s="10" t="s">
        <v>2335</v>
      </c>
      <c r="C73" s="41" t="str">
        <f aca="false">IF(AND(C66*C67&gt;=5,C66*(1-C67)&gt;=5),"Yes","No - report the exact p-value")</f>
        <v>Yes</v>
      </c>
    </row>
    <row r="75" customFormat="false" ht="15.75" hidden="false" customHeight="true" outlineLevel="0" collapsed="false">
      <c r="B75" s="7" t="s">
        <v>4006</v>
      </c>
      <c r="C75" s="8"/>
      <c r="D75" s="8"/>
      <c r="E75" s="8"/>
      <c r="F75" s="8"/>
      <c r="G75" s="8"/>
      <c r="H75" s="8"/>
      <c r="I75" s="8"/>
      <c r="J75" s="8"/>
      <c r="K75" s="8"/>
    </row>
    <row r="76" customFormat="false" ht="15" hidden="false" customHeight="true" outlineLevel="0" collapsed="false">
      <c r="B76" s="10" t="s">
        <v>4007</v>
      </c>
      <c r="C76" s="65" t="n">
        <v>42</v>
      </c>
    </row>
    <row r="77" customFormat="false" ht="15" hidden="false" customHeight="true" outlineLevel="0" collapsed="false">
      <c r="B77" s="10" t="s">
        <v>4008</v>
      </c>
      <c r="C77" s="65" t="n">
        <v>1500</v>
      </c>
    </row>
    <row r="78" customFormat="false" ht="15" hidden="false" customHeight="true" outlineLevel="0" collapsed="false">
      <c r="B78" s="10" t="s">
        <v>4009</v>
      </c>
      <c r="C78" s="65" t="n">
        <v>18</v>
      </c>
    </row>
    <row r="79" customFormat="false" ht="15" hidden="false" customHeight="true" outlineLevel="0" collapsed="false">
      <c r="B79" s="10" t="s">
        <v>4010</v>
      </c>
      <c r="C79" s="65" t="n">
        <v>1200</v>
      </c>
    </row>
    <row r="80" customFormat="false" ht="15" hidden="false" customHeight="true" outlineLevel="0" collapsed="false">
      <c r="B80" s="10" t="s">
        <v>1584</v>
      </c>
      <c r="C80" s="62" t="n">
        <v>0.95</v>
      </c>
    </row>
    <row r="81" customFormat="false" ht="15" hidden="false" customHeight="true" outlineLevel="0" collapsed="false">
      <c r="B81" s="10" t="s">
        <v>4011</v>
      </c>
      <c r="C81" s="77" t="n">
        <f aca="false">IFERROR(C76/C77,0)</f>
        <v>0.028</v>
      </c>
    </row>
    <row r="82" customFormat="false" ht="15" hidden="false" customHeight="true" outlineLevel="0" collapsed="false">
      <c r="B82" s="10" t="s">
        <v>4012</v>
      </c>
      <c r="C82" s="77" t="n">
        <f aca="false">IFERROR(C78/C79,0)</f>
        <v>0.015</v>
      </c>
    </row>
    <row r="83" customFormat="false" ht="15" hidden="false" customHeight="true" outlineLevel="0" collapsed="false">
      <c r="B83" s="10" t="s">
        <v>4013</v>
      </c>
      <c r="C83" s="77" t="n">
        <f aca="false">C81-C82</f>
        <v>0.013</v>
      </c>
    </row>
    <row r="84" customFormat="false" ht="15" hidden="false" customHeight="true" outlineLevel="0" collapsed="false">
      <c r="B84" s="10" t="s">
        <v>4014</v>
      </c>
      <c r="C84" s="77" t="n">
        <f aca="false">IFERROR((C76+C78)/(C77+C79),0)</f>
        <v>0.0222222222222222</v>
      </c>
    </row>
    <row r="85" customFormat="false" ht="15" hidden="false" customHeight="true" outlineLevel="0" collapsed="false">
      <c r="B85" s="10" t="s">
        <v>4015</v>
      </c>
      <c r="C85" s="94" t="n">
        <f aca="false">SQRT(C84*(1-C84)*(1/C77+1/C79))</f>
        <v>0.0057089922571845</v>
      </c>
    </row>
    <row r="86" customFormat="false" ht="15" hidden="false" customHeight="true" outlineLevel="0" collapsed="false">
      <c r="B86" s="10" t="s">
        <v>2422</v>
      </c>
      <c r="C86" s="66" t="n">
        <f aca="false">IFERROR(C83/C85,0)</f>
        <v>2.27710941167246</v>
      </c>
    </row>
    <row r="87" customFormat="false" ht="15" hidden="false" customHeight="true" outlineLevel="0" collapsed="false">
      <c r="B87" s="10" t="s">
        <v>2423</v>
      </c>
      <c r="C87" s="77" t="n">
        <f aca="false">2*(1-NORMSDIST(ABS(C86)))</f>
        <v>0.0227796928098558</v>
      </c>
    </row>
    <row r="88" customFormat="false" ht="15" hidden="false" customHeight="true" outlineLevel="0" collapsed="false">
      <c r="B88" s="10" t="s">
        <v>4016</v>
      </c>
      <c r="C88" s="94" t="n">
        <f aca="false">SQRT(C81*(1-C81)/C77+C82*(1-C82)/C79)</f>
        <v>0.00551874079840683</v>
      </c>
    </row>
    <row r="89" customFormat="false" ht="15" hidden="false" customHeight="true" outlineLevel="0" collapsed="false">
      <c r="B89" s="10" t="s">
        <v>2822</v>
      </c>
      <c r="C89" s="66" t="n">
        <f aca="false">NORMSINV(1-(1-C80)/2)</f>
        <v>1.95996398454005</v>
      </c>
    </row>
    <row r="90" customFormat="false" ht="15" hidden="false" customHeight="true" outlineLevel="0" collapsed="false">
      <c r="B90" s="10" t="s">
        <v>4017</v>
      </c>
      <c r="C90" s="77" t="n">
        <f aca="false">C83-C89*C88</f>
        <v>0.0021834667951108</v>
      </c>
    </row>
    <row r="91" customFormat="false" ht="15" hidden="false" customHeight="true" outlineLevel="0" collapsed="false">
      <c r="B91" s="10" t="s">
        <v>4018</v>
      </c>
      <c r="C91" s="77" t="n">
        <f aca="false">C83+C89*C88</f>
        <v>0.0238165332048892</v>
      </c>
    </row>
    <row r="92" customFormat="false" ht="15" hidden="false" customHeight="true" outlineLevel="0" collapsed="false">
      <c r="B92" s="10" t="s">
        <v>4019</v>
      </c>
      <c r="C92" s="76" t="n">
        <f aca="false">IFERROR(C83/C81,0)</f>
        <v>0.464285714285714</v>
      </c>
    </row>
    <row r="93" customFormat="false" ht="15" hidden="false" customHeight="true" outlineLevel="0" collapsed="false">
      <c r="B93" s="10" t="s">
        <v>4020</v>
      </c>
      <c r="C93" s="70" t="n">
        <f aca="false">C83*1000000</f>
        <v>13000</v>
      </c>
    </row>
    <row r="95" customFormat="false" ht="15.75" hidden="false" customHeight="true" outlineLevel="0" collapsed="false">
      <c r="B95" s="7" t="s">
        <v>1493</v>
      </c>
      <c r="C95" s="8"/>
      <c r="D95" s="8"/>
      <c r="E95" s="8"/>
      <c r="F95" s="8"/>
      <c r="G95" s="8"/>
      <c r="H95" s="8"/>
      <c r="I95" s="8"/>
      <c r="J95" s="8"/>
      <c r="K95" s="8"/>
    </row>
    <row r="96" customFormat="false" ht="33.75" hidden="false" customHeight="true" outlineLevel="0" collapsed="false">
      <c r="B96" s="53" t="s">
        <v>1494</v>
      </c>
      <c r="C96" s="54" t="str">
        <f aca="false">IF(C87&lt;C68,"RATES DIFFER SIGNIFICANTLY (p = "&amp;TEXT(C87,"0.00000")&amp;") - the rate fell by "&amp;TEXT(C92,"0.0%")&amp;" in relative terms, "&amp;TEXT(C93,"#,##0")&amp;" PPM in absolute terms, 95% CI "&amp;TEXT(C90,"0.0000")&amp;" to "&amp;TEXT(C91,"0.0000")&amp;". Quantify the value on G-02.","NO EVIDENCE OF A DIFFERENCE (p = "&amp;TEXT(C87,"0.0000")&amp;") - the two rates are within sampling noise of each other. Do not claim the improvement worked; size the study properly on E-20.")</f>
        <v>RATES DIFFER SIGNIFICANTLY (p = 0.02278) - the rate fell by 46.4% in relative terms, 13,000 PPM in absolute terms, 95% CI 0.0022 to 0.0238. Quantify the value on G-02.</v>
      </c>
      <c r="D96" s="54"/>
      <c r="E96" s="54"/>
    </row>
    <row r="98" customFormat="false" ht="16.5" hidden="false" customHeight="true" outlineLevel="0" collapsed="false">
      <c r="B98" s="11" t="s">
        <v>1495</v>
      </c>
      <c r="C98" s="11" t="s">
        <v>1496</v>
      </c>
      <c r="D98" s="11" t="s">
        <v>1497</v>
      </c>
    </row>
    <row r="99" customFormat="false" ht="30.75" hidden="false" customHeight="true" outlineLevel="0" collapsed="false">
      <c r="B99" s="12" t="s">
        <v>3007</v>
      </c>
      <c r="C99" s="12" t="s">
        <v>3444</v>
      </c>
      <c r="D99" s="12" t="s">
        <v>4021</v>
      </c>
    </row>
    <row r="100" customFormat="false" ht="30.75" hidden="false" customHeight="true" outlineLevel="0" collapsed="false">
      <c r="B100" s="12" t="s">
        <v>3544</v>
      </c>
      <c r="C100" s="12" t="s">
        <v>3545</v>
      </c>
      <c r="D100" s="12" t="s">
        <v>4022</v>
      </c>
    </row>
    <row r="101" customFormat="false" ht="30.75" hidden="false" customHeight="true" outlineLevel="0" collapsed="false">
      <c r="B101" s="12" t="s">
        <v>2343</v>
      </c>
      <c r="C101" s="12" t="s">
        <v>4023</v>
      </c>
      <c r="D101" s="12" t="s">
        <v>4024</v>
      </c>
    </row>
    <row r="102" customFormat="false" ht="30.75" hidden="false" customHeight="true" outlineLevel="0" collapsed="false">
      <c r="B102" s="12" t="s">
        <v>2679</v>
      </c>
      <c r="C102" s="12" t="s">
        <v>4025</v>
      </c>
      <c r="D102" s="12" t="s">
        <v>4026</v>
      </c>
    </row>
    <row r="104" customFormat="false" ht="15" hidden="false" customHeight="true" outlineLevel="0" collapsed="false">
      <c r="B104" s="55" t="s">
        <v>1507</v>
      </c>
    </row>
    <row r="105" customFormat="false" ht="31.5" hidden="false" customHeight="true" outlineLevel="0" collapsed="false">
      <c r="B105" s="9" t="s">
        <v>4027</v>
      </c>
      <c r="C105" s="9"/>
      <c r="D105" s="9"/>
      <c r="E105" s="9"/>
      <c r="F105" s="9"/>
    </row>
    <row r="106" customFormat="false" ht="17.25" hidden="false" customHeight="true" outlineLevel="0" collapsed="false">
      <c r="B106" s="9" t="s">
        <v>4028</v>
      </c>
      <c r="C106" s="9"/>
      <c r="D106" s="9"/>
      <c r="E106" s="9"/>
      <c r="F106" s="9"/>
    </row>
    <row r="107" customFormat="false" ht="17.25" hidden="false" customHeight="true" outlineLevel="0" collapsed="false">
      <c r="B107" s="9" t="s">
        <v>4029</v>
      </c>
      <c r="C107" s="9"/>
      <c r="D107" s="9"/>
      <c r="E107" s="9"/>
      <c r="F107" s="9"/>
    </row>
    <row r="108" customFormat="false" ht="17.25" hidden="false" customHeight="true" outlineLevel="0" collapsed="false">
      <c r="B108" s="9" t="s">
        <v>4030</v>
      </c>
      <c r="C108" s="9"/>
      <c r="D108" s="9"/>
      <c r="E108" s="9"/>
      <c r="F108" s="9"/>
    </row>
    <row r="109" customFormat="false" ht="31.5" hidden="false" customHeight="true" outlineLevel="0" collapsed="false">
      <c r="B109" s="9" t="s">
        <v>4031</v>
      </c>
      <c r="C109" s="9"/>
      <c r="D109" s="9"/>
      <c r="E109" s="9"/>
      <c r="F109" s="9"/>
    </row>
    <row r="111" customFormat="false" ht="15.75" hidden="false" customHeight="true" outlineLevel="0" collapsed="false">
      <c r="B111" s="7" t="s">
        <v>1513</v>
      </c>
      <c r="C111" s="8"/>
      <c r="D111" s="8"/>
      <c r="E111" s="8"/>
      <c r="F111" s="8"/>
      <c r="G111" s="8"/>
      <c r="H111" s="8"/>
      <c r="I111" s="8"/>
      <c r="J111" s="8"/>
      <c r="K111" s="8"/>
    </row>
    <row r="112" customFormat="false" ht="17.25" hidden="false" customHeight="true" outlineLevel="0" collapsed="false">
      <c r="B112" s="9" t="s">
        <v>1514</v>
      </c>
      <c r="C112" s="9"/>
      <c r="D112" s="9"/>
      <c r="E112" s="9"/>
      <c r="N112" s="56" t="s">
        <v>1515</v>
      </c>
    </row>
    <row r="113" customFormat="false" ht="17.25" hidden="false" customHeight="true" outlineLevel="0" collapsed="false">
      <c r="B113" s="9" t="s">
        <v>4032</v>
      </c>
      <c r="C113" s="9"/>
      <c r="D113" s="9"/>
      <c r="E113" s="9"/>
      <c r="N113" s="57" t="s">
        <v>4033</v>
      </c>
    </row>
    <row r="114" customFormat="false" ht="17.25" hidden="false" customHeight="true" outlineLevel="0" collapsed="false">
      <c r="B114" s="9" t="s">
        <v>4034</v>
      </c>
      <c r="C114" s="9"/>
      <c r="D114" s="9"/>
      <c r="E114" s="9"/>
      <c r="N114" s="57" t="s">
        <v>4035</v>
      </c>
    </row>
    <row r="115" customFormat="false" ht="17.25" hidden="false" customHeight="true" outlineLevel="0" collapsed="false">
      <c r="B115" s="9" t="s">
        <v>4036</v>
      </c>
      <c r="C115" s="9"/>
      <c r="D115" s="9"/>
      <c r="E115" s="9"/>
      <c r="N115" s="57" t="s">
        <v>4037</v>
      </c>
    </row>
    <row r="117" customFormat="false" ht="15.75" hidden="false" customHeight="true" outlineLevel="0" collapsed="false">
      <c r="B117" s="7" t="s">
        <v>1522</v>
      </c>
      <c r="C117" s="8"/>
      <c r="D117" s="8"/>
      <c r="E117" s="8"/>
      <c r="F117" s="8"/>
      <c r="G117" s="8"/>
      <c r="H117" s="8"/>
      <c r="I117" s="8"/>
      <c r="J117" s="8"/>
      <c r="K117" s="8"/>
    </row>
    <row r="118" customFormat="false" ht="16.5" hidden="false" customHeight="true" outlineLevel="0" collapsed="false">
      <c r="B118" s="11" t="s">
        <v>1523</v>
      </c>
      <c r="C118" s="11" t="s">
        <v>1524</v>
      </c>
      <c r="D118" s="11" t="s">
        <v>1615</v>
      </c>
    </row>
    <row r="119" customFormat="false" ht="30.75" hidden="false" customHeight="true" outlineLevel="0" collapsed="false">
      <c r="B119" s="58" t="s">
        <v>967</v>
      </c>
      <c r="C119" s="58" t="s">
        <v>1098</v>
      </c>
      <c r="D119" s="58" t="s">
        <v>2015</v>
      </c>
    </row>
  </sheetData>
  <mergeCells count="34">
    <mergeCell ref="B2:J2"/>
    <mergeCell ref="D3:E3"/>
    <mergeCell ref="C6:D6"/>
    <mergeCell ref="C7:D7"/>
    <mergeCell ref="C8:D8"/>
    <mergeCell ref="B11:F13"/>
    <mergeCell ref="B14:F16"/>
    <mergeCell ref="B17:F20"/>
    <mergeCell ref="B21:F22"/>
    <mergeCell ref="B25:D25"/>
    <mergeCell ref="B26:D26"/>
    <mergeCell ref="B27:D27"/>
    <mergeCell ref="B28:D28"/>
    <mergeCell ref="B29:F29"/>
    <mergeCell ref="B38:F38"/>
    <mergeCell ref="B40:F40"/>
    <mergeCell ref="B42:F43"/>
    <mergeCell ref="B44:F44"/>
    <mergeCell ref="B45:F45"/>
    <mergeCell ref="B46:F46"/>
    <mergeCell ref="B47:F47"/>
    <mergeCell ref="B48:F48"/>
    <mergeCell ref="B57:F57"/>
    <mergeCell ref="B60:F61"/>
    <mergeCell ref="C96:E96"/>
    <mergeCell ref="B105:F105"/>
    <mergeCell ref="B106:F106"/>
    <mergeCell ref="B107:F107"/>
    <mergeCell ref="B108:F108"/>
    <mergeCell ref="B109:F109"/>
    <mergeCell ref="B112:E112"/>
    <mergeCell ref="B113:E113"/>
    <mergeCell ref="B114:E114"/>
    <mergeCell ref="B115:E115"/>
  </mergeCells>
  <hyperlinks>
    <hyperlink ref="B3" location="'N-03 Index DMAIC'!A1" display="← Back to Index"/>
    <hyperlink ref="E32" location="'E-52 p and np Charts'!A1" display="E-52  p and np Charts"/>
    <hyperlink ref="E33" location="'E-10 Binomial Distribution'!A1" display="E-10  Binomial Distribution (Defective Units)"/>
    <hyperlink ref="E34" location="'E-06 Data Collection Plan'!A1" display="E-06  Operational Definitions and Data Collection Plan"/>
    <hyperlink ref="B119" location="'E-28 Variance Tests'!A1" display="E-28  Tests for Variance: F, Levene, Bartlett"/>
    <hyperlink ref="C119" location="'E-30 Chi-Square Tests'!A1" display="E-30  Chi-Square Tests and Fisher Exact"/>
    <hyperlink ref="D119" location="'E-16 CI Proportion StdDev'!A1" display="E-16  Confidence Intervals for Proportion and Std Dev"/>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4038</v>
      </c>
      <c r="C2" s="3"/>
      <c r="D2" s="3"/>
      <c r="E2" s="3"/>
      <c r="F2" s="3"/>
      <c r="G2" s="3"/>
      <c r="H2" s="3"/>
      <c r="I2" s="3"/>
      <c r="J2" s="3"/>
      <c r="K2" s="80" t="s">
        <v>2864</v>
      </c>
    </row>
    <row r="3" customFormat="false" ht="28.5" hidden="false" customHeight="true" outlineLevel="0" collapsed="false">
      <c r="B3" s="5" t="s">
        <v>3</v>
      </c>
      <c r="D3" s="6" t="s">
        <v>4039</v>
      </c>
      <c r="E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439</v>
      </c>
      <c r="D6" s="9"/>
    </row>
    <row r="7" customFormat="false" ht="31.5" hidden="false" customHeight="true" outlineLevel="0" collapsed="false">
      <c r="B7" s="47" t="s">
        <v>1394</v>
      </c>
      <c r="C7" s="9" t="s">
        <v>4040</v>
      </c>
      <c r="D7" s="9"/>
    </row>
    <row r="8" customFormat="false" ht="31.5" hidden="false" customHeight="true" outlineLevel="0" collapsed="false">
      <c r="B8" s="47" t="s">
        <v>1396</v>
      </c>
      <c r="C8" s="9" t="s">
        <v>4041</v>
      </c>
      <c r="D8" s="9"/>
    </row>
    <row r="10" customFormat="false" ht="15.75" hidden="false" customHeight="true" outlineLevel="0" collapsed="false">
      <c r="B10" s="7" t="s">
        <v>1398</v>
      </c>
      <c r="C10" s="8"/>
      <c r="D10" s="8"/>
      <c r="E10" s="8"/>
      <c r="F10" s="8"/>
      <c r="G10" s="8"/>
      <c r="H10" s="8"/>
      <c r="I10" s="8"/>
      <c r="J10" s="8"/>
      <c r="K10" s="8"/>
    </row>
    <row r="11" customFormat="false" ht="15.75" hidden="false" customHeight="true" outlineLevel="0" collapsed="false">
      <c r="B11" s="9" t="s">
        <v>4042</v>
      </c>
      <c r="C11" s="9"/>
      <c r="D11" s="9"/>
      <c r="E11" s="9"/>
      <c r="F11" s="9"/>
    </row>
    <row r="12" customFormat="false" ht="15.75" hidden="false" customHeight="true" outlineLevel="0" collapsed="false">
      <c r="B12" s="9"/>
      <c r="C12" s="9"/>
      <c r="D12" s="9"/>
      <c r="E12" s="9"/>
      <c r="F12" s="9"/>
    </row>
    <row r="13" customFormat="false" ht="11.25" hidden="false" customHeight="true" outlineLevel="0" collapsed="false">
      <c r="B13" s="9" t="s">
        <v>4043</v>
      </c>
      <c r="C13" s="9"/>
      <c r="D13" s="9"/>
      <c r="E13" s="9"/>
      <c r="F13" s="9"/>
    </row>
    <row r="14" customFormat="false" ht="11.25" hidden="false" customHeight="true" outlineLevel="0" collapsed="false">
      <c r="B14" s="9"/>
      <c r="C14" s="9"/>
      <c r="D14" s="9"/>
      <c r="E14" s="9"/>
      <c r="F14" s="9"/>
    </row>
    <row r="15" customFormat="false" ht="11.25" hidden="false" customHeight="true" outlineLevel="0" collapsed="false">
      <c r="B15" s="9"/>
      <c r="C15" s="9"/>
      <c r="D15" s="9"/>
      <c r="E15" s="9"/>
      <c r="F15" s="9"/>
    </row>
    <row r="16" customFormat="false" ht="11.25" hidden="false" customHeight="true" outlineLevel="0" collapsed="false">
      <c r="B16" s="9"/>
      <c r="C16" s="9"/>
      <c r="D16" s="9"/>
      <c r="E16" s="9"/>
      <c r="F16" s="9"/>
    </row>
    <row r="17" customFormat="false" ht="11.25" hidden="false" customHeight="true" outlineLevel="0" collapsed="false">
      <c r="B17" s="9" t="s">
        <v>4044</v>
      </c>
      <c r="C17" s="9"/>
      <c r="D17" s="9"/>
      <c r="E17" s="9"/>
      <c r="F17" s="9"/>
    </row>
    <row r="18" customFormat="false" ht="11.25" hidden="false" customHeight="true" outlineLevel="0" collapsed="false">
      <c r="B18" s="9"/>
      <c r="C18" s="9"/>
      <c r="D18" s="9"/>
      <c r="E18" s="9"/>
      <c r="F18" s="9"/>
    </row>
    <row r="19" customFormat="false" ht="11.25" hidden="false" customHeight="true" outlineLevel="0" collapsed="false">
      <c r="B19" s="9"/>
      <c r="C19" s="9"/>
      <c r="D19" s="9"/>
      <c r="E19" s="9"/>
      <c r="F19" s="9"/>
    </row>
    <row r="20" customFormat="false" ht="11.25" hidden="false" customHeight="true" outlineLevel="0" collapsed="false">
      <c r="B20" s="9"/>
      <c r="C20" s="9"/>
      <c r="D20" s="9"/>
      <c r="E20" s="9"/>
      <c r="F20" s="9"/>
    </row>
    <row r="21" customFormat="false" ht="15.75" hidden="false" customHeight="true" outlineLevel="0" collapsed="false">
      <c r="B21" s="9" t="s">
        <v>4045</v>
      </c>
      <c r="C21" s="9"/>
      <c r="D21" s="9"/>
      <c r="E21" s="9"/>
      <c r="F21" s="9"/>
    </row>
    <row r="22" customFormat="false" ht="15.75" hidden="false" customHeight="true" outlineLevel="0" collapsed="false">
      <c r="B22" s="9"/>
      <c r="C22" s="9"/>
      <c r="D22" s="9"/>
      <c r="E22" s="9"/>
      <c r="F22" s="9"/>
    </row>
    <row r="24" customFormat="false" ht="15.75" hidden="false" customHeight="true" outlineLevel="0" collapsed="false">
      <c r="B24" s="7" t="s">
        <v>1406</v>
      </c>
      <c r="C24" s="8"/>
      <c r="D24" s="8"/>
      <c r="E24" s="8"/>
      <c r="F24" s="8"/>
      <c r="G24" s="8"/>
      <c r="H24" s="8"/>
      <c r="I24" s="8"/>
      <c r="J24" s="8"/>
      <c r="K24" s="8"/>
    </row>
    <row r="25" customFormat="false" ht="17.25" hidden="false" customHeight="true" outlineLevel="0" collapsed="false">
      <c r="B25" s="48" t="s">
        <v>1407</v>
      </c>
      <c r="C25" s="48"/>
      <c r="E25" s="49" t="s">
        <v>1408</v>
      </c>
      <c r="F25" s="49"/>
    </row>
    <row r="26" customFormat="false" ht="31.5" hidden="false" customHeight="true" outlineLevel="0" collapsed="false">
      <c r="B26" s="23" t="s">
        <v>4046</v>
      </c>
      <c r="C26" s="23"/>
      <c r="E26" s="23" t="s">
        <v>4047</v>
      </c>
      <c r="F26" s="23"/>
    </row>
    <row r="27" customFormat="false" ht="31.5" hidden="false" customHeight="true" outlineLevel="0" collapsed="false">
      <c r="B27" s="23" t="s">
        <v>4048</v>
      </c>
      <c r="C27" s="23"/>
      <c r="E27" s="23" t="s">
        <v>4049</v>
      </c>
      <c r="F27" s="23"/>
    </row>
    <row r="28" customFormat="false" ht="31.5" hidden="false" customHeight="true" outlineLevel="0" collapsed="false">
      <c r="B28" s="23" t="s">
        <v>4050</v>
      </c>
      <c r="C28" s="23"/>
      <c r="E28" s="23" t="s">
        <v>4051</v>
      </c>
      <c r="F28" s="23"/>
    </row>
    <row r="29" customFormat="false" ht="17.25" hidden="false" customHeight="true" outlineLevel="0" collapsed="false">
      <c r="B29" s="23" t="s">
        <v>4052</v>
      </c>
      <c r="C29" s="23"/>
      <c r="D29" s="23"/>
      <c r="E29" s="23"/>
      <c r="F29" s="23"/>
    </row>
    <row r="31" customFormat="false" ht="16.5" hidden="false" customHeight="true" outlineLevel="0" collapsed="false">
      <c r="B31" s="11" t="s">
        <v>1416</v>
      </c>
      <c r="C31" s="11" t="s">
        <v>1417</v>
      </c>
      <c r="D31" s="11" t="s">
        <v>1418</v>
      </c>
      <c r="E31" s="11" t="s">
        <v>1419</v>
      </c>
    </row>
    <row r="32" customFormat="false" ht="44.25" hidden="false" customHeight="true" outlineLevel="0" collapsed="false">
      <c r="B32" s="12" t="s">
        <v>4053</v>
      </c>
      <c r="C32" s="12" t="s">
        <v>4054</v>
      </c>
      <c r="D32" s="12" t="s">
        <v>4055</v>
      </c>
      <c r="E32" s="12"/>
    </row>
    <row r="33" customFormat="false" ht="30.75" hidden="false" customHeight="true" outlineLevel="0" collapsed="false">
      <c r="B33" s="12" t="s">
        <v>1547</v>
      </c>
      <c r="C33" s="12" t="s">
        <v>4056</v>
      </c>
      <c r="D33" s="12" t="s">
        <v>4057</v>
      </c>
      <c r="E33" s="50" t="s">
        <v>1546</v>
      </c>
    </row>
    <row r="34" customFormat="false" ht="30.75" hidden="false" customHeight="true" outlineLevel="0" collapsed="false">
      <c r="B34" s="12" t="s">
        <v>4058</v>
      </c>
      <c r="C34" s="12" t="s">
        <v>4059</v>
      </c>
      <c r="D34" s="12" t="s">
        <v>4060</v>
      </c>
      <c r="E34" s="50" t="s">
        <v>1202</v>
      </c>
    </row>
    <row r="36" customFormat="false" ht="15.75" hidden="false" customHeight="true" outlineLevel="0" collapsed="false">
      <c r="B36" s="7" t="s">
        <v>1429</v>
      </c>
      <c r="C36" s="8"/>
      <c r="D36" s="8"/>
      <c r="E36" s="8"/>
      <c r="F36" s="8"/>
      <c r="G36" s="8"/>
      <c r="H36" s="8"/>
      <c r="I36" s="8"/>
      <c r="J36" s="8"/>
      <c r="K36" s="8"/>
    </row>
    <row r="37" customFormat="false" ht="15" hidden="false" customHeight="true" outlineLevel="0" collapsed="false">
      <c r="B37" s="47" t="s">
        <v>4061</v>
      </c>
    </row>
    <row r="38" customFormat="false" ht="17.25" hidden="false" customHeight="true" outlineLevel="0" collapsed="false">
      <c r="B38" s="52" t="s">
        <v>4062</v>
      </c>
      <c r="C38" s="52"/>
      <c r="D38" s="52"/>
      <c r="E38" s="52"/>
      <c r="F38" s="52"/>
    </row>
    <row r="39" customFormat="false" ht="15" hidden="false" customHeight="true" outlineLevel="0" collapsed="false">
      <c r="B39" s="47" t="s">
        <v>4063</v>
      </c>
    </row>
    <row r="40" customFormat="false" ht="17.25" hidden="false" customHeight="true" outlineLevel="0" collapsed="false">
      <c r="B40" s="52" t="s">
        <v>4064</v>
      </c>
      <c r="C40" s="52"/>
      <c r="D40" s="52"/>
      <c r="E40" s="52"/>
      <c r="F40" s="52"/>
    </row>
    <row r="41" customFormat="false" ht="15" hidden="false" customHeight="true" outlineLevel="0" collapsed="false">
      <c r="B41" s="59" t="s">
        <v>4065</v>
      </c>
    </row>
    <row r="42" customFormat="false" ht="15" hidden="false" customHeight="true" outlineLevel="0" collapsed="false">
      <c r="B42" s="59" t="s">
        <v>4066</v>
      </c>
    </row>
    <row r="43" customFormat="false" ht="15" hidden="false" customHeight="true" outlineLevel="0" collapsed="false">
      <c r="B43" s="47" t="s">
        <v>4067</v>
      </c>
    </row>
    <row r="44" customFormat="false" ht="17.25" hidden="false" customHeight="true" outlineLevel="0" collapsed="false">
      <c r="B44" s="52" t="s">
        <v>4068</v>
      </c>
      <c r="C44" s="52"/>
      <c r="D44" s="52"/>
      <c r="E44" s="52"/>
      <c r="F44" s="52"/>
    </row>
    <row r="45" customFormat="false" ht="17.25" hidden="false" customHeight="true" outlineLevel="0" collapsed="false">
      <c r="B45" s="52" t="s">
        <v>4069</v>
      </c>
      <c r="C45" s="52"/>
      <c r="D45" s="52"/>
      <c r="E45" s="52"/>
      <c r="F45" s="52"/>
    </row>
    <row r="46" customFormat="false" ht="17.25" hidden="false" customHeight="true" outlineLevel="0" collapsed="false">
      <c r="B46" s="51" t="s">
        <v>4070</v>
      </c>
      <c r="C46" s="51"/>
      <c r="D46" s="51"/>
      <c r="E46" s="51"/>
      <c r="F46" s="51"/>
    </row>
    <row r="47" customFormat="false" ht="17.25" hidden="false" customHeight="true" outlineLevel="0" collapsed="false">
      <c r="B47" s="52" t="s">
        <v>4071</v>
      </c>
      <c r="C47" s="52"/>
      <c r="D47" s="52"/>
      <c r="E47" s="52"/>
      <c r="F47" s="52"/>
    </row>
    <row r="49" customFormat="false" ht="15.75" hidden="false" customHeight="true" outlineLevel="0" collapsed="false">
      <c r="B49" s="7" t="s">
        <v>1437</v>
      </c>
      <c r="C49" s="8"/>
      <c r="D49" s="8"/>
      <c r="E49" s="8"/>
      <c r="F49" s="8"/>
      <c r="G49" s="8"/>
      <c r="H49" s="8"/>
      <c r="I49" s="8"/>
      <c r="J49" s="8"/>
      <c r="K49" s="8"/>
    </row>
    <row r="50" customFormat="false" ht="16.5" hidden="false" customHeight="true" outlineLevel="0" collapsed="false">
      <c r="B50" s="11" t="s">
        <v>1438</v>
      </c>
      <c r="C50" s="11" t="s">
        <v>1439</v>
      </c>
      <c r="D50" s="11" t="s">
        <v>1440</v>
      </c>
    </row>
    <row r="51" customFormat="false" ht="30.75" hidden="false" customHeight="true" outlineLevel="0" collapsed="false">
      <c r="B51" s="12" t="s">
        <v>4072</v>
      </c>
      <c r="C51" s="12" t="s">
        <v>4073</v>
      </c>
      <c r="D51" s="12" t="s">
        <v>4074</v>
      </c>
    </row>
    <row r="52" customFormat="false" ht="30.75" hidden="false" customHeight="true" outlineLevel="0" collapsed="false">
      <c r="B52" s="12" t="s">
        <v>2217</v>
      </c>
      <c r="C52" s="12" t="s">
        <v>4075</v>
      </c>
      <c r="D52" s="12" t="s">
        <v>4076</v>
      </c>
    </row>
    <row r="53" customFormat="false" ht="16.5" hidden="false" customHeight="true" outlineLevel="0" collapsed="false">
      <c r="B53" s="12" t="s">
        <v>2214</v>
      </c>
      <c r="C53" s="12" t="s">
        <v>4077</v>
      </c>
      <c r="D53" s="12" t="s">
        <v>4078</v>
      </c>
    </row>
    <row r="54" customFormat="false" ht="16.5" hidden="false" customHeight="true" outlineLevel="0" collapsed="false">
      <c r="B54" s="12" t="s">
        <v>4079</v>
      </c>
      <c r="C54" s="12" t="s">
        <v>4080</v>
      </c>
      <c r="D54" s="12" t="s">
        <v>4081</v>
      </c>
    </row>
    <row r="55" customFormat="false" ht="30.75" hidden="false" customHeight="true" outlineLevel="0" collapsed="false">
      <c r="B55" s="12" t="s">
        <v>4082</v>
      </c>
      <c r="C55" s="12" t="s">
        <v>4083</v>
      </c>
      <c r="D55" s="12" t="s">
        <v>4084</v>
      </c>
    </row>
    <row r="56" customFormat="false" ht="30.75" hidden="false" customHeight="true" outlineLevel="0" collapsed="false">
      <c r="B56" s="12" t="s">
        <v>1920</v>
      </c>
      <c r="C56" s="12" t="s">
        <v>4085</v>
      </c>
      <c r="D56" s="12" t="s">
        <v>4086</v>
      </c>
    </row>
    <row r="57" customFormat="false" ht="28.5" hidden="false" customHeight="true" outlineLevel="0" collapsed="false">
      <c r="B57" s="16" t="s">
        <v>1453</v>
      </c>
      <c r="C57" s="16"/>
      <c r="D57" s="16"/>
      <c r="E57" s="16"/>
      <c r="F57" s="16"/>
    </row>
    <row r="59" customFormat="false" ht="15.75" hidden="false" customHeight="true" outlineLevel="0" collapsed="false">
      <c r="B59" s="7" t="s">
        <v>1454</v>
      </c>
      <c r="C59" s="8"/>
      <c r="D59" s="8"/>
      <c r="E59" s="8"/>
      <c r="F59" s="8"/>
      <c r="G59" s="8"/>
      <c r="H59" s="8"/>
      <c r="I59" s="8"/>
      <c r="J59" s="8"/>
      <c r="K59" s="8"/>
    </row>
    <row r="60" customFormat="false" ht="15.75" hidden="false" customHeight="true" outlineLevel="0" collapsed="false">
      <c r="B60" s="9" t="s">
        <v>4087</v>
      </c>
      <c r="C60" s="9"/>
      <c r="D60" s="9"/>
      <c r="E60" s="9"/>
      <c r="F60" s="9"/>
    </row>
    <row r="61" customFormat="false" ht="15.75" hidden="false" customHeight="true" outlineLevel="0" collapsed="false">
      <c r="B61" s="9"/>
      <c r="C61" s="9"/>
      <c r="D61" s="9"/>
      <c r="E61" s="9"/>
      <c r="F61" s="9"/>
    </row>
    <row r="62" customFormat="false" ht="15" hidden="false" customHeight="true" outlineLevel="0" collapsed="false">
      <c r="B62" s="19" t="s">
        <v>85</v>
      </c>
      <c r="C62" s="41" t="s">
        <v>86</v>
      </c>
    </row>
    <row r="64" customFormat="false" ht="15.75" hidden="false" customHeight="true" outlineLevel="0" collapsed="false">
      <c r="B64" s="7" t="s">
        <v>4088</v>
      </c>
      <c r="C64" s="8"/>
      <c r="D64" s="8"/>
      <c r="E64" s="8"/>
      <c r="F64" s="8"/>
      <c r="G64" s="8"/>
      <c r="H64" s="8"/>
      <c r="I64" s="8"/>
      <c r="J64" s="8"/>
      <c r="K64" s="8"/>
    </row>
    <row r="65" customFormat="false" ht="16.5" hidden="false" customHeight="true" outlineLevel="0" collapsed="false">
      <c r="B65" s="11" t="s">
        <v>4089</v>
      </c>
      <c r="C65" s="11" t="s">
        <v>3693</v>
      </c>
      <c r="D65" s="11" t="s">
        <v>3694</v>
      </c>
      <c r="E65" s="11" t="s">
        <v>3695</v>
      </c>
      <c r="F65" s="11" t="s">
        <v>4090</v>
      </c>
    </row>
    <row r="66" customFormat="false" ht="15" hidden="false" customHeight="true" outlineLevel="0" collapsed="false">
      <c r="B66" s="78" t="s">
        <v>4091</v>
      </c>
      <c r="C66" s="65" t="n">
        <v>18</v>
      </c>
      <c r="D66" s="65" t="n">
        <v>22</v>
      </c>
      <c r="E66" s="65" t="n">
        <v>61</v>
      </c>
      <c r="F66" s="44" t="n">
        <f aca="false">SUM(C66:E66)</f>
        <v>101</v>
      </c>
    </row>
    <row r="67" customFormat="false" ht="15" hidden="false" customHeight="true" outlineLevel="0" collapsed="false">
      <c r="B67" s="78" t="s">
        <v>4092</v>
      </c>
      <c r="C67" s="65" t="n">
        <v>25</v>
      </c>
      <c r="D67" s="65" t="n">
        <v>21</v>
      </c>
      <c r="E67" s="65" t="n">
        <v>24</v>
      </c>
      <c r="F67" s="44" t="n">
        <f aca="false">SUM(C67:E67)</f>
        <v>70</v>
      </c>
    </row>
    <row r="68" customFormat="false" ht="15" hidden="false" customHeight="true" outlineLevel="0" collapsed="false">
      <c r="B68" s="78" t="s">
        <v>4093</v>
      </c>
      <c r="C68" s="65" t="n">
        <v>14</v>
      </c>
      <c r="D68" s="65" t="n">
        <v>17</v>
      </c>
      <c r="E68" s="65" t="n">
        <v>15</v>
      </c>
      <c r="F68" s="44" t="n">
        <f aca="false">SUM(C68:E68)</f>
        <v>46</v>
      </c>
    </row>
    <row r="69" customFormat="false" ht="15" hidden="false" customHeight="true" outlineLevel="0" collapsed="false">
      <c r="B69" s="78" t="s">
        <v>4094</v>
      </c>
      <c r="C69" s="44" t="n">
        <f aca="false">SUM(C66:C68)</f>
        <v>57</v>
      </c>
      <c r="D69" s="44" t="n">
        <f aca="false">SUM(D66:D68)</f>
        <v>60</v>
      </c>
      <c r="E69" s="44" t="n">
        <f aca="false">SUM(E66:E68)</f>
        <v>100</v>
      </c>
      <c r="F69" s="44" t="n">
        <f aca="false">SUM(F66:F68)</f>
        <v>217</v>
      </c>
    </row>
    <row r="71" customFormat="false" ht="15" hidden="false" customHeight="true" outlineLevel="0" collapsed="false">
      <c r="B71" s="10" t="s">
        <v>2228</v>
      </c>
      <c r="C71" s="75" t="n">
        <v>0.05</v>
      </c>
    </row>
    <row r="73" customFormat="false" ht="15.75" hidden="false" customHeight="true" outlineLevel="0" collapsed="false">
      <c r="B73" s="7" t="s">
        <v>4095</v>
      </c>
      <c r="C73" s="8"/>
      <c r="D73" s="8"/>
      <c r="E73" s="8"/>
      <c r="F73" s="8"/>
      <c r="G73" s="8"/>
      <c r="H73" s="8"/>
      <c r="I73" s="8"/>
      <c r="J73" s="8"/>
      <c r="K73" s="8"/>
    </row>
    <row r="74" customFormat="false" ht="16.5" hidden="false" customHeight="true" outlineLevel="0" collapsed="false">
      <c r="B74" s="11" t="s">
        <v>4089</v>
      </c>
      <c r="C74" s="11" t="s">
        <v>3693</v>
      </c>
      <c r="D74" s="11" t="s">
        <v>3694</v>
      </c>
      <c r="E74" s="11" t="s">
        <v>3695</v>
      </c>
    </row>
    <row r="75" customFormat="false" ht="15" hidden="false" customHeight="true" outlineLevel="0" collapsed="false">
      <c r="B75" s="91" t="s">
        <v>4091</v>
      </c>
      <c r="C75" s="64" t="n">
        <f aca="false">$F$66*C$69/$F$69</f>
        <v>26.5299539170507</v>
      </c>
      <c r="D75" s="64" t="n">
        <f aca="false">$F$66*D$69/$F$69</f>
        <v>27.926267281106</v>
      </c>
      <c r="E75" s="64" t="n">
        <f aca="false">$F$66*E$69/$F$69</f>
        <v>46.5437788018433</v>
      </c>
    </row>
    <row r="76" customFormat="false" ht="15" hidden="false" customHeight="true" outlineLevel="0" collapsed="false">
      <c r="B76" s="91" t="s">
        <v>4092</v>
      </c>
      <c r="C76" s="64" t="n">
        <f aca="false">$F$67*C$69/$F$69</f>
        <v>18.3870967741935</v>
      </c>
      <c r="D76" s="64" t="n">
        <f aca="false">$F$67*D$69/$F$69</f>
        <v>19.3548387096774</v>
      </c>
      <c r="E76" s="64" t="n">
        <f aca="false">$F$67*E$69/$F$69</f>
        <v>32.258064516129</v>
      </c>
    </row>
    <row r="77" customFormat="false" ht="15" hidden="false" customHeight="true" outlineLevel="0" collapsed="false">
      <c r="B77" s="91" t="s">
        <v>4093</v>
      </c>
      <c r="C77" s="64" t="n">
        <f aca="false">$F$68*C$69/$F$69</f>
        <v>12.0829493087558</v>
      </c>
      <c r="D77" s="64" t="n">
        <f aca="false">$F$68*D$69/$F$69</f>
        <v>12.7188940092166</v>
      </c>
      <c r="E77" s="64" t="n">
        <f aca="false">$F$68*E$69/$F$69</f>
        <v>21.1981566820277</v>
      </c>
    </row>
    <row r="79" customFormat="false" ht="15.75" hidden="false" customHeight="true" outlineLevel="0" collapsed="false">
      <c r="B79" s="7" t="s">
        <v>4096</v>
      </c>
      <c r="C79" s="8"/>
      <c r="D79" s="8"/>
      <c r="E79" s="8"/>
      <c r="F79" s="8"/>
      <c r="G79" s="8"/>
      <c r="H79" s="8"/>
      <c r="I79" s="8"/>
      <c r="J79" s="8"/>
      <c r="K79" s="8"/>
    </row>
    <row r="80" customFormat="false" ht="16.5" hidden="false" customHeight="true" outlineLevel="0" collapsed="false">
      <c r="B80" s="11" t="s">
        <v>4089</v>
      </c>
      <c r="C80" s="11" t="s">
        <v>3693</v>
      </c>
      <c r="D80" s="11" t="s">
        <v>3694</v>
      </c>
      <c r="E80" s="11" t="s">
        <v>3695</v>
      </c>
      <c r="F80" s="11" t="s">
        <v>4097</v>
      </c>
    </row>
    <row r="81" customFormat="false" ht="15" hidden="false" customHeight="true" outlineLevel="0" collapsed="false">
      <c r="B81" s="91" t="s">
        <v>4091</v>
      </c>
      <c r="C81" s="63" t="n">
        <f aca="false">(C66-C75)^2/C75</f>
        <v>2.74256465180838</v>
      </c>
      <c r="D81" s="63" t="n">
        <f aca="false">(D66-D75)^2/D75</f>
        <v>1.25762041641952</v>
      </c>
      <c r="E81" s="63" t="n">
        <f aca="false">(E66-E75)^2/E75</f>
        <v>4.49001642560569</v>
      </c>
      <c r="F81" s="76" t="n">
        <f aca="false">IFERROR(SUM(C81:E81)/SUM($C$81:$E$83),0)</f>
        <v>0.509008955505983</v>
      </c>
    </row>
    <row r="82" customFormat="false" ht="15" hidden="false" customHeight="true" outlineLevel="0" collapsed="false">
      <c r="B82" s="91" t="s">
        <v>4092</v>
      </c>
      <c r="C82" s="63" t="n">
        <f aca="false">(C67-C76)^2/C76</f>
        <v>2.37832484436899</v>
      </c>
      <c r="D82" s="63" t="n">
        <f aca="false">(D67-D76)^2/D76</f>
        <v>0.139838709677419</v>
      </c>
      <c r="E82" s="63" t="n">
        <f aca="false">(E67-E76)^2/E76</f>
        <v>2.11406451612903</v>
      </c>
      <c r="F82" s="76" t="n">
        <f aca="false">IFERROR(SUM(C82:E82)/SUM($C$81:$E$83),0)</f>
        <v>0.277713735460577</v>
      </c>
    </row>
    <row r="83" customFormat="false" ht="15" hidden="false" customHeight="true" outlineLevel="0" collapsed="false">
      <c r="B83" s="91" t="s">
        <v>4093</v>
      </c>
      <c r="C83" s="63" t="n">
        <f aca="false">(C68-C77)^2/C77</f>
        <v>0.304154495636005</v>
      </c>
      <c r="D83" s="63" t="n">
        <f aca="false">(D68-D77)^2/D77</f>
        <v>1.44099545849195</v>
      </c>
      <c r="E83" s="63" t="n">
        <f aca="false">(E68-E77)^2/E77</f>
        <v>1.81228711681026</v>
      </c>
      <c r="F83" s="76" t="n">
        <f aca="false">IFERROR(SUM(C83:E83)/SUM($C$81:$E$83),0)</f>
        <v>0.21327730903344</v>
      </c>
    </row>
    <row r="85" customFormat="false" ht="15" hidden="false" customHeight="true" outlineLevel="0" collapsed="false">
      <c r="B85" s="10" t="s">
        <v>4098</v>
      </c>
      <c r="C85" s="66" t="n">
        <f aca="false">SUM($C$81:$E$83)</f>
        <v>16.6798666349472</v>
      </c>
    </row>
    <row r="86" customFormat="false" ht="15" hidden="false" customHeight="true" outlineLevel="0" collapsed="false">
      <c r="B86" s="10" t="s">
        <v>2834</v>
      </c>
      <c r="C86" s="44" t="n">
        <f aca="false">(ROWS($C$66:$E$68)-1)*(COLUMNS($C$66:$E$68)-1)</f>
        <v>4</v>
      </c>
    </row>
    <row r="87" customFormat="false" ht="15" hidden="false" customHeight="true" outlineLevel="0" collapsed="false">
      <c r="B87" s="10" t="s">
        <v>3007</v>
      </c>
      <c r="C87" s="77" t="n">
        <f aca="false">CHIDIST(C85,C86)</f>
        <v>0.0022302664759329</v>
      </c>
    </row>
    <row r="88" customFormat="false" ht="15" hidden="false" customHeight="true" outlineLevel="0" collapsed="false">
      <c r="B88" s="10" t="s">
        <v>4099</v>
      </c>
      <c r="C88" s="77" t="n">
        <f aca="false">CHITEST($C$66:$E$68,$C$75:$E$77)</f>
        <v>0.0022302664759329</v>
      </c>
    </row>
    <row r="89" customFormat="false" ht="15" hidden="false" customHeight="true" outlineLevel="0" collapsed="false">
      <c r="B89" s="10" t="s">
        <v>4100</v>
      </c>
      <c r="C89" s="66" t="n">
        <f aca="false">CHIINV(C71,C86)</f>
        <v>9.48772903678116</v>
      </c>
    </row>
    <row r="90" customFormat="false" ht="15" hidden="false" customHeight="true" outlineLevel="0" collapsed="false">
      <c r="B90" s="10" t="s">
        <v>4101</v>
      </c>
      <c r="C90" s="63" t="n">
        <f aca="false">IFERROR(SQRT(C85/($F$69*(MIN(ROWS($C$66:$E$68),COLUMNS($C$66:$E$68))-1))),0)</f>
        <v>0.19604303719019</v>
      </c>
    </row>
    <row r="91" customFormat="false" ht="15" hidden="false" customHeight="true" outlineLevel="0" collapsed="false">
      <c r="B91" s="10" t="s">
        <v>4102</v>
      </c>
      <c r="C91" s="44" t="n">
        <f aca="false">COUNTIF($C$75:$E$77,"&lt;5")</f>
        <v>0</v>
      </c>
    </row>
    <row r="92" customFormat="false" ht="15" hidden="false" customHeight="true" outlineLevel="0" collapsed="false">
      <c r="B92" s="10" t="s">
        <v>4103</v>
      </c>
      <c r="C92" s="76" t="n">
        <f aca="false">IFERROR(MAX($C$81:$E$83)/SUM($C$81:$E$83),0)</f>
        <v>0.26918778931951</v>
      </c>
    </row>
    <row r="94" customFormat="false" ht="15.75" hidden="false" customHeight="true" outlineLevel="0" collapsed="false">
      <c r="B94" s="7" t="s">
        <v>4104</v>
      </c>
      <c r="C94" s="8"/>
      <c r="D94" s="8"/>
      <c r="E94" s="8"/>
      <c r="F94" s="8"/>
      <c r="G94" s="8"/>
      <c r="H94" s="8"/>
      <c r="I94" s="8"/>
      <c r="J94" s="8"/>
      <c r="K94" s="8"/>
    </row>
    <row r="95" customFormat="false" ht="15" hidden="false" customHeight="true" outlineLevel="0" collapsed="false">
      <c r="B95" s="10" t="s">
        <v>4105</v>
      </c>
      <c r="C95" s="65" t="n">
        <v>8</v>
      </c>
    </row>
    <row r="96" customFormat="false" ht="15" hidden="false" customHeight="true" outlineLevel="0" collapsed="false">
      <c r="B96" s="10" t="s">
        <v>4106</v>
      </c>
      <c r="C96" s="65" t="n">
        <v>2</v>
      </c>
    </row>
    <row r="97" customFormat="false" ht="15" hidden="false" customHeight="true" outlineLevel="0" collapsed="false">
      <c r="B97" s="10" t="s">
        <v>4107</v>
      </c>
      <c r="C97" s="65" t="n">
        <v>3</v>
      </c>
    </row>
    <row r="98" customFormat="false" ht="15" hidden="false" customHeight="true" outlineLevel="0" collapsed="false">
      <c r="B98" s="10" t="s">
        <v>4108</v>
      </c>
      <c r="C98" s="65" t="n">
        <v>9</v>
      </c>
    </row>
    <row r="99" customFormat="false" ht="15" hidden="false" customHeight="true" outlineLevel="0" collapsed="false">
      <c r="B99" s="10" t="s">
        <v>3701</v>
      </c>
      <c r="C99" s="44" t="n">
        <f aca="false">C95+C96+C97+C98</f>
        <v>22</v>
      </c>
    </row>
    <row r="100" customFormat="false" ht="15" hidden="false" customHeight="true" outlineLevel="0" collapsed="false">
      <c r="B100" s="10" t="s">
        <v>4109</v>
      </c>
      <c r="C100" s="44" t="n">
        <f aca="false">C95+C96</f>
        <v>10</v>
      </c>
    </row>
    <row r="101" customFormat="false" ht="15" hidden="false" customHeight="true" outlineLevel="0" collapsed="false">
      <c r="B101" s="10" t="s">
        <v>4110</v>
      </c>
      <c r="C101" s="44" t="n">
        <f aca="false">C95+C97</f>
        <v>11</v>
      </c>
    </row>
    <row r="102" customFormat="false" ht="15.75" hidden="false" customHeight="true" outlineLevel="0" collapsed="false">
      <c r="B102" s="16" t="s">
        <v>4111</v>
      </c>
      <c r="C102" s="16"/>
      <c r="D102" s="16"/>
      <c r="E102" s="16"/>
      <c r="F102" s="16"/>
    </row>
    <row r="103" customFormat="false" ht="16.5" hidden="false" customHeight="true" outlineLevel="0" collapsed="false">
      <c r="B103" s="11" t="s">
        <v>4112</v>
      </c>
      <c r="C103" s="11" t="s">
        <v>4113</v>
      </c>
      <c r="D103" s="11" t="s">
        <v>4114</v>
      </c>
    </row>
    <row r="104" customFormat="false" ht="15" hidden="false" customHeight="true" outlineLevel="0" collapsed="false">
      <c r="B104" s="27" t="n">
        <v>0</v>
      </c>
      <c r="C104" s="72" t="n">
        <f aca="false">IFERROR(_xlfn.HYPGEOM.DIST(B104,C100,C101,C99,0),0)</f>
        <v>1.70108529241656E-005</v>
      </c>
      <c r="D104" s="72" t="n">
        <f aca="false">IF(B104&gt;=C95,C104,0)</f>
        <v>0</v>
      </c>
    </row>
    <row r="105" customFormat="false" ht="15" hidden="false" customHeight="true" outlineLevel="0" collapsed="false">
      <c r="B105" s="27" t="n">
        <v>1</v>
      </c>
      <c r="C105" s="72" t="n">
        <f aca="false">IFERROR(_xlfn.HYPGEOM.DIST(B105,C100,C101,C99,0),0)</f>
        <v>0.000935596910829109</v>
      </c>
      <c r="D105" s="72" t="n">
        <f aca="false">IF(B105&gt;=C95,C105,0)</f>
        <v>0</v>
      </c>
    </row>
    <row r="106" customFormat="false" ht="15" hidden="false" customHeight="true" outlineLevel="0" collapsed="false">
      <c r="B106" s="27" t="n">
        <v>2</v>
      </c>
      <c r="C106" s="72" t="n">
        <f aca="false">IFERROR(_xlfn.HYPGEOM.DIST(B106,C100,C101,C99,0),0)</f>
        <v>0.0140339536624366</v>
      </c>
      <c r="D106" s="72" t="n">
        <f aca="false">IF(B106&gt;=C95,C106,0)</f>
        <v>0</v>
      </c>
    </row>
    <row r="107" customFormat="false" ht="15" hidden="false" customHeight="true" outlineLevel="0" collapsed="false">
      <c r="B107" s="27" t="n">
        <v>3</v>
      </c>
      <c r="C107" s="72" t="n">
        <f aca="false">IFERROR(_xlfn.HYPGEOM.DIST(B107,C100,C101,C99,0),0)</f>
        <v>0.0842037219746198</v>
      </c>
      <c r="D107" s="72" t="n">
        <f aca="false">IF(B107&gt;=C95,C107,0)</f>
        <v>0</v>
      </c>
    </row>
    <row r="108" customFormat="false" ht="15" hidden="false" customHeight="true" outlineLevel="0" collapsed="false">
      <c r="B108" s="27" t="n">
        <v>4</v>
      </c>
      <c r="C108" s="72" t="n">
        <f aca="false">IFERROR(_xlfn.HYPGEOM.DIST(B108,C100,C101,C99,0),0)</f>
        <v>0.235770421528935</v>
      </c>
      <c r="D108" s="72" t="n">
        <f aca="false">IF(B108&gt;=C95,C108,0)</f>
        <v>0</v>
      </c>
    </row>
    <row r="109" customFormat="false" ht="15" hidden="false" customHeight="true" outlineLevel="0" collapsed="false">
      <c r="B109" s="27" t="n">
        <v>5</v>
      </c>
      <c r="C109" s="72" t="n">
        <f aca="false">IFERROR(_xlfn.HYPGEOM.DIST(B109,C100,C101,C99,0),0)</f>
        <v>0.33007859014051</v>
      </c>
      <c r="D109" s="72" t="n">
        <f aca="false">IF(B109&gt;=C95,C109,0)</f>
        <v>0</v>
      </c>
    </row>
    <row r="110" customFormat="false" ht="15" hidden="false" customHeight="true" outlineLevel="0" collapsed="false">
      <c r="B110" s="27" t="n">
        <v>6</v>
      </c>
      <c r="C110" s="72" t="n">
        <f aca="false">IFERROR(_xlfn.HYPGEOM.DIST(B110,C100,C101,C99,0),0)</f>
        <v>0.235770421528935</v>
      </c>
      <c r="D110" s="72" t="n">
        <f aca="false">IF(B110&gt;=C95,C110,0)</f>
        <v>0</v>
      </c>
    </row>
    <row r="111" customFormat="false" ht="15" hidden="false" customHeight="true" outlineLevel="0" collapsed="false">
      <c r="B111" s="27" t="n">
        <v>7</v>
      </c>
      <c r="C111" s="72" t="n">
        <f aca="false">IFERROR(_xlfn.HYPGEOM.DIST(B111,C100,C101,C99,0),0)</f>
        <v>0.0842037219746198</v>
      </c>
      <c r="D111" s="72" t="n">
        <f aca="false">IF(B111&gt;=C95,C111,0)</f>
        <v>0</v>
      </c>
    </row>
    <row r="112" customFormat="false" ht="15" hidden="false" customHeight="true" outlineLevel="0" collapsed="false">
      <c r="B112" s="27" t="n">
        <v>8</v>
      </c>
      <c r="C112" s="72" t="n">
        <f aca="false">IFERROR(_xlfn.HYPGEOM.DIST(B112,C100,C101,C99,0),0)</f>
        <v>0.0140339536624366</v>
      </c>
      <c r="D112" s="72" t="n">
        <f aca="false">IF(B112&gt;=C95,C112,0)</f>
        <v>0.0140339536624366</v>
      </c>
    </row>
    <row r="113" customFormat="false" ht="15" hidden="false" customHeight="true" outlineLevel="0" collapsed="false">
      <c r="B113" s="27" t="n">
        <v>9</v>
      </c>
      <c r="C113" s="72" t="n">
        <f aca="false">IFERROR(_xlfn.HYPGEOM.DIST(B113,C100,C101,C99,0),0)</f>
        <v>0.000935596910829109</v>
      </c>
      <c r="D113" s="72" t="n">
        <f aca="false">IF(B113&gt;=C95,C113,0)</f>
        <v>0.000935596910829109</v>
      </c>
    </row>
    <row r="114" customFormat="false" ht="15" hidden="false" customHeight="true" outlineLevel="0" collapsed="false">
      <c r="B114" s="27" t="n">
        <v>10</v>
      </c>
      <c r="C114" s="72" t="n">
        <f aca="false">IFERROR(_xlfn.HYPGEOM.DIST(B114,C100,C101,C99,0),0)</f>
        <v>1.70108529241656E-005</v>
      </c>
      <c r="D114" s="72" t="n">
        <f aca="false">IF(B114&gt;=C95,C114,0)</f>
        <v>1.70108529241656E-005</v>
      </c>
    </row>
    <row r="115" customFormat="false" ht="15" hidden="false" customHeight="true" outlineLevel="0" collapsed="false">
      <c r="B115" s="27" t="n">
        <v>11</v>
      </c>
      <c r="C115" s="72" t="n">
        <f aca="false">IFERROR(_xlfn.HYPGEOM.DIST(B115,C100,C101,C99,0),0)</f>
        <v>0</v>
      </c>
      <c r="D115" s="72" t="n">
        <f aca="false">IF(B115&gt;=C95,C115,0)</f>
        <v>0</v>
      </c>
    </row>
    <row r="116" customFormat="false" ht="15" hidden="false" customHeight="true" outlineLevel="0" collapsed="false">
      <c r="B116" s="27" t="n">
        <v>12</v>
      </c>
      <c r="C116" s="72" t="n">
        <f aca="false">IFERROR(_xlfn.HYPGEOM.DIST(B116,C100,C101,C99,0),0)</f>
        <v>0</v>
      </c>
      <c r="D116" s="72" t="n">
        <f aca="false">IF(B116&gt;=C95,C116,0)</f>
        <v>0</v>
      </c>
    </row>
    <row r="117" customFormat="false" ht="15" hidden="false" customHeight="true" outlineLevel="0" collapsed="false">
      <c r="B117" s="27" t="n">
        <v>13</v>
      </c>
      <c r="C117" s="72" t="n">
        <f aca="false">IFERROR(_xlfn.HYPGEOM.DIST(B117,C100,C101,C99,0),0)</f>
        <v>0</v>
      </c>
      <c r="D117" s="72" t="n">
        <f aca="false">IF(B117&gt;=C95,C117,0)</f>
        <v>0</v>
      </c>
    </row>
    <row r="118" customFormat="false" ht="15" hidden="false" customHeight="true" outlineLevel="0" collapsed="false">
      <c r="B118" s="27" t="n">
        <v>14</v>
      </c>
      <c r="C118" s="72" t="n">
        <f aca="false">IFERROR(_xlfn.HYPGEOM.DIST(B118,C100,C101,C99,0),0)</f>
        <v>0</v>
      </c>
      <c r="D118" s="72" t="n">
        <f aca="false">IF(B118&gt;=C95,C118,0)</f>
        <v>0</v>
      </c>
    </row>
    <row r="119" customFormat="false" ht="15" hidden="false" customHeight="true" outlineLevel="0" collapsed="false">
      <c r="B119" s="27" t="n">
        <v>15</v>
      </c>
      <c r="C119" s="72" t="n">
        <f aca="false">IFERROR(_xlfn.HYPGEOM.DIST(B119,C100,C101,C99,0),0)</f>
        <v>0</v>
      </c>
      <c r="D119" s="72" t="n">
        <f aca="false">IF(B119&gt;=C95,C119,0)</f>
        <v>0</v>
      </c>
    </row>
    <row r="121" customFormat="false" ht="15" hidden="false" customHeight="true" outlineLevel="0" collapsed="false">
      <c r="B121" s="10" t="s">
        <v>4115</v>
      </c>
      <c r="C121" s="77" t="n">
        <f aca="false">SUM($D$104:$D$119)</f>
        <v>0.0149865614261899</v>
      </c>
    </row>
    <row r="122" customFormat="false" ht="15" hidden="false" customHeight="true" outlineLevel="0" collapsed="false">
      <c r="B122" s="10" t="s">
        <v>4116</v>
      </c>
      <c r="C122" s="77" t="n">
        <f aca="false">MIN(1,2*C121)</f>
        <v>0.0299731228523798</v>
      </c>
    </row>
    <row r="124" customFormat="false" ht="15.75" hidden="false" customHeight="true" outlineLevel="0" collapsed="false">
      <c r="B124" s="7" t="s">
        <v>1493</v>
      </c>
      <c r="C124" s="8"/>
      <c r="D124" s="8"/>
      <c r="E124" s="8"/>
      <c r="F124" s="8"/>
      <c r="G124" s="8"/>
      <c r="H124" s="8"/>
      <c r="I124" s="8"/>
      <c r="J124" s="8"/>
      <c r="K124" s="8"/>
    </row>
    <row r="125" customFormat="false" ht="33.75" hidden="false" customHeight="true" outlineLevel="0" collapsed="false">
      <c r="B125" s="53" t="s">
        <v>1494</v>
      </c>
      <c r="C125" s="54" t="str">
        <f aca="false">IF(C91&gt;0,"EXPECTED COUNTS TOO SMALL in "&amp;TEXT(C91,"0")&amp;" cell(s) - the chi-square approximation is unreliable. Combine categories, collect more data, or use Fisher exact on a 2 x 2 table.",IF(C87&lt;C71,"REJECT H0 (chi2 = "&amp;TEXT(C85,"0.00")&amp;", p = "&amp;TEXT(C87,"0.00000")&amp;") - the variables are associated. Cramer V = "&amp;TEXT(C90,"0.00")&amp;". One cell alone contributes "&amp;TEXT(C92,"0%")&amp;" of the statistic: start there.","FAIL TO REJECT H0 (p = "&amp;TEXT(C87,"0.0000")&amp;") - no evidence of association. The defect mix looks the same across the groups."))</f>
        <v>REJECT H0 (chi2 = 16.68, p = 0.00223) - the variables are associated. Cramer V = 0.20. One cell alone contributes 27% of the statistic: start there.</v>
      </c>
      <c r="D125" s="54"/>
      <c r="E125" s="54"/>
    </row>
    <row r="127" customFormat="false" ht="16.5" hidden="false" customHeight="true" outlineLevel="0" collapsed="false">
      <c r="B127" s="11" t="s">
        <v>1495</v>
      </c>
      <c r="C127" s="11" t="s">
        <v>1496</v>
      </c>
      <c r="D127" s="11" t="s">
        <v>1497</v>
      </c>
    </row>
    <row r="128" customFormat="false" ht="30.75" hidden="false" customHeight="true" outlineLevel="0" collapsed="false">
      <c r="B128" s="12" t="s">
        <v>4117</v>
      </c>
      <c r="C128" s="12" t="s">
        <v>4118</v>
      </c>
      <c r="D128" s="12" t="s">
        <v>4119</v>
      </c>
    </row>
    <row r="129" customFormat="false" ht="30.75" hidden="false" customHeight="true" outlineLevel="0" collapsed="false">
      <c r="B129" s="12" t="s">
        <v>3007</v>
      </c>
      <c r="C129" s="12" t="s">
        <v>3444</v>
      </c>
      <c r="D129" s="12" t="s">
        <v>4120</v>
      </c>
    </row>
    <row r="130" customFormat="false" ht="30.75" hidden="false" customHeight="true" outlineLevel="0" collapsed="false">
      <c r="B130" s="12" t="s">
        <v>4121</v>
      </c>
      <c r="C130" s="12" t="s">
        <v>4122</v>
      </c>
      <c r="D130" s="12" t="s">
        <v>4123</v>
      </c>
    </row>
    <row r="131" customFormat="false" ht="30.75" hidden="false" customHeight="true" outlineLevel="0" collapsed="false">
      <c r="B131" s="12" t="s">
        <v>4124</v>
      </c>
      <c r="C131" s="12" t="s">
        <v>4125</v>
      </c>
      <c r="D131" s="12" t="s">
        <v>4126</v>
      </c>
    </row>
    <row r="133" customFormat="false" ht="15" hidden="false" customHeight="true" outlineLevel="0" collapsed="false">
      <c r="B133" s="55" t="s">
        <v>1507</v>
      </c>
    </row>
    <row r="134" customFormat="false" ht="17.25" hidden="false" customHeight="true" outlineLevel="0" collapsed="false">
      <c r="B134" s="9" t="s">
        <v>4127</v>
      </c>
      <c r="C134" s="9"/>
      <c r="D134" s="9"/>
      <c r="E134" s="9"/>
      <c r="F134" s="9"/>
    </row>
    <row r="135" customFormat="false" ht="17.25" hidden="false" customHeight="true" outlineLevel="0" collapsed="false">
      <c r="B135" s="9" t="s">
        <v>4128</v>
      </c>
      <c r="C135" s="9"/>
      <c r="D135" s="9"/>
      <c r="E135" s="9"/>
      <c r="F135" s="9"/>
    </row>
    <row r="136" customFormat="false" ht="17.25" hidden="false" customHeight="true" outlineLevel="0" collapsed="false">
      <c r="B136" s="9" t="s">
        <v>4129</v>
      </c>
      <c r="C136" s="9"/>
      <c r="D136" s="9"/>
      <c r="E136" s="9"/>
      <c r="F136" s="9"/>
    </row>
    <row r="137" customFormat="false" ht="17.25" hidden="false" customHeight="true" outlineLevel="0" collapsed="false">
      <c r="B137" s="9" t="s">
        <v>4130</v>
      </c>
      <c r="C137" s="9"/>
      <c r="D137" s="9"/>
      <c r="E137" s="9"/>
      <c r="F137" s="9"/>
    </row>
    <row r="138" customFormat="false" ht="17.25" hidden="false" customHeight="true" outlineLevel="0" collapsed="false">
      <c r="B138" s="9" t="s">
        <v>4131</v>
      </c>
      <c r="C138" s="9"/>
      <c r="D138" s="9"/>
      <c r="E138" s="9"/>
      <c r="F138" s="9"/>
    </row>
    <row r="140" customFormat="false" ht="15.75" hidden="false" customHeight="true" outlineLevel="0" collapsed="false">
      <c r="B140" s="7" t="s">
        <v>1513</v>
      </c>
      <c r="C140" s="8"/>
      <c r="D140" s="8"/>
      <c r="E140" s="8"/>
      <c r="F140" s="8"/>
      <c r="G140" s="8"/>
      <c r="H140" s="8"/>
      <c r="I140" s="8"/>
      <c r="J140" s="8"/>
      <c r="K140" s="8"/>
    </row>
    <row r="141" customFormat="false" ht="17.25" hidden="false" customHeight="true" outlineLevel="0" collapsed="false">
      <c r="B141" s="9" t="s">
        <v>1514</v>
      </c>
      <c r="C141" s="9"/>
      <c r="D141" s="9"/>
      <c r="E141" s="9"/>
      <c r="N141" s="56" t="s">
        <v>1515</v>
      </c>
    </row>
    <row r="142" customFormat="false" ht="17.25" hidden="false" customHeight="true" outlineLevel="0" collapsed="false">
      <c r="B142" s="9" t="s">
        <v>4132</v>
      </c>
      <c r="C142" s="9"/>
      <c r="D142" s="9"/>
      <c r="E142" s="9"/>
      <c r="N142" s="57" t="s">
        <v>4133</v>
      </c>
    </row>
    <row r="143" customFormat="false" ht="17.25" hidden="false" customHeight="true" outlineLevel="0" collapsed="false">
      <c r="B143" s="9" t="s">
        <v>4134</v>
      </c>
      <c r="C143" s="9"/>
      <c r="D143" s="9"/>
      <c r="E143" s="9"/>
      <c r="N143" s="57" t="s">
        <v>4135</v>
      </c>
    </row>
    <row r="144" customFormat="false" ht="17.25" hidden="false" customHeight="true" outlineLevel="0" collapsed="false">
      <c r="B144" s="9" t="s">
        <v>4136</v>
      </c>
      <c r="C144" s="9"/>
      <c r="D144" s="9"/>
      <c r="E144" s="9"/>
      <c r="N144" s="57" t="s">
        <v>4137</v>
      </c>
    </row>
    <row r="146" customFormat="false" ht="15.75" hidden="false" customHeight="true" outlineLevel="0" collapsed="false">
      <c r="B146" s="7" t="s">
        <v>1522</v>
      </c>
      <c r="C146" s="8"/>
      <c r="D146" s="8"/>
      <c r="E146" s="8"/>
      <c r="F146" s="8"/>
      <c r="G146" s="8"/>
      <c r="H146" s="8"/>
      <c r="I146" s="8"/>
      <c r="J146" s="8"/>
      <c r="K146" s="8"/>
    </row>
    <row r="147" customFormat="false" ht="16.5" hidden="false" customHeight="true" outlineLevel="0" collapsed="false">
      <c r="B147" s="11" t="s">
        <v>1523</v>
      </c>
      <c r="C147" s="11" t="s">
        <v>1524</v>
      </c>
      <c r="D147" s="11" t="s">
        <v>4138</v>
      </c>
    </row>
    <row r="148" customFormat="false" ht="16.5" hidden="false" customHeight="true" outlineLevel="0" collapsed="false">
      <c r="B148" s="58" t="s">
        <v>1074</v>
      </c>
      <c r="C148" s="58" t="s">
        <v>1191</v>
      </c>
      <c r="D148" s="58" t="s">
        <v>1070</v>
      </c>
    </row>
  </sheetData>
  <mergeCells count="37">
    <mergeCell ref="B2:J2"/>
    <mergeCell ref="D3:E3"/>
    <mergeCell ref="C6:D6"/>
    <mergeCell ref="C7:D7"/>
    <mergeCell ref="C8:D8"/>
    <mergeCell ref="B11:F12"/>
    <mergeCell ref="B13:F16"/>
    <mergeCell ref="B17:F20"/>
    <mergeCell ref="B21:F22"/>
    <mergeCell ref="B25:C25"/>
    <mergeCell ref="E25:F25"/>
    <mergeCell ref="B26:C26"/>
    <mergeCell ref="E26:F26"/>
    <mergeCell ref="B27:C27"/>
    <mergeCell ref="E27:F27"/>
    <mergeCell ref="B28:C28"/>
    <mergeCell ref="E28:F28"/>
    <mergeCell ref="B29:F29"/>
    <mergeCell ref="B38:F38"/>
    <mergeCell ref="B40:F40"/>
    <mergeCell ref="B44:F44"/>
    <mergeCell ref="B45:F45"/>
    <mergeCell ref="B46:F46"/>
    <mergeCell ref="B47:F47"/>
    <mergeCell ref="B57:F57"/>
    <mergeCell ref="B60:F61"/>
    <mergeCell ref="B102:F102"/>
    <mergeCell ref="C125:E125"/>
    <mergeCell ref="B134:F134"/>
    <mergeCell ref="B135:F135"/>
    <mergeCell ref="B136:F136"/>
    <mergeCell ref="B137:F137"/>
    <mergeCell ref="B138:F138"/>
    <mergeCell ref="B141:E141"/>
    <mergeCell ref="B142:E142"/>
    <mergeCell ref="B143:E143"/>
    <mergeCell ref="B144:E144"/>
  </mergeCells>
  <hyperlinks>
    <hyperlink ref="B3" location="'N-03 Index DMAIC'!A1" display="← Back to Index"/>
    <hyperlink ref="E33" location="'E-05 Sampling Subgroups'!A1" display="E-05  Sampling Strategies and Rational Subgrouping"/>
    <hyperlink ref="E34" location="'E-01 Data Types'!A1" display="E-01  Data Types and Measurement Scales"/>
    <hyperlink ref="B148" location="'E-29 Proportion Tests'!A1" display="E-29  One and Two Proportion Tests"/>
    <hyperlink ref="C148" location="'E-31 Nonparametric Tests'!A1" display="E-31  Nonparametric Tests"/>
    <hyperlink ref="D148" location="'H-09 Stratification'!A1" display="H-09  Stratific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4139</v>
      </c>
      <c r="C2" s="3"/>
      <c r="D2" s="3"/>
      <c r="E2" s="3"/>
      <c r="F2" s="3"/>
      <c r="G2" s="3"/>
      <c r="H2" s="3"/>
      <c r="I2" s="3"/>
      <c r="J2" s="3"/>
      <c r="K2" s="80" t="s">
        <v>2864</v>
      </c>
    </row>
    <row r="3" customFormat="false" ht="28.5" hidden="false" customHeight="true" outlineLevel="0" collapsed="false">
      <c r="B3" s="5" t="s">
        <v>3</v>
      </c>
      <c r="D3" s="6" t="s">
        <v>4140</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4141</v>
      </c>
      <c r="D6" s="9"/>
    </row>
    <row r="7" customFormat="false" ht="31.5" hidden="false" customHeight="true" outlineLevel="0" collapsed="false">
      <c r="B7" s="47" t="s">
        <v>1394</v>
      </c>
      <c r="C7" s="9" t="s">
        <v>4142</v>
      </c>
      <c r="D7" s="9"/>
    </row>
    <row r="8" customFormat="false" ht="31.5" hidden="false" customHeight="true" outlineLevel="0" collapsed="false">
      <c r="B8" s="47" t="s">
        <v>1396</v>
      </c>
      <c r="C8" s="9" t="s">
        <v>4143</v>
      </c>
      <c r="D8" s="9"/>
    </row>
    <row r="10" customFormat="false" ht="15.75" hidden="false" customHeight="true" outlineLevel="0" collapsed="false">
      <c r="B10" s="7" t="s">
        <v>1398</v>
      </c>
      <c r="C10" s="8"/>
      <c r="D10" s="8"/>
      <c r="E10" s="8"/>
      <c r="F10" s="8"/>
      <c r="G10" s="8"/>
      <c r="H10" s="8"/>
      <c r="I10" s="8"/>
      <c r="J10" s="8"/>
      <c r="K10" s="8"/>
    </row>
    <row r="11" customFormat="false" ht="10.5" hidden="false" customHeight="true" outlineLevel="0" collapsed="false">
      <c r="B11" s="9" t="s">
        <v>4144</v>
      </c>
      <c r="C11" s="9"/>
      <c r="D11" s="9"/>
      <c r="E11" s="9"/>
      <c r="F11" s="9"/>
    </row>
    <row r="12" customFormat="false" ht="10.5" hidden="false" customHeight="true" outlineLevel="0" collapsed="false">
      <c r="B12" s="9"/>
      <c r="C12" s="9"/>
      <c r="D12" s="9"/>
      <c r="E12" s="9"/>
      <c r="F12" s="9"/>
    </row>
    <row r="13" customFormat="false" ht="10.5" hidden="false" customHeight="true" outlineLevel="0" collapsed="false">
      <c r="B13" s="9"/>
      <c r="C13" s="9"/>
      <c r="D13" s="9"/>
      <c r="E13" s="9"/>
      <c r="F13" s="9"/>
    </row>
    <row r="14" customFormat="false" ht="15" hidden="false" customHeight="true" outlineLevel="0" collapsed="false">
      <c r="B14" s="9" t="s">
        <v>4145</v>
      </c>
      <c r="C14" s="9"/>
      <c r="D14" s="9"/>
      <c r="E14" s="9"/>
      <c r="F14" s="9"/>
    </row>
    <row r="15" customFormat="false" ht="15" hidden="false" customHeight="true" outlineLevel="0" collapsed="false">
      <c r="B15" s="9"/>
      <c r="C15" s="9"/>
      <c r="D15" s="9"/>
      <c r="E15" s="9"/>
      <c r="F15" s="9"/>
    </row>
    <row r="16" customFormat="false" ht="15" hidden="false" customHeight="true" outlineLevel="0" collapsed="false">
      <c r="B16" s="9"/>
      <c r="C16" s="9"/>
      <c r="D16" s="9"/>
      <c r="E16" s="9"/>
      <c r="F16" s="9"/>
    </row>
    <row r="17" customFormat="false" ht="17.25" hidden="false" customHeight="true" outlineLevel="0" collapsed="false">
      <c r="B17" s="9" t="s">
        <v>4146</v>
      </c>
      <c r="C17" s="9"/>
      <c r="D17" s="9"/>
      <c r="E17" s="9"/>
      <c r="F17" s="9"/>
    </row>
    <row r="18" customFormat="false" ht="10.5" hidden="false" customHeight="true" outlineLevel="0" collapsed="false">
      <c r="B18" s="9" t="s">
        <v>4147</v>
      </c>
      <c r="C18" s="9"/>
      <c r="D18" s="9"/>
      <c r="E18" s="9"/>
      <c r="F18" s="9"/>
    </row>
    <row r="19" customFormat="false" ht="10.5" hidden="false" customHeight="true" outlineLevel="0" collapsed="false">
      <c r="B19" s="9"/>
      <c r="C19" s="9"/>
      <c r="D19" s="9"/>
      <c r="E19" s="9"/>
      <c r="F19" s="9"/>
    </row>
    <row r="20" customFormat="false" ht="10.5" hidden="false" customHeight="true" outlineLevel="0" collapsed="false">
      <c r="B20" s="9"/>
      <c r="C20" s="9"/>
      <c r="D20" s="9"/>
      <c r="E20" s="9"/>
      <c r="F20" s="9"/>
    </row>
    <row r="21" customFormat="false" ht="10.5" hidden="false" customHeight="true" outlineLevel="0" collapsed="false">
      <c r="B21" s="9" t="s">
        <v>4148</v>
      </c>
      <c r="C21" s="9"/>
      <c r="D21" s="9"/>
      <c r="E21" s="9"/>
      <c r="F21" s="9"/>
    </row>
    <row r="22" customFormat="false" ht="10.5" hidden="false" customHeight="true" outlineLevel="0" collapsed="false">
      <c r="B22" s="9"/>
      <c r="C22" s="9"/>
      <c r="D22" s="9"/>
      <c r="E22" s="9"/>
      <c r="F22" s="9"/>
    </row>
    <row r="23" customFormat="false" ht="10.5" hidden="false" customHeight="true" outlineLevel="0" collapsed="false">
      <c r="B23" s="9"/>
      <c r="C23" s="9"/>
      <c r="D23" s="9"/>
      <c r="E23" s="9"/>
      <c r="F23" s="9"/>
    </row>
    <row r="25" customFormat="false" ht="15.75" hidden="false" customHeight="true" outlineLevel="0" collapsed="false">
      <c r="B25" s="7" t="s">
        <v>1406</v>
      </c>
      <c r="C25" s="8"/>
      <c r="D25" s="8"/>
      <c r="E25" s="8"/>
      <c r="F25" s="8"/>
      <c r="G25" s="8"/>
      <c r="H25" s="8"/>
      <c r="I25" s="8"/>
      <c r="J25" s="8"/>
      <c r="K25" s="8"/>
    </row>
    <row r="26" customFormat="false" ht="17.25" hidden="false" customHeight="true" outlineLevel="0" collapsed="false">
      <c r="B26" s="48" t="s">
        <v>1407</v>
      </c>
      <c r="C26" s="48"/>
      <c r="D26" s="48"/>
      <c r="E26" s="49" t="s">
        <v>1408</v>
      </c>
      <c r="F26" s="49"/>
    </row>
    <row r="27" customFormat="false" ht="45.75" hidden="false" customHeight="true" outlineLevel="0" collapsed="false">
      <c r="B27" s="23" t="s">
        <v>4149</v>
      </c>
      <c r="C27" s="23"/>
      <c r="D27" s="23"/>
      <c r="E27" s="23" t="s">
        <v>4150</v>
      </c>
      <c r="F27" s="23"/>
    </row>
    <row r="28" customFormat="false" ht="31.5" hidden="false" customHeight="true" outlineLevel="0" collapsed="false">
      <c r="B28" s="23" t="s">
        <v>4151</v>
      </c>
      <c r="C28" s="23"/>
      <c r="D28" s="23"/>
      <c r="E28" s="23" t="s">
        <v>4152</v>
      </c>
      <c r="F28" s="23"/>
    </row>
    <row r="29" customFormat="false" ht="31.5" hidden="false" customHeight="true" outlineLevel="0" collapsed="false">
      <c r="B29" s="23" t="s">
        <v>4153</v>
      </c>
      <c r="C29" s="23"/>
      <c r="D29" s="23"/>
      <c r="E29" s="23" t="s">
        <v>4154</v>
      </c>
      <c r="F29" s="23"/>
    </row>
    <row r="30" customFormat="false" ht="17.25" hidden="false" customHeight="true" outlineLevel="0" collapsed="false">
      <c r="B30" s="23" t="s">
        <v>4155</v>
      </c>
      <c r="C30" s="23"/>
      <c r="D30" s="23"/>
      <c r="E30" s="23"/>
      <c r="F30" s="23"/>
    </row>
    <row r="32" customFormat="false" ht="16.5" hidden="false" customHeight="true" outlineLevel="0" collapsed="false">
      <c r="B32" s="11" t="s">
        <v>1416</v>
      </c>
      <c r="C32" s="11" t="s">
        <v>1417</v>
      </c>
      <c r="D32" s="11" t="s">
        <v>1418</v>
      </c>
      <c r="E32" s="11" t="s">
        <v>1419</v>
      </c>
    </row>
    <row r="33" customFormat="false" ht="30.75" hidden="false" customHeight="true" outlineLevel="0" collapsed="false">
      <c r="B33" s="12" t="s">
        <v>1547</v>
      </c>
      <c r="C33" s="12" t="s">
        <v>4156</v>
      </c>
      <c r="D33" s="12" t="s">
        <v>4157</v>
      </c>
      <c r="E33" s="50" t="s">
        <v>3367</v>
      </c>
    </row>
    <row r="34" customFormat="false" ht="30.75" hidden="false" customHeight="true" outlineLevel="0" collapsed="false">
      <c r="B34" s="12" t="s">
        <v>4158</v>
      </c>
      <c r="C34" s="12" t="s">
        <v>4159</v>
      </c>
      <c r="D34" s="12" t="s">
        <v>4160</v>
      </c>
      <c r="E34" s="50" t="s">
        <v>1186</v>
      </c>
    </row>
    <row r="35" customFormat="false" ht="44.25" hidden="false" customHeight="true" outlineLevel="0" collapsed="false">
      <c r="B35" s="12" t="s">
        <v>4161</v>
      </c>
      <c r="C35" s="12" t="s">
        <v>4162</v>
      </c>
      <c r="D35" s="12" t="s">
        <v>4163</v>
      </c>
      <c r="E35" s="50" t="s">
        <v>2273</v>
      </c>
    </row>
    <row r="37" customFormat="false" ht="15.75" hidden="false" customHeight="true" outlineLevel="0" collapsed="false">
      <c r="B37" s="7" t="s">
        <v>1429</v>
      </c>
      <c r="C37" s="8"/>
      <c r="D37" s="8"/>
      <c r="E37" s="8"/>
      <c r="F37" s="8"/>
      <c r="G37" s="8"/>
      <c r="H37" s="8"/>
      <c r="I37" s="8"/>
      <c r="J37" s="8"/>
      <c r="K37" s="8"/>
    </row>
    <row r="38" customFormat="false" ht="17.25" hidden="false" customHeight="true" outlineLevel="0" collapsed="false">
      <c r="B38" s="51" t="s">
        <v>4164</v>
      </c>
      <c r="C38" s="51"/>
      <c r="D38" s="51"/>
      <c r="E38" s="51"/>
      <c r="F38" s="51"/>
    </row>
    <row r="39" customFormat="false" ht="17.25" hidden="false" customHeight="true" outlineLevel="0" collapsed="false">
      <c r="B39" s="52" t="s">
        <v>4165</v>
      </c>
      <c r="C39" s="52"/>
      <c r="D39" s="52"/>
      <c r="E39" s="52"/>
      <c r="F39" s="52"/>
    </row>
    <row r="40" customFormat="false" ht="15" hidden="false" customHeight="true" outlineLevel="0" collapsed="false">
      <c r="B40" s="47" t="s">
        <v>4166</v>
      </c>
    </row>
    <row r="41" customFormat="false" ht="17.25" hidden="false" customHeight="true" outlineLevel="0" collapsed="false">
      <c r="B41" s="52" t="s">
        <v>4167</v>
      </c>
      <c r="C41" s="52"/>
      <c r="D41" s="52"/>
      <c r="E41" s="52"/>
      <c r="F41" s="52"/>
    </row>
    <row r="42" customFormat="false" ht="8.25" hidden="false" customHeight="true" outlineLevel="0" collapsed="false">
      <c r="B42" s="52" t="s">
        <v>4168</v>
      </c>
      <c r="C42" s="52"/>
      <c r="D42" s="52"/>
      <c r="E42" s="52"/>
      <c r="F42" s="52"/>
    </row>
    <row r="43" customFormat="false" ht="8.25" hidden="false" customHeight="true" outlineLevel="0" collapsed="false">
      <c r="B43" s="52"/>
      <c r="C43" s="52"/>
      <c r="D43" s="52"/>
      <c r="E43" s="52"/>
      <c r="F43" s="52"/>
    </row>
    <row r="44" customFormat="false" ht="17.25" hidden="false" customHeight="true" outlineLevel="0" collapsed="false">
      <c r="B44" s="52" t="s">
        <v>4169</v>
      </c>
      <c r="C44" s="52"/>
      <c r="D44" s="52"/>
      <c r="E44" s="52"/>
      <c r="F44" s="52"/>
    </row>
    <row r="45" customFormat="false" ht="17.25" hidden="false" customHeight="true" outlineLevel="0" collapsed="false">
      <c r="B45" s="52" t="s">
        <v>4170</v>
      </c>
      <c r="C45" s="52"/>
      <c r="D45" s="52"/>
      <c r="E45" s="52"/>
      <c r="F45" s="52"/>
    </row>
    <row r="46" customFormat="false" ht="17.25" hidden="false" customHeight="true" outlineLevel="0" collapsed="false">
      <c r="B46" s="51" t="s">
        <v>4171</v>
      </c>
      <c r="C46" s="51"/>
      <c r="D46" s="51"/>
      <c r="E46" s="51"/>
      <c r="F46" s="51"/>
    </row>
    <row r="47" customFormat="false" ht="8.25" hidden="false" customHeight="true" outlineLevel="0" collapsed="false">
      <c r="B47" s="52" t="s">
        <v>4172</v>
      </c>
      <c r="C47" s="52"/>
      <c r="D47" s="52"/>
      <c r="E47" s="52"/>
      <c r="F47" s="52"/>
    </row>
    <row r="48" customFormat="false" ht="8.25" hidden="false" customHeight="true" outlineLevel="0" collapsed="false">
      <c r="B48" s="52"/>
      <c r="C48" s="52"/>
      <c r="D48" s="52"/>
      <c r="E48" s="52"/>
      <c r="F48" s="52"/>
    </row>
    <row r="49" customFormat="false" ht="15" hidden="false" customHeight="true" outlineLevel="0" collapsed="false">
      <c r="B49" s="47" t="s">
        <v>4173</v>
      </c>
    </row>
    <row r="50" customFormat="false" ht="17.25" hidden="false" customHeight="true" outlineLevel="0" collapsed="false">
      <c r="B50" s="52" t="s">
        <v>4174</v>
      </c>
      <c r="C50" s="52"/>
      <c r="D50" s="52"/>
      <c r="E50" s="52"/>
      <c r="F50" s="52"/>
    </row>
    <row r="52" customFormat="false" ht="15.75" hidden="false" customHeight="true" outlineLevel="0" collapsed="false">
      <c r="B52" s="7" t="s">
        <v>1437</v>
      </c>
      <c r="C52" s="8"/>
      <c r="D52" s="8"/>
      <c r="E52" s="8"/>
      <c r="F52" s="8"/>
      <c r="G52" s="8"/>
      <c r="H52" s="8"/>
      <c r="I52" s="8"/>
      <c r="J52" s="8"/>
      <c r="K52" s="8"/>
    </row>
    <row r="53" customFormat="false" ht="16.5" hidden="false" customHeight="true" outlineLevel="0" collapsed="false">
      <c r="B53" s="11" t="s">
        <v>1438</v>
      </c>
      <c r="C53" s="11" t="s">
        <v>1439</v>
      </c>
      <c r="D53" s="11" t="s">
        <v>1440</v>
      </c>
    </row>
    <row r="54" customFormat="false" ht="30.75" hidden="false" customHeight="true" outlineLevel="0" collapsed="false">
      <c r="B54" s="12" t="s">
        <v>2496</v>
      </c>
      <c r="C54" s="12" t="s">
        <v>2497</v>
      </c>
      <c r="D54" s="12" t="s">
        <v>4175</v>
      </c>
    </row>
    <row r="55" customFormat="false" ht="30.75" hidden="false" customHeight="true" outlineLevel="0" collapsed="false">
      <c r="B55" s="12" t="s">
        <v>1920</v>
      </c>
      <c r="C55" s="12" t="s">
        <v>4176</v>
      </c>
      <c r="D55" s="12" t="s">
        <v>4177</v>
      </c>
    </row>
    <row r="56" customFormat="false" ht="30.75" hidden="false" customHeight="true" outlineLevel="0" collapsed="false">
      <c r="B56" s="12" t="s">
        <v>3677</v>
      </c>
      <c r="C56" s="12" t="s">
        <v>4178</v>
      </c>
      <c r="D56" s="12" t="s">
        <v>4179</v>
      </c>
    </row>
    <row r="57" customFormat="false" ht="30.75" hidden="false" customHeight="true" outlineLevel="0" collapsed="false">
      <c r="B57" s="12" t="s">
        <v>1834</v>
      </c>
      <c r="C57" s="12" t="s">
        <v>1835</v>
      </c>
      <c r="D57" s="12" t="s">
        <v>4180</v>
      </c>
    </row>
    <row r="58" customFormat="false" ht="16.5" hidden="false" customHeight="true" outlineLevel="0" collapsed="false">
      <c r="B58" s="12" t="s">
        <v>2217</v>
      </c>
      <c r="C58" s="12" t="s">
        <v>4181</v>
      </c>
      <c r="D58" s="12" t="s">
        <v>4182</v>
      </c>
    </row>
    <row r="59" customFormat="false" ht="16.5" hidden="false" customHeight="true" outlineLevel="0" collapsed="false">
      <c r="B59" s="12" t="s">
        <v>2310</v>
      </c>
      <c r="C59" s="12" t="s">
        <v>4183</v>
      </c>
      <c r="D59" s="12" t="s">
        <v>4184</v>
      </c>
    </row>
    <row r="60" customFormat="false" ht="28.5" hidden="false" customHeight="true" outlineLevel="0" collapsed="false">
      <c r="B60" s="16" t="s">
        <v>1453</v>
      </c>
      <c r="C60" s="16"/>
      <c r="D60" s="16"/>
      <c r="E60" s="16"/>
      <c r="F60" s="16"/>
    </row>
    <row r="62" customFormat="false" ht="15.75" hidden="false" customHeight="true" outlineLevel="0" collapsed="false">
      <c r="B62" s="7" t="s">
        <v>1454</v>
      </c>
      <c r="C62" s="8"/>
      <c r="D62" s="8"/>
      <c r="E62" s="8"/>
      <c r="F62" s="8"/>
      <c r="G62" s="8"/>
      <c r="H62" s="8"/>
      <c r="I62" s="8"/>
      <c r="J62" s="8"/>
      <c r="K62" s="8"/>
    </row>
    <row r="63" customFormat="false" ht="15.75" hidden="false" customHeight="true" outlineLevel="0" collapsed="false">
      <c r="B63" s="9" t="s">
        <v>4185</v>
      </c>
      <c r="C63" s="9"/>
      <c r="D63" s="9"/>
      <c r="E63" s="9"/>
      <c r="F63" s="9"/>
    </row>
    <row r="64" customFormat="false" ht="15.75" hidden="false" customHeight="true" outlineLevel="0" collapsed="false">
      <c r="B64" s="9"/>
      <c r="C64" s="9"/>
      <c r="D64" s="9"/>
      <c r="E64" s="9"/>
      <c r="F64" s="9"/>
    </row>
    <row r="65" customFormat="false" ht="15" hidden="false" customHeight="true" outlineLevel="0" collapsed="false">
      <c r="B65" s="19" t="s">
        <v>85</v>
      </c>
      <c r="C65" s="41" t="s">
        <v>86</v>
      </c>
    </row>
    <row r="67" customFormat="false" ht="15.75" hidden="false" customHeight="true" outlineLevel="0" collapsed="false">
      <c r="B67" s="7" t="s">
        <v>4186</v>
      </c>
      <c r="C67" s="8"/>
      <c r="D67" s="8"/>
      <c r="E67" s="8"/>
      <c r="F67" s="8"/>
      <c r="G67" s="8"/>
      <c r="H67" s="8"/>
      <c r="I67" s="8"/>
      <c r="J67" s="8"/>
      <c r="K67" s="8"/>
    </row>
    <row r="68" customFormat="false" ht="16.5" hidden="false" customHeight="true" outlineLevel="0" collapsed="false">
      <c r="C68" s="11" t="s">
        <v>4187</v>
      </c>
      <c r="D68" s="11" t="s">
        <v>4188</v>
      </c>
      <c r="E68" s="89" t="s">
        <v>4189</v>
      </c>
      <c r="F68" s="89" t="s">
        <v>4190</v>
      </c>
    </row>
    <row r="69" customFormat="false" ht="15" hidden="false" customHeight="true" outlineLevel="0" collapsed="false">
      <c r="C69" s="60" t="n">
        <v>15.9</v>
      </c>
      <c r="D69" s="60" t="n">
        <v>17.8</v>
      </c>
      <c r="E69" s="67" t="n">
        <f aca="false">RANK(C69,$C$69:$D$78,1)+(COUNTIF($C$69:$D$78,C69)-1)/2</f>
        <v>15</v>
      </c>
      <c r="F69" s="67" t="n">
        <f aca="false">RANK(D69,$C$69:$D$78,1)+(COUNTIF($C$69:$D$78,D69)-1)/2</f>
        <v>17</v>
      </c>
    </row>
    <row r="70" customFormat="false" ht="15" hidden="false" customHeight="true" outlineLevel="0" collapsed="false">
      <c r="C70" s="60" t="n">
        <v>8.1</v>
      </c>
      <c r="D70" s="60" t="n">
        <v>15.3</v>
      </c>
      <c r="E70" s="67" t="n">
        <f aca="false">RANK(C70,$C$69:$D$78,1)+(COUNTIF($C$69:$D$78,C70)-1)/2</f>
        <v>1</v>
      </c>
      <c r="F70" s="67" t="n">
        <f aca="false">RANK(D70,$C$69:$D$78,1)+(COUNTIF($C$69:$D$78,D70)-1)/2</f>
        <v>14</v>
      </c>
    </row>
    <row r="71" customFormat="false" ht="15" hidden="false" customHeight="true" outlineLevel="0" collapsed="false">
      <c r="C71" s="60" t="n">
        <v>12.9</v>
      </c>
      <c r="D71" s="60" t="n">
        <v>19</v>
      </c>
      <c r="E71" s="67" t="n">
        <f aca="false">RANK(C71,$C$69:$D$78,1)+(COUNTIF($C$69:$D$78,C71)-1)/2</f>
        <v>7</v>
      </c>
      <c r="F71" s="67" t="n">
        <f aca="false">RANK(D71,$C$69:$D$78,1)+(COUNTIF($C$69:$D$78,D71)-1)/2</f>
        <v>19</v>
      </c>
    </row>
    <row r="72" customFormat="false" ht="15" hidden="false" customHeight="true" outlineLevel="0" collapsed="false">
      <c r="C72" s="60" t="n">
        <v>11.5</v>
      </c>
      <c r="D72" s="60" t="n">
        <v>16.9</v>
      </c>
      <c r="E72" s="67" t="n">
        <f aca="false">RANK(C72,$C$69:$D$78,1)+(COUNTIF($C$69:$D$78,C72)-1)/2</f>
        <v>5</v>
      </c>
      <c r="F72" s="67" t="n">
        <f aca="false">RANK(D72,$C$69:$D$78,1)+(COUNTIF($C$69:$D$78,D72)-1)/2</f>
        <v>16</v>
      </c>
    </row>
    <row r="73" customFormat="false" ht="15" hidden="false" customHeight="true" outlineLevel="0" collapsed="false">
      <c r="C73" s="60" t="n">
        <v>14.1</v>
      </c>
      <c r="D73" s="60" t="n">
        <v>13.6</v>
      </c>
      <c r="E73" s="67" t="n">
        <f aca="false">RANK(C73,$C$69:$D$78,1)+(COUNTIF($C$69:$D$78,C73)-1)/2</f>
        <v>10</v>
      </c>
      <c r="F73" s="67" t="n">
        <f aca="false">RANK(D73,$C$69:$D$78,1)+(COUNTIF($C$69:$D$78,D73)-1)/2</f>
        <v>8</v>
      </c>
    </row>
    <row r="74" customFormat="false" ht="15" hidden="false" customHeight="true" outlineLevel="0" collapsed="false">
      <c r="C74" s="60" t="n">
        <v>13.9</v>
      </c>
      <c r="D74" s="60" t="n">
        <v>14.6</v>
      </c>
      <c r="E74" s="67" t="n">
        <f aca="false">RANK(C74,$C$69:$D$78,1)+(COUNTIF($C$69:$D$78,C74)-1)/2</f>
        <v>9</v>
      </c>
      <c r="F74" s="67" t="n">
        <f aca="false">RANK(D74,$C$69:$D$78,1)+(COUNTIF($C$69:$D$78,D74)-1)/2</f>
        <v>11</v>
      </c>
    </row>
    <row r="75" customFormat="false" ht="15" hidden="false" customHeight="true" outlineLevel="0" collapsed="false">
      <c r="C75" s="60" t="n">
        <v>12.1</v>
      </c>
      <c r="D75" s="60" t="n">
        <v>11.2</v>
      </c>
      <c r="E75" s="67" t="n">
        <f aca="false">RANK(C75,$C$69:$D$78,1)+(COUNTIF($C$69:$D$78,C75)-1)/2</f>
        <v>6</v>
      </c>
      <c r="F75" s="67" t="n">
        <f aca="false">RANK(D75,$C$69:$D$78,1)+(COUNTIF($C$69:$D$78,D75)-1)/2</f>
        <v>4</v>
      </c>
    </row>
    <row r="76" customFormat="false" ht="15" hidden="false" customHeight="true" outlineLevel="0" collapsed="false">
      <c r="C76" s="60" t="n">
        <v>15.2</v>
      </c>
      <c r="D76" s="60" t="n">
        <v>18.8</v>
      </c>
      <c r="E76" s="67" t="n">
        <f aca="false">RANK(C76,$C$69:$D$78,1)+(COUNTIF($C$69:$D$78,C76)-1)/2</f>
        <v>13</v>
      </c>
      <c r="F76" s="67" t="n">
        <f aca="false">RANK(D76,$C$69:$D$78,1)+(COUNTIF($C$69:$D$78,D76)-1)/2</f>
        <v>18</v>
      </c>
    </row>
    <row r="77" customFormat="false" ht="15" hidden="false" customHeight="true" outlineLevel="0" collapsed="false">
      <c r="C77" s="60" t="n">
        <v>10.8</v>
      </c>
      <c r="D77" s="60" t="n">
        <v>20.1</v>
      </c>
      <c r="E77" s="67" t="n">
        <f aca="false">RANK(C77,$C$69:$D$78,1)+(COUNTIF($C$69:$D$78,C77)-1)/2</f>
        <v>3</v>
      </c>
      <c r="F77" s="67" t="n">
        <f aca="false">RANK(D77,$C$69:$D$78,1)+(COUNTIF($C$69:$D$78,D77)-1)/2</f>
        <v>20</v>
      </c>
    </row>
    <row r="78" customFormat="false" ht="15" hidden="false" customHeight="true" outlineLevel="0" collapsed="false">
      <c r="C78" s="60" t="n">
        <v>10.4</v>
      </c>
      <c r="D78" s="60" t="n">
        <v>14.7</v>
      </c>
      <c r="E78" s="67" t="n">
        <f aca="false">RANK(C78,$C$69:$D$78,1)+(COUNTIF($C$69:$D$78,C78)-1)/2</f>
        <v>2</v>
      </c>
      <c r="F78" s="67" t="n">
        <f aca="false">RANK(D78,$C$69:$D$78,1)+(COUNTIF($C$69:$D$78,D78)-1)/2</f>
        <v>12</v>
      </c>
    </row>
    <row r="80" customFormat="false" ht="15" hidden="false" customHeight="true" outlineLevel="0" collapsed="false">
      <c r="B80" s="10" t="s">
        <v>2228</v>
      </c>
      <c r="C80" s="75" t="n">
        <v>0.05</v>
      </c>
    </row>
    <row r="81" customFormat="false" ht="15" hidden="false" customHeight="true" outlineLevel="0" collapsed="false">
      <c r="B81" s="10" t="s">
        <v>4191</v>
      </c>
      <c r="C81" s="44" t="n">
        <f aca="false">COUNT($C$69:$C$78)</f>
        <v>10</v>
      </c>
    </row>
    <row r="82" customFormat="false" ht="15" hidden="false" customHeight="true" outlineLevel="0" collapsed="false">
      <c r="B82" s="10" t="s">
        <v>4192</v>
      </c>
      <c r="C82" s="44" t="n">
        <f aca="false">COUNT($D$69:$D$78)</f>
        <v>10</v>
      </c>
    </row>
    <row r="83" customFormat="false" ht="15" hidden="false" customHeight="true" outlineLevel="0" collapsed="false">
      <c r="B83" s="10" t="s">
        <v>4193</v>
      </c>
      <c r="C83" s="67" t="n">
        <f aca="false">SUMPRODUCT($E$69:$E$78)</f>
        <v>71</v>
      </c>
    </row>
    <row r="84" customFormat="false" ht="15" hidden="false" customHeight="true" outlineLevel="0" collapsed="false">
      <c r="B84" s="10" t="s">
        <v>4194</v>
      </c>
      <c r="C84" s="67" t="n">
        <f aca="false">SUMPRODUCT($F$69:$F$78)</f>
        <v>139</v>
      </c>
    </row>
    <row r="85" customFormat="false" ht="15" hidden="false" customHeight="true" outlineLevel="0" collapsed="false">
      <c r="B85" s="10" t="s">
        <v>4195</v>
      </c>
      <c r="C85" s="67" t="n">
        <f aca="false">(C81+C82)*(C81+C82+1)/2</f>
        <v>210</v>
      </c>
    </row>
    <row r="86" customFormat="false" ht="15" hidden="false" customHeight="true" outlineLevel="0" collapsed="false">
      <c r="B86" s="10" t="s">
        <v>4196</v>
      </c>
      <c r="C86" s="67" t="n">
        <f aca="false">C83-C81*(C81+1)/2</f>
        <v>16</v>
      </c>
    </row>
    <row r="87" customFormat="false" ht="15" hidden="false" customHeight="true" outlineLevel="0" collapsed="false">
      <c r="B87" s="10" t="s">
        <v>4197</v>
      </c>
      <c r="C87" s="67" t="n">
        <f aca="false">C81*C82-C86</f>
        <v>84</v>
      </c>
    </row>
    <row r="88" customFormat="false" ht="15" hidden="false" customHeight="true" outlineLevel="0" collapsed="false">
      <c r="B88" s="10" t="s">
        <v>4198</v>
      </c>
      <c r="C88" s="67" t="n">
        <f aca="false">MIN(C86,C87)</f>
        <v>16</v>
      </c>
    </row>
    <row r="89" customFormat="false" ht="15" hidden="false" customHeight="true" outlineLevel="0" collapsed="false">
      <c r="B89" s="10" t="s">
        <v>4199</v>
      </c>
      <c r="C89" s="67" t="n">
        <f aca="false">C81*C82/2</f>
        <v>50</v>
      </c>
    </row>
    <row r="90" customFormat="false" ht="15" hidden="false" customHeight="true" outlineLevel="0" collapsed="false">
      <c r="B90" s="10" t="s">
        <v>4200</v>
      </c>
      <c r="C90" s="63" t="n">
        <f aca="false">SQRT(C81*C82*(C81+C82+1)/12)</f>
        <v>13.228756555323</v>
      </c>
    </row>
    <row r="91" customFormat="false" ht="15" hidden="false" customHeight="true" outlineLevel="0" collapsed="false">
      <c r="B91" s="10" t="s">
        <v>2422</v>
      </c>
      <c r="C91" s="66" t="n">
        <f aca="false">IFERROR((C88-C89)/C90,0)</f>
        <v>-2.57015841646275</v>
      </c>
    </row>
    <row r="92" customFormat="false" ht="15" hidden="false" customHeight="true" outlineLevel="0" collapsed="false">
      <c r="B92" s="10" t="s">
        <v>2423</v>
      </c>
      <c r="C92" s="77" t="n">
        <f aca="false">2*(1-NORMSDIST(ABS(C91)))</f>
        <v>0.0101652018919562</v>
      </c>
    </row>
    <row r="93" customFormat="false" ht="15" hidden="false" customHeight="true" outlineLevel="0" collapsed="false">
      <c r="B93" s="10" t="s">
        <v>4201</v>
      </c>
      <c r="C93" s="64" t="n">
        <f aca="false">MEDIAN($C$69:$C$78)</f>
        <v>12.5</v>
      </c>
    </row>
    <row r="94" customFormat="false" ht="15" hidden="false" customHeight="true" outlineLevel="0" collapsed="false">
      <c r="B94" s="10" t="s">
        <v>4202</v>
      </c>
      <c r="C94" s="64" t="n">
        <f aca="false">MEDIAN($D$69:$D$78)</f>
        <v>16.1</v>
      </c>
    </row>
    <row r="96" customFormat="false" ht="15.75" hidden="false" customHeight="true" outlineLevel="0" collapsed="false">
      <c r="B96" s="7" t="s">
        <v>4203</v>
      </c>
      <c r="C96" s="8"/>
      <c r="D96" s="8"/>
      <c r="E96" s="8"/>
      <c r="F96" s="8"/>
      <c r="G96" s="8"/>
      <c r="H96" s="8"/>
      <c r="I96" s="8"/>
      <c r="J96" s="8"/>
      <c r="K96" s="8"/>
    </row>
    <row r="97" customFormat="false" ht="15.75" hidden="false" customHeight="true" outlineLevel="0" collapsed="false">
      <c r="B97" s="16" t="s">
        <v>4204</v>
      </c>
      <c r="C97" s="16"/>
      <c r="D97" s="16"/>
      <c r="E97" s="16"/>
      <c r="F97" s="16"/>
    </row>
    <row r="98" customFormat="false" ht="16.5" hidden="false" customHeight="true" outlineLevel="0" collapsed="false">
      <c r="C98" s="11" t="s">
        <v>3693</v>
      </c>
      <c r="D98" s="11" t="s">
        <v>3694</v>
      </c>
      <c r="E98" s="11" t="s">
        <v>3695</v>
      </c>
      <c r="F98" s="11" t="s">
        <v>3696</v>
      </c>
      <c r="G98" s="89" t="s">
        <v>4205</v>
      </c>
      <c r="H98" s="89" t="s">
        <v>4206</v>
      </c>
      <c r="I98" s="89" t="s">
        <v>4207</v>
      </c>
      <c r="J98" s="89" t="s">
        <v>4208</v>
      </c>
    </row>
    <row r="99" customFormat="false" ht="15" hidden="false" customHeight="true" outlineLevel="0" collapsed="false">
      <c r="C99" s="61" t="n">
        <v>498.96</v>
      </c>
      <c r="D99" s="61" t="n">
        <v>500.37</v>
      </c>
      <c r="E99" s="61" t="n">
        <v>502.29</v>
      </c>
      <c r="F99" s="61" t="n">
        <v>500.48</v>
      </c>
      <c r="G99" s="67" t="n">
        <f aca="false">RANK(C99,$C$99:$F$106,1)+(COUNTIF($C$99:$F$106,C99)-1)/2</f>
        <v>2.5</v>
      </c>
      <c r="H99" s="67" t="n">
        <f aca="false">RANK(D99,$C$99:$F$106,1)+(COUNTIF($C$99:$F$106,D99)-1)/2</f>
        <v>16</v>
      </c>
      <c r="I99" s="67" t="n">
        <f aca="false">RANK(E99,$C$99:$F$106,1)+(COUNTIF($C$99:$F$106,E99)-1)/2</f>
        <v>31</v>
      </c>
      <c r="J99" s="67" t="n">
        <f aca="false">RANK(F99,$C$99:$F$106,1)+(COUNTIF($C$99:$F$106,F99)-1)/2</f>
        <v>17</v>
      </c>
    </row>
    <row r="100" customFormat="false" ht="15" hidden="false" customHeight="true" outlineLevel="0" collapsed="false">
      <c r="C100" s="61" t="n">
        <v>499.76</v>
      </c>
      <c r="D100" s="61" t="n">
        <v>501.84</v>
      </c>
      <c r="E100" s="61" t="n">
        <v>501.81</v>
      </c>
      <c r="F100" s="61" t="n">
        <v>500.33</v>
      </c>
      <c r="G100" s="67" t="n">
        <f aca="false">RANK(C100,$C$99:$F$106,1)+(COUNTIF($C$99:$F$106,C100)-1)/2</f>
        <v>9</v>
      </c>
      <c r="H100" s="67" t="n">
        <f aca="false">RANK(D100,$C$99:$F$106,1)+(COUNTIF($C$99:$F$106,D100)-1)/2</f>
        <v>29</v>
      </c>
      <c r="I100" s="67" t="n">
        <f aca="false">RANK(E100,$C$99:$F$106,1)+(COUNTIF($C$99:$F$106,E100)-1)/2</f>
        <v>28</v>
      </c>
      <c r="J100" s="67" t="n">
        <f aca="false">RANK(F100,$C$99:$F$106,1)+(COUNTIF($C$99:$F$106,F100)-1)/2</f>
        <v>15</v>
      </c>
    </row>
    <row r="101" customFormat="false" ht="15" hidden="false" customHeight="true" outlineLevel="0" collapsed="false">
      <c r="C101" s="61" t="n">
        <v>501.72</v>
      </c>
      <c r="D101" s="61" t="n">
        <v>499.8</v>
      </c>
      <c r="E101" s="61" t="n">
        <v>501.12</v>
      </c>
      <c r="F101" s="61" t="n">
        <v>500.8</v>
      </c>
      <c r="G101" s="67" t="n">
        <f aca="false">RANK(C101,$C$99:$F$106,1)+(COUNTIF($C$99:$F$106,C101)-1)/2</f>
        <v>27</v>
      </c>
      <c r="H101" s="67" t="n">
        <f aca="false">RANK(D101,$C$99:$F$106,1)+(COUNTIF($C$99:$F$106,D101)-1)/2</f>
        <v>11</v>
      </c>
      <c r="I101" s="67" t="n">
        <f aca="false">RANK(E101,$C$99:$F$106,1)+(COUNTIF($C$99:$F$106,E101)-1)/2</f>
        <v>22</v>
      </c>
      <c r="J101" s="67" t="n">
        <f aca="false">RANK(F101,$C$99:$F$106,1)+(COUNTIF($C$99:$F$106,F101)-1)/2</f>
        <v>21</v>
      </c>
    </row>
    <row r="102" customFormat="false" ht="15" hidden="false" customHeight="true" outlineLevel="0" collapsed="false">
      <c r="C102" s="61" t="n">
        <v>499.77</v>
      </c>
      <c r="D102" s="61" t="n">
        <v>501.28</v>
      </c>
      <c r="E102" s="61" t="n">
        <v>502.4</v>
      </c>
      <c r="F102" s="61" t="n">
        <v>500.65</v>
      </c>
      <c r="G102" s="67" t="n">
        <f aca="false">RANK(C102,$C$99:$F$106,1)+(COUNTIF($C$99:$F$106,C102)-1)/2</f>
        <v>10</v>
      </c>
      <c r="H102" s="67" t="n">
        <f aca="false">RANK(D102,$C$99:$F$106,1)+(COUNTIF($C$99:$F$106,D102)-1)/2</f>
        <v>24</v>
      </c>
      <c r="I102" s="67" t="n">
        <f aca="false">RANK(E102,$C$99:$F$106,1)+(COUNTIF($C$99:$F$106,E102)-1)/2</f>
        <v>32</v>
      </c>
      <c r="J102" s="67" t="n">
        <f aca="false">RANK(F102,$C$99:$F$106,1)+(COUNTIF($C$99:$F$106,F102)-1)/2</f>
        <v>19</v>
      </c>
    </row>
    <row r="103" customFormat="false" ht="15" hidden="false" customHeight="true" outlineLevel="0" collapsed="false">
      <c r="C103" s="61" t="n">
        <v>500.01</v>
      </c>
      <c r="D103" s="61" t="n">
        <v>500.55</v>
      </c>
      <c r="E103" s="61" t="n">
        <v>499.63</v>
      </c>
      <c r="F103" s="61" t="n">
        <v>501.51</v>
      </c>
      <c r="G103" s="67" t="n">
        <f aca="false">RANK(C103,$C$99:$F$106,1)+(COUNTIF($C$99:$F$106,C103)-1)/2</f>
        <v>13</v>
      </c>
      <c r="H103" s="67" t="n">
        <f aca="false">RANK(D103,$C$99:$F$106,1)+(COUNTIF($C$99:$F$106,D103)-1)/2</f>
        <v>18</v>
      </c>
      <c r="I103" s="67" t="n">
        <f aca="false">RANK(E103,$C$99:$F$106,1)+(COUNTIF($C$99:$F$106,E103)-1)/2</f>
        <v>7</v>
      </c>
      <c r="J103" s="67" t="n">
        <f aca="false">RANK(F103,$C$99:$F$106,1)+(COUNTIF($C$99:$F$106,F103)-1)/2</f>
        <v>25</v>
      </c>
    </row>
    <row r="104" customFormat="false" ht="15" hidden="false" customHeight="true" outlineLevel="0" collapsed="false">
      <c r="C104" s="61" t="n">
        <v>499.45</v>
      </c>
      <c r="D104" s="61" t="n">
        <v>499.38</v>
      </c>
      <c r="E104" s="61" t="n">
        <v>500.77</v>
      </c>
      <c r="F104" s="61" t="n">
        <v>499.55</v>
      </c>
      <c r="G104" s="67" t="n">
        <f aca="false">RANK(C104,$C$99:$F$106,1)+(COUNTIF($C$99:$F$106,C104)-1)/2</f>
        <v>5</v>
      </c>
      <c r="H104" s="67" t="n">
        <f aca="false">RANK(D104,$C$99:$F$106,1)+(COUNTIF($C$99:$F$106,D104)-1)/2</f>
        <v>4</v>
      </c>
      <c r="I104" s="67" t="n">
        <f aca="false">RANK(E104,$C$99:$F$106,1)+(COUNTIF($C$99:$F$106,E104)-1)/2</f>
        <v>20</v>
      </c>
      <c r="J104" s="67" t="n">
        <f aca="false">RANK(F104,$C$99:$F$106,1)+(COUNTIF($C$99:$F$106,F104)-1)/2</f>
        <v>6</v>
      </c>
    </row>
    <row r="105" customFormat="false" ht="15" hidden="false" customHeight="true" outlineLevel="0" collapsed="false">
      <c r="C105" s="61" t="n">
        <v>501.14</v>
      </c>
      <c r="D105" s="61" t="n">
        <v>500.22</v>
      </c>
      <c r="E105" s="61" t="n">
        <v>501.71</v>
      </c>
      <c r="F105" s="61" t="n">
        <v>499.72</v>
      </c>
      <c r="G105" s="67" t="n">
        <f aca="false">RANK(C105,$C$99:$F$106,1)+(COUNTIF($C$99:$F$106,C105)-1)/2</f>
        <v>23</v>
      </c>
      <c r="H105" s="67" t="n">
        <f aca="false">RANK(D105,$C$99:$F$106,1)+(COUNTIF($C$99:$F$106,D105)-1)/2</f>
        <v>14</v>
      </c>
      <c r="I105" s="67" t="n">
        <f aca="false">RANK(E105,$C$99:$F$106,1)+(COUNTIF($C$99:$F$106,E105)-1)/2</f>
        <v>26</v>
      </c>
      <c r="J105" s="67" t="n">
        <f aca="false">RANK(F105,$C$99:$F$106,1)+(COUNTIF($C$99:$F$106,F105)-1)/2</f>
        <v>8</v>
      </c>
    </row>
    <row r="106" customFormat="false" ht="15" hidden="false" customHeight="true" outlineLevel="0" collapsed="false">
      <c r="C106" s="61" t="n">
        <v>500</v>
      </c>
      <c r="D106" s="61" t="n">
        <v>498.96</v>
      </c>
      <c r="E106" s="61" t="n">
        <v>502.26</v>
      </c>
      <c r="F106" s="61" t="n">
        <v>498.57</v>
      </c>
      <c r="G106" s="67" t="n">
        <f aca="false">RANK(C106,$C$99:$F$106,1)+(COUNTIF($C$99:$F$106,C106)-1)/2</f>
        <v>12</v>
      </c>
      <c r="H106" s="67" t="n">
        <f aca="false">RANK(D106,$C$99:$F$106,1)+(COUNTIF($C$99:$F$106,D106)-1)/2</f>
        <v>2.5</v>
      </c>
      <c r="I106" s="67" t="n">
        <f aca="false">RANK(E106,$C$99:$F$106,1)+(COUNTIF($C$99:$F$106,E106)-1)/2</f>
        <v>30</v>
      </c>
      <c r="J106" s="67" t="n">
        <f aca="false">RANK(F106,$C$99:$F$106,1)+(COUNTIF($C$99:$F$106,F106)-1)/2</f>
        <v>1</v>
      </c>
    </row>
    <row r="108" customFormat="false" ht="15" hidden="false" customHeight="true" outlineLevel="0" collapsed="false">
      <c r="B108" s="10" t="s">
        <v>3701</v>
      </c>
      <c r="C108" s="44" t="n">
        <f aca="false">COUNT($C$99:$F$106)</f>
        <v>32</v>
      </c>
    </row>
    <row r="109" customFormat="false" ht="15" hidden="false" customHeight="true" outlineLevel="0" collapsed="false">
      <c r="B109" s="10" t="s">
        <v>3702</v>
      </c>
      <c r="C109" s="44" t="n">
        <f aca="false">COLUMNS($C$99:$F$106)</f>
        <v>4</v>
      </c>
    </row>
    <row r="110" customFormat="false" ht="15" hidden="false" customHeight="true" outlineLevel="0" collapsed="false">
      <c r="B110" s="10" t="s">
        <v>4209</v>
      </c>
      <c r="C110" s="64" t="n">
        <f aca="false">SUMPRODUCT($G$99:$G$106)^2/COUNT($C$99:$C$106)+SUMPRODUCT($H$99:$H$106)^2/COUNT($D$99:$D$106)+SUMPRODUCT($I$99:$I$106)^2/COUNT($E$99:$E$106)+SUMPRODUCT($J$99:$J$106)^2/COUNT($F$99:$F$106)</f>
        <v>9413.0625</v>
      </c>
    </row>
    <row r="111" customFormat="false" ht="15" hidden="false" customHeight="true" outlineLevel="0" collapsed="false">
      <c r="B111" s="10" t="s">
        <v>4210</v>
      </c>
      <c r="C111" s="66" t="n">
        <f aca="false">IFERROR(12/(C108*(C108+1))*C110-3*(C108+1),0)</f>
        <v>7.96661931818183</v>
      </c>
    </row>
    <row r="112" customFormat="false" ht="15" hidden="false" customHeight="true" outlineLevel="0" collapsed="false">
      <c r="B112" s="10" t="s">
        <v>3007</v>
      </c>
      <c r="C112" s="77" t="n">
        <f aca="false">CHIDIST(C111,C109-1)</f>
        <v>0.0467066448561338</v>
      </c>
    </row>
    <row r="114" customFormat="false" ht="15.75" hidden="false" customHeight="true" outlineLevel="0" collapsed="false">
      <c r="B114" s="7" t="s">
        <v>4211</v>
      </c>
      <c r="C114" s="8"/>
      <c r="D114" s="8"/>
      <c r="E114" s="8"/>
      <c r="F114" s="8"/>
      <c r="G114" s="8"/>
      <c r="H114" s="8"/>
      <c r="I114" s="8"/>
      <c r="J114" s="8"/>
      <c r="K114" s="8"/>
    </row>
    <row r="115" customFormat="false" ht="15" hidden="false" customHeight="true" outlineLevel="0" collapsed="false">
      <c r="B115" s="10" t="s">
        <v>4212</v>
      </c>
      <c r="C115" s="65" t="n">
        <v>10</v>
      </c>
    </row>
    <row r="116" customFormat="false" ht="15" hidden="false" customHeight="true" outlineLevel="0" collapsed="false">
      <c r="B116" s="10" t="s">
        <v>4213</v>
      </c>
      <c r="C116" s="65" t="n">
        <v>12</v>
      </c>
    </row>
    <row r="117" customFormat="false" ht="15" hidden="false" customHeight="true" outlineLevel="0" collapsed="false">
      <c r="B117" s="10" t="s">
        <v>4214</v>
      </c>
      <c r="C117" s="77" t="n">
        <f aca="false">MIN(1,2*IF(C115&gt;=C116/2,1-BINOMDIST(C115-1,C116,0.5,TRUE()),BINOMDIST(C115,C116,0.5,TRUE())))</f>
        <v>0.03857421875</v>
      </c>
    </row>
    <row r="119" customFormat="false" ht="15.75" hidden="false" customHeight="true" outlineLevel="0" collapsed="false">
      <c r="B119" s="7" t="s">
        <v>1493</v>
      </c>
      <c r="C119" s="8"/>
      <c r="D119" s="8"/>
      <c r="E119" s="8"/>
      <c r="F119" s="8"/>
      <c r="G119" s="8"/>
      <c r="H119" s="8"/>
      <c r="I119" s="8"/>
      <c r="J119" s="8"/>
      <c r="K119" s="8"/>
    </row>
    <row r="120" customFormat="false" ht="33.75" hidden="false" customHeight="true" outlineLevel="0" collapsed="false">
      <c r="B120" s="53" t="s">
        <v>1494</v>
      </c>
      <c r="C120" s="54" t="str">
        <f aca="false">IF(C92&lt;C80,"MANN-WHITNEY: REJECT H0 (p = "&amp;TEXT(C92,"0.00000")&amp;") - config 2 tends to produce longer stops. Medians "&amp;TEXT(C93,"0.0")&amp;" vs "&amp;TEXT(C94,"0.0")&amp;" min.   |   KRUSKAL-WALLIS: "&amp;IF(C112&lt;C80,"also significant (p = "&amp;TEXT(C112,"0.0000")&amp;")","not significant (p = "&amp;TEXT(C112,"0.0000")&amp;")"),"MANN-WHITNEY: FAIL TO REJECT H0 (p = "&amp;TEXT(C92,"0.0000")&amp;") - no evidence that one configuration produces longer stops.   |   KRUSKAL-WALLIS: "&amp;IF(C112&lt;C80,"significant (p = "&amp;TEXT(C112,"0.0000")&amp;")","not significant"))</f>
        <v>MANN-WHITNEY: REJECT H0 (p = 0.01017) - config 2 tends to produce longer stops. Medians 12.5 vs 16.1 min.   |   KRUSKAL-WALLIS: also significant (p = 0.0467)</v>
      </c>
      <c r="D120" s="54"/>
      <c r="E120" s="54"/>
    </row>
    <row r="122" customFormat="false" ht="16.5" hidden="false" customHeight="true" outlineLevel="0" collapsed="false">
      <c r="B122" s="11" t="s">
        <v>1495</v>
      </c>
      <c r="C122" s="11" t="s">
        <v>1496</v>
      </c>
      <c r="D122" s="11" t="s">
        <v>1497</v>
      </c>
    </row>
    <row r="123" customFormat="false" ht="30.75" hidden="false" customHeight="true" outlineLevel="0" collapsed="false">
      <c r="B123" s="12" t="s">
        <v>4215</v>
      </c>
      <c r="C123" s="12" t="s">
        <v>3444</v>
      </c>
      <c r="D123" s="12" t="s">
        <v>4216</v>
      </c>
    </row>
    <row r="124" customFormat="false" ht="30.75" hidden="false" customHeight="true" outlineLevel="0" collapsed="false">
      <c r="B124" s="12" t="s">
        <v>4217</v>
      </c>
      <c r="C124" s="12" t="s">
        <v>3444</v>
      </c>
      <c r="D124" s="12" t="s">
        <v>4218</v>
      </c>
    </row>
    <row r="125" customFormat="false" ht="30.75" hidden="false" customHeight="true" outlineLevel="0" collapsed="false">
      <c r="B125" s="12" t="s">
        <v>4219</v>
      </c>
      <c r="C125" s="12" t="s">
        <v>4220</v>
      </c>
      <c r="D125" s="12" t="s">
        <v>4221</v>
      </c>
    </row>
    <row r="126" customFormat="false" ht="30.75" hidden="false" customHeight="true" outlineLevel="0" collapsed="false">
      <c r="B126" s="12" t="s">
        <v>4222</v>
      </c>
      <c r="C126" s="12" t="s">
        <v>4223</v>
      </c>
      <c r="D126" s="12" t="s">
        <v>4224</v>
      </c>
    </row>
    <row r="128" customFormat="false" ht="15" hidden="false" customHeight="true" outlineLevel="0" collapsed="false">
      <c r="B128" s="55" t="s">
        <v>1507</v>
      </c>
    </row>
    <row r="129" customFormat="false" ht="17.25" hidden="false" customHeight="true" outlineLevel="0" collapsed="false">
      <c r="B129" s="9" t="s">
        <v>4225</v>
      </c>
      <c r="C129" s="9"/>
      <c r="D129" s="9"/>
      <c r="E129" s="9"/>
      <c r="F129" s="9"/>
    </row>
    <row r="130" customFormat="false" ht="17.25" hidden="false" customHeight="true" outlineLevel="0" collapsed="false">
      <c r="B130" s="9" t="s">
        <v>4226</v>
      </c>
      <c r="C130" s="9"/>
      <c r="D130" s="9"/>
      <c r="E130" s="9"/>
      <c r="F130" s="9"/>
    </row>
    <row r="131" customFormat="false" ht="17.25" hidden="false" customHeight="true" outlineLevel="0" collapsed="false">
      <c r="B131" s="9" t="s">
        <v>4227</v>
      </c>
      <c r="C131" s="9"/>
      <c r="D131" s="9"/>
      <c r="E131" s="9"/>
      <c r="F131" s="9"/>
    </row>
    <row r="132" customFormat="false" ht="17.25" hidden="false" customHeight="true" outlineLevel="0" collapsed="false">
      <c r="B132" s="9" t="s">
        <v>4228</v>
      </c>
      <c r="C132" s="9"/>
      <c r="D132" s="9"/>
      <c r="E132" s="9"/>
      <c r="F132" s="9"/>
    </row>
    <row r="133" customFormat="false" ht="17.25" hidden="false" customHeight="true" outlineLevel="0" collapsed="false">
      <c r="B133" s="9" t="s">
        <v>4229</v>
      </c>
      <c r="C133" s="9"/>
      <c r="D133" s="9"/>
      <c r="E133" s="9"/>
      <c r="F133" s="9"/>
    </row>
    <row r="135" customFormat="false" ht="15.75" hidden="false" customHeight="true" outlineLevel="0" collapsed="false">
      <c r="B135" s="7" t="s">
        <v>1513</v>
      </c>
      <c r="C135" s="8"/>
      <c r="D135" s="8"/>
      <c r="E135" s="8"/>
      <c r="F135" s="8"/>
      <c r="G135" s="8"/>
      <c r="H135" s="8"/>
      <c r="I135" s="8"/>
      <c r="J135" s="8"/>
      <c r="K135" s="8"/>
    </row>
    <row r="136" customFormat="false" ht="17.25" hidden="false" customHeight="true" outlineLevel="0" collapsed="false">
      <c r="B136" s="9" t="s">
        <v>1514</v>
      </c>
      <c r="C136" s="9"/>
      <c r="D136" s="9"/>
      <c r="E136" s="9"/>
      <c r="N136" s="56" t="s">
        <v>1515</v>
      </c>
    </row>
    <row r="137" customFormat="false" ht="17.25" hidden="false" customHeight="true" outlineLevel="0" collapsed="false">
      <c r="B137" s="9" t="s">
        <v>4230</v>
      </c>
      <c r="C137" s="9"/>
      <c r="D137" s="9"/>
      <c r="E137" s="9"/>
      <c r="N137" s="57" t="s">
        <v>4231</v>
      </c>
    </row>
    <row r="138" customFormat="false" ht="17.25" hidden="false" customHeight="true" outlineLevel="0" collapsed="false">
      <c r="B138" s="9" t="s">
        <v>4232</v>
      </c>
      <c r="C138" s="9"/>
      <c r="D138" s="9"/>
      <c r="E138" s="9"/>
      <c r="N138" s="57" t="s">
        <v>4233</v>
      </c>
    </row>
    <row r="139" customFormat="false" ht="17.25" hidden="false" customHeight="true" outlineLevel="0" collapsed="false">
      <c r="B139" s="9" t="s">
        <v>4234</v>
      </c>
      <c r="C139" s="9"/>
      <c r="D139" s="9"/>
      <c r="E139" s="9"/>
      <c r="N139" s="57" t="s">
        <v>4235</v>
      </c>
    </row>
    <row r="141" customFormat="false" ht="15.75" hidden="false" customHeight="true" outlineLevel="0" collapsed="false">
      <c r="B141" s="7" t="s">
        <v>1522</v>
      </c>
      <c r="C141" s="8"/>
      <c r="D141" s="8"/>
      <c r="E141" s="8"/>
      <c r="F141" s="8"/>
      <c r="G141" s="8"/>
      <c r="H141" s="8"/>
      <c r="I141" s="8"/>
      <c r="J141" s="8"/>
      <c r="K141" s="8"/>
    </row>
    <row r="142" customFormat="false" ht="16.5" hidden="false" customHeight="true" outlineLevel="0" collapsed="false">
      <c r="B142" s="11" t="s">
        <v>1523</v>
      </c>
      <c r="C142" s="11" t="s">
        <v>1524</v>
      </c>
      <c r="D142" s="11" t="s">
        <v>1615</v>
      </c>
    </row>
    <row r="143" customFormat="false" ht="30.75" hidden="false" customHeight="true" outlineLevel="0" collapsed="false">
      <c r="B143" s="58" t="s">
        <v>1098</v>
      </c>
      <c r="C143" s="58" t="s">
        <v>964</v>
      </c>
      <c r="D143" s="58" t="s">
        <v>970</v>
      </c>
    </row>
  </sheetData>
  <mergeCells count="41">
    <mergeCell ref="B2:J2"/>
    <mergeCell ref="D3:F3"/>
    <mergeCell ref="C6:D6"/>
    <mergeCell ref="C7:D7"/>
    <mergeCell ref="C8:D8"/>
    <mergeCell ref="B11:F13"/>
    <mergeCell ref="B14:F16"/>
    <mergeCell ref="B17:F17"/>
    <mergeCell ref="B18:F20"/>
    <mergeCell ref="B21:F23"/>
    <mergeCell ref="B26:D26"/>
    <mergeCell ref="E26:F26"/>
    <mergeCell ref="B27:D27"/>
    <mergeCell ref="E27:F27"/>
    <mergeCell ref="B28:D28"/>
    <mergeCell ref="E28:F28"/>
    <mergeCell ref="B29:D29"/>
    <mergeCell ref="E29:F29"/>
    <mergeCell ref="B30:F30"/>
    <mergeCell ref="B38:F38"/>
    <mergeCell ref="B39:F39"/>
    <mergeCell ref="B41:F41"/>
    <mergeCell ref="B42:F43"/>
    <mergeCell ref="B44:F44"/>
    <mergeCell ref="B45:F45"/>
    <mergeCell ref="B46:F46"/>
    <mergeCell ref="B47:F48"/>
    <mergeCell ref="B50:F50"/>
    <mergeCell ref="B60:F60"/>
    <mergeCell ref="B63:F64"/>
    <mergeCell ref="B97:F97"/>
    <mergeCell ref="C120:E120"/>
    <mergeCell ref="B129:F129"/>
    <mergeCell ref="B130:F130"/>
    <mergeCell ref="B131:F131"/>
    <mergeCell ref="B132:F132"/>
    <mergeCell ref="B133:F133"/>
    <mergeCell ref="B136:E136"/>
    <mergeCell ref="B137:E137"/>
    <mergeCell ref="B138:E138"/>
    <mergeCell ref="B139:E139"/>
  </mergeCells>
  <hyperlinks>
    <hyperlink ref="B3" location="'N-03 Index DMAIC'!A1" display="← Back to Index"/>
    <hyperlink ref="E33" location="'E-25 Paired t-Test'!A1" display="E-25  Paired t-Test"/>
    <hyperlink ref="E34" location="'H-07 Histogram and Box Plot'!A1" display="H-07  Histogram and Box Plot"/>
    <hyperlink ref="E35" location="'U-01 Statistical Tables'!A1" display="U-01  Z, t, Chi-Square and F Tables"/>
    <hyperlink ref="B143" location="'E-30 Chi-Square Tests'!A1" display="E-30  Chi-Square Tests and Fisher Exact"/>
    <hyperlink ref="C143" location="'E-32 Normality Testing'!A1" display="E-32  Normality Testing and Probability Plots"/>
    <hyperlink ref="D143" location="'E-33 When Assumptions Fail'!A1" display="E-33  When Assumptions Fail: Transformations and Alternativ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4236</v>
      </c>
      <c r="C2" s="3"/>
      <c r="D2" s="3"/>
      <c r="E2" s="3"/>
      <c r="F2" s="3"/>
      <c r="G2" s="3"/>
      <c r="H2" s="3"/>
      <c r="I2" s="3"/>
      <c r="J2" s="3"/>
      <c r="K2" s="80" t="s">
        <v>2864</v>
      </c>
    </row>
    <row r="3" customFormat="false" ht="28.5" hidden="false" customHeight="true" outlineLevel="0" collapsed="false">
      <c r="B3" s="5" t="s">
        <v>3</v>
      </c>
      <c r="D3" s="6" t="s">
        <v>4237</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4238</v>
      </c>
      <c r="D6" s="9"/>
    </row>
    <row r="7" customFormat="false" ht="17.25" hidden="false" customHeight="true" outlineLevel="0" collapsed="false">
      <c r="B7" s="47" t="s">
        <v>1394</v>
      </c>
      <c r="C7" s="9" t="s">
        <v>4239</v>
      </c>
      <c r="D7" s="9"/>
    </row>
    <row r="8" customFormat="false" ht="31.5" hidden="false" customHeight="true" outlineLevel="0" collapsed="false">
      <c r="B8" s="47" t="s">
        <v>1396</v>
      </c>
      <c r="C8" s="9" t="s">
        <v>4240</v>
      </c>
      <c r="D8" s="9"/>
    </row>
    <row r="10" customFormat="false" ht="15.75" hidden="false" customHeight="true" outlineLevel="0" collapsed="false">
      <c r="B10" s="7" t="s">
        <v>1398</v>
      </c>
      <c r="C10" s="8"/>
      <c r="D10" s="8"/>
      <c r="E10" s="8"/>
      <c r="F10" s="8"/>
      <c r="G10" s="8"/>
      <c r="H10" s="8"/>
      <c r="I10" s="8"/>
      <c r="J10" s="8"/>
      <c r="K10" s="8"/>
    </row>
    <row r="11" customFormat="false" ht="8.25" hidden="false" customHeight="true" outlineLevel="0" collapsed="false">
      <c r="B11" s="9" t="s">
        <v>4241</v>
      </c>
      <c r="C11" s="9"/>
      <c r="D11" s="9"/>
      <c r="E11" s="9"/>
      <c r="F11" s="9"/>
    </row>
    <row r="12" customFormat="false" ht="8.25" hidden="false" customHeight="true" outlineLevel="0" collapsed="false">
      <c r="B12" s="9"/>
      <c r="C12" s="9"/>
      <c r="D12" s="9"/>
      <c r="E12" s="9"/>
      <c r="F12" s="9"/>
    </row>
    <row r="13" customFormat="false" ht="15" hidden="false" customHeight="true" outlineLevel="0" collapsed="false">
      <c r="B13" s="9" t="s">
        <v>4242</v>
      </c>
      <c r="C13" s="9"/>
      <c r="D13" s="9"/>
      <c r="E13" s="9"/>
      <c r="F13" s="9"/>
    </row>
    <row r="14" customFormat="false" ht="15" hidden="false" customHeight="true" outlineLevel="0" collapsed="false">
      <c r="B14" s="9"/>
      <c r="C14" s="9"/>
      <c r="D14" s="9"/>
      <c r="E14" s="9"/>
      <c r="F14" s="9"/>
    </row>
    <row r="15" customFormat="false" ht="15" hidden="false" customHeight="true" outlineLevel="0" collapsed="false">
      <c r="B15" s="9"/>
      <c r="C15" s="9"/>
      <c r="D15" s="9"/>
      <c r="E15" s="9"/>
      <c r="F15" s="9"/>
    </row>
    <row r="16" customFormat="false" ht="15" hidden="false" customHeight="true" outlineLevel="0" collapsed="false">
      <c r="B16" s="9" t="s">
        <v>4243</v>
      </c>
      <c r="C16" s="9"/>
      <c r="D16" s="9"/>
      <c r="E16" s="9"/>
      <c r="F16" s="9"/>
    </row>
    <row r="17" customFormat="false" ht="15" hidden="false" customHeight="true" outlineLevel="0" collapsed="false">
      <c r="B17" s="9"/>
      <c r="C17" s="9"/>
      <c r="D17" s="9"/>
      <c r="E17" s="9"/>
      <c r="F17" s="9"/>
    </row>
    <row r="18" customFormat="false" ht="15" hidden="false" customHeight="true" outlineLevel="0" collapsed="false">
      <c r="B18" s="9"/>
      <c r="C18" s="9"/>
      <c r="D18" s="9"/>
      <c r="E18" s="9"/>
      <c r="F18" s="9"/>
    </row>
    <row r="19" customFormat="false" ht="15.75" hidden="false" customHeight="true" outlineLevel="0" collapsed="false">
      <c r="B19" s="9" t="s">
        <v>4244</v>
      </c>
      <c r="C19" s="9"/>
      <c r="D19" s="9"/>
      <c r="E19" s="9"/>
      <c r="F19" s="9"/>
    </row>
    <row r="20" customFormat="false" ht="15.75" hidden="false" customHeight="true" outlineLevel="0" collapsed="false">
      <c r="B20" s="9"/>
      <c r="C20" s="9"/>
      <c r="D20" s="9"/>
      <c r="E20" s="9"/>
      <c r="F20" s="9"/>
    </row>
    <row r="21" customFormat="false" ht="15" hidden="false" customHeight="true" outlineLevel="0" collapsed="false">
      <c r="B21" s="9" t="s">
        <v>4245</v>
      </c>
      <c r="C21" s="9"/>
      <c r="D21" s="9"/>
      <c r="E21" s="9"/>
      <c r="F21" s="9"/>
    </row>
    <row r="22" customFormat="false" ht="15" hidden="false" customHeight="true" outlineLevel="0" collapsed="false">
      <c r="B22" s="9"/>
      <c r="C22" s="9"/>
      <c r="D22" s="9"/>
      <c r="E22" s="9"/>
      <c r="F22" s="9"/>
    </row>
    <row r="23" customFormat="false" ht="15" hidden="false" customHeight="true" outlineLevel="0" collapsed="false">
      <c r="B23" s="9"/>
      <c r="C23" s="9"/>
      <c r="D23" s="9"/>
      <c r="E23" s="9"/>
      <c r="F23" s="9"/>
    </row>
    <row r="25" customFormat="false" ht="15.75" hidden="false" customHeight="true" outlineLevel="0" collapsed="false">
      <c r="B25" s="7" t="s">
        <v>1406</v>
      </c>
      <c r="C25" s="8"/>
      <c r="D25" s="8"/>
      <c r="E25" s="8"/>
      <c r="F25" s="8"/>
      <c r="G25" s="8"/>
      <c r="H25" s="8"/>
      <c r="I25" s="8"/>
      <c r="J25" s="8"/>
      <c r="K25" s="8"/>
    </row>
    <row r="26" customFormat="false" ht="17.25" hidden="false" customHeight="true" outlineLevel="0" collapsed="false">
      <c r="B26" s="48" t="s">
        <v>1407</v>
      </c>
      <c r="C26" s="48"/>
      <c r="E26" s="49" t="s">
        <v>1408</v>
      </c>
      <c r="F26" s="49"/>
    </row>
    <row r="27" customFormat="false" ht="31.5" hidden="false" customHeight="true" outlineLevel="0" collapsed="false">
      <c r="B27" s="23" t="s">
        <v>4246</v>
      </c>
      <c r="C27" s="23"/>
      <c r="E27" s="23" t="s">
        <v>4247</v>
      </c>
      <c r="F27" s="23"/>
    </row>
    <row r="28" customFormat="false" ht="31.5" hidden="false" customHeight="true" outlineLevel="0" collapsed="false">
      <c r="B28" s="23" t="s">
        <v>4248</v>
      </c>
      <c r="C28" s="23"/>
      <c r="E28" s="23" t="s">
        <v>4249</v>
      </c>
      <c r="F28" s="23"/>
    </row>
    <row r="29" customFormat="false" ht="31.5" hidden="false" customHeight="true" outlineLevel="0" collapsed="false">
      <c r="B29" s="23" t="s">
        <v>4250</v>
      </c>
      <c r="C29" s="23"/>
      <c r="E29" s="23" t="s">
        <v>4251</v>
      </c>
      <c r="F29" s="23"/>
    </row>
    <row r="30" customFormat="false" ht="17.25" hidden="false" customHeight="true" outlineLevel="0" collapsed="false">
      <c r="B30" s="23" t="s">
        <v>4252</v>
      </c>
      <c r="C30" s="23"/>
      <c r="D30" s="23"/>
      <c r="E30" s="23"/>
      <c r="F30" s="23"/>
    </row>
    <row r="32" customFormat="false" ht="16.5" hidden="false" customHeight="true" outlineLevel="0" collapsed="false">
      <c r="B32" s="11" t="s">
        <v>1416</v>
      </c>
      <c r="C32" s="11" t="s">
        <v>1417</v>
      </c>
      <c r="D32" s="11" t="s">
        <v>1418</v>
      </c>
      <c r="E32" s="11" t="s">
        <v>1419</v>
      </c>
    </row>
    <row r="33" customFormat="false" ht="44.25" hidden="false" customHeight="true" outlineLevel="0" collapsed="false">
      <c r="B33" s="12" t="s">
        <v>1744</v>
      </c>
      <c r="C33" s="12" t="s">
        <v>4253</v>
      </c>
      <c r="D33" s="12" t="s">
        <v>4254</v>
      </c>
      <c r="E33" s="50" t="s">
        <v>1070</v>
      </c>
    </row>
    <row r="34" customFormat="false" ht="30.75" hidden="false" customHeight="true" outlineLevel="0" collapsed="false">
      <c r="B34" s="12" t="s">
        <v>2009</v>
      </c>
      <c r="C34" s="12" t="s">
        <v>4255</v>
      </c>
      <c r="D34" s="12" t="s">
        <v>4256</v>
      </c>
      <c r="E34" s="50" t="s">
        <v>1645</v>
      </c>
    </row>
    <row r="35" customFormat="false" ht="44.25" hidden="false" customHeight="true" outlineLevel="0" collapsed="false">
      <c r="B35" s="12" t="s">
        <v>4257</v>
      </c>
      <c r="C35" s="12" t="s">
        <v>4258</v>
      </c>
      <c r="D35" s="12" t="s">
        <v>4259</v>
      </c>
      <c r="E35" s="50" t="s">
        <v>1027</v>
      </c>
    </row>
    <row r="37" customFormat="false" ht="15.75" hidden="false" customHeight="true" outlineLevel="0" collapsed="false">
      <c r="B37" s="7" t="s">
        <v>1429</v>
      </c>
      <c r="C37" s="8"/>
      <c r="D37" s="8"/>
      <c r="E37" s="8"/>
      <c r="F37" s="8"/>
      <c r="G37" s="8"/>
      <c r="H37" s="8"/>
      <c r="I37" s="8"/>
      <c r="J37" s="8"/>
      <c r="K37" s="8"/>
    </row>
    <row r="38" customFormat="false" ht="17.25" hidden="false" customHeight="true" outlineLevel="0" collapsed="false">
      <c r="B38" s="51" t="s">
        <v>4260</v>
      </c>
      <c r="C38" s="51"/>
      <c r="D38" s="51"/>
      <c r="E38" s="51"/>
      <c r="F38" s="51"/>
    </row>
    <row r="39" customFormat="false" ht="17.25" hidden="false" customHeight="true" outlineLevel="0" collapsed="false">
      <c r="B39" s="52" t="s">
        <v>4261</v>
      </c>
      <c r="C39" s="52"/>
      <c r="D39" s="52"/>
      <c r="E39" s="52"/>
      <c r="F39" s="52"/>
    </row>
    <row r="40" customFormat="false" ht="17.25" hidden="false" customHeight="true" outlineLevel="0" collapsed="false">
      <c r="B40" s="52" t="s">
        <v>4262</v>
      </c>
      <c r="C40" s="52"/>
      <c r="D40" s="52"/>
      <c r="E40" s="52"/>
      <c r="F40" s="52"/>
    </row>
    <row r="41" customFormat="false" ht="17.25" hidden="false" customHeight="true" outlineLevel="0" collapsed="false">
      <c r="B41" s="52" t="s">
        <v>4263</v>
      </c>
      <c r="C41" s="52"/>
      <c r="D41" s="52"/>
      <c r="E41" s="52"/>
      <c r="F41" s="52"/>
    </row>
    <row r="42" customFormat="false" ht="17.25" hidden="false" customHeight="true" outlineLevel="0" collapsed="false">
      <c r="B42" s="52" t="s">
        <v>4264</v>
      </c>
      <c r="C42" s="52"/>
      <c r="D42" s="52"/>
      <c r="E42" s="52"/>
      <c r="F42" s="52"/>
    </row>
    <row r="43" customFormat="false" ht="15" hidden="false" customHeight="true" outlineLevel="0" collapsed="false">
      <c r="B43" s="47" t="s">
        <v>4265</v>
      </c>
    </row>
    <row r="44" customFormat="false" ht="17.25" hidden="false" customHeight="true" outlineLevel="0" collapsed="false">
      <c r="B44" s="52" t="s">
        <v>4266</v>
      </c>
      <c r="C44" s="52"/>
      <c r="D44" s="52"/>
      <c r="E44" s="52"/>
      <c r="F44" s="52"/>
    </row>
    <row r="45" customFormat="false" ht="17.25" hidden="false" customHeight="true" outlineLevel="0" collapsed="false">
      <c r="B45" s="52" t="s">
        <v>4267</v>
      </c>
      <c r="C45" s="52"/>
      <c r="D45" s="52"/>
      <c r="E45" s="52"/>
      <c r="F45" s="52"/>
    </row>
    <row r="46" customFormat="false" ht="17.25" hidden="false" customHeight="true" outlineLevel="0" collapsed="false">
      <c r="B46" s="51" t="s">
        <v>4268</v>
      </c>
      <c r="C46" s="51"/>
      <c r="D46" s="51"/>
      <c r="E46" s="51"/>
      <c r="F46" s="51"/>
    </row>
    <row r="47" customFormat="false" ht="17.25" hidden="false" customHeight="true" outlineLevel="0" collapsed="false">
      <c r="B47" s="52" t="s">
        <v>4269</v>
      </c>
      <c r="C47" s="52"/>
      <c r="D47" s="52"/>
      <c r="E47" s="52"/>
      <c r="F47" s="52"/>
    </row>
    <row r="48" customFormat="false" ht="17.25" hidden="false" customHeight="true" outlineLevel="0" collapsed="false">
      <c r="B48" s="52" t="s">
        <v>4270</v>
      </c>
      <c r="C48" s="52"/>
      <c r="D48" s="52"/>
      <c r="E48" s="52"/>
      <c r="F48" s="52"/>
    </row>
    <row r="49" customFormat="false" ht="15" hidden="false" customHeight="true" outlineLevel="0" collapsed="false">
      <c r="B49" s="47" t="s">
        <v>4271</v>
      </c>
    </row>
    <row r="50" customFormat="false" ht="17.25" hidden="false" customHeight="true" outlineLevel="0" collapsed="false">
      <c r="B50" s="52" t="s">
        <v>4272</v>
      </c>
      <c r="C50" s="52"/>
      <c r="D50" s="52"/>
      <c r="E50" s="52"/>
      <c r="F50" s="52"/>
    </row>
    <row r="51" customFormat="false" ht="17.25" hidden="false" customHeight="true" outlineLevel="0" collapsed="false">
      <c r="B51" s="52" t="s">
        <v>4273</v>
      </c>
      <c r="C51" s="52"/>
      <c r="D51" s="52"/>
      <c r="E51" s="52"/>
      <c r="F51" s="52"/>
    </row>
    <row r="52" customFormat="false" ht="17.25" hidden="false" customHeight="true" outlineLevel="0" collapsed="false">
      <c r="B52" s="52" t="s">
        <v>4274</v>
      </c>
      <c r="C52" s="52"/>
      <c r="D52" s="52"/>
      <c r="E52" s="52"/>
      <c r="F52" s="52"/>
    </row>
    <row r="54" customFormat="false" ht="15.75" hidden="false" customHeight="true" outlineLevel="0" collapsed="false">
      <c r="B54" s="7" t="s">
        <v>1437</v>
      </c>
      <c r="C54" s="8"/>
      <c r="D54" s="8"/>
      <c r="E54" s="8"/>
      <c r="F54" s="8"/>
      <c r="G54" s="8"/>
      <c r="H54" s="8"/>
      <c r="I54" s="8"/>
      <c r="J54" s="8"/>
      <c r="K54" s="8"/>
    </row>
    <row r="55" customFormat="false" ht="16.5" hidden="false" customHeight="true" outlineLevel="0" collapsed="false">
      <c r="B55" s="11" t="s">
        <v>1438</v>
      </c>
      <c r="C55" s="11" t="s">
        <v>1439</v>
      </c>
      <c r="D55" s="11" t="s">
        <v>1440</v>
      </c>
    </row>
    <row r="56" customFormat="false" ht="30.75" hidden="false" customHeight="true" outlineLevel="0" collapsed="false">
      <c r="B56" s="12" t="s">
        <v>4275</v>
      </c>
      <c r="C56" s="12" t="s">
        <v>4276</v>
      </c>
      <c r="D56" s="12" t="s">
        <v>4277</v>
      </c>
    </row>
    <row r="57" customFormat="false" ht="30.75" hidden="false" customHeight="true" outlineLevel="0" collapsed="false">
      <c r="B57" s="12" t="s">
        <v>2029</v>
      </c>
      <c r="C57" s="12" t="s">
        <v>4278</v>
      </c>
      <c r="D57" s="12" t="s">
        <v>4279</v>
      </c>
    </row>
    <row r="58" customFormat="false" ht="30.75" hidden="false" customHeight="true" outlineLevel="0" collapsed="false">
      <c r="B58" s="12" t="s">
        <v>1574</v>
      </c>
      <c r="C58" s="12" t="s">
        <v>2027</v>
      </c>
      <c r="D58" s="12" t="s">
        <v>4280</v>
      </c>
    </row>
    <row r="59" customFormat="false" ht="30.75" hidden="false" customHeight="true" outlineLevel="0" collapsed="false">
      <c r="B59" s="12" t="s">
        <v>2584</v>
      </c>
      <c r="C59" s="12" t="s">
        <v>2585</v>
      </c>
      <c r="D59" s="12" t="s">
        <v>4281</v>
      </c>
    </row>
    <row r="60" customFormat="false" ht="30.75" hidden="false" customHeight="true" outlineLevel="0" collapsed="false">
      <c r="B60" s="12" t="s">
        <v>2502</v>
      </c>
      <c r="C60" s="12" t="s">
        <v>4282</v>
      </c>
      <c r="D60" s="12" t="s">
        <v>4283</v>
      </c>
    </row>
    <row r="61" customFormat="false" ht="30.75" hidden="false" customHeight="true" outlineLevel="0" collapsed="false">
      <c r="B61" s="12" t="s">
        <v>2127</v>
      </c>
      <c r="C61" s="12" t="s">
        <v>4284</v>
      </c>
      <c r="D61" s="12" t="s">
        <v>4285</v>
      </c>
    </row>
    <row r="62" customFormat="false" ht="28.5" hidden="false" customHeight="true" outlineLevel="0" collapsed="false">
      <c r="B62" s="16" t="s">
        <v>1453</v>
      </c>
      <c r="C62" s="16"/>
      <c r="D62" s="16"/>
      <c r="E62" s="16"/>
      <c r="F62" s="16"/>
    </row>
    <row r="64" customFormat="false" ht="15.75" hidden="false" customHeight="true" outlineLevel="0" collapsed="false">
      <c r="B64" s="7" t="s">
        <v>1454</v>
      </c>
      <c r="C64" s="8"/>
      <c r="D64" s="8"/>
      <c r="E64" s="8"/>
      <c r="F64" s="8"/>
      <c r="G64" s="8"/>
      <c r="H64" s="8"/>
      <c r="I64" s="8"/>
      <c r="J64" s="8"/>
      <c r="K64" s="8"/>
    </row>
    <row r="65" customFormat="false" ht="15.75" hidden="false" customHeight="true" outlineLevel="0" collapsed="false">
      <c r="B65" s="9" t="s">
        <v>4286</v>
      </c>
      <c r="C65" s="9"/>
      <c r="D65" s="9"/>
      <c r="E65" s="9"/>
      <c r="F65" s="9"/>
    </row>
    <row r="66" customFormat="false" ht="15.75" hidden="false" customHeight="true" outlineLevel="0" collapsed="false">
      <c r="B66" s="9"/>
      <c r="C66" s="9"/>
      <c r="D66" s="9"/>
      <c r="E66" s="9"/>
      <c r="F66" s="9"/>
    </row>
    <row r="67" customFormat="false" ht="15" hidden="false" customHeight="true" outlineLevel="0" collapsed="false">
      <c r="B67" s="19" t="s">
        <v>85</v>
      </c>
      <c r="C67" s="41" t="s">
        <v>86</v>
      </c>
    </row>
    <row r="69" customFormat="false" ht="15" hidden="false" customHeight="true" outlineLevel="0" collapsed="false">
      <c r="B69" s="10" t="s">
        <v>2228</v>
      </c>
      <c r="C69" s="75" t="n">
        <v>0.05</v>
      </c>
    </row>
    <row r="71" customFormat="false" ht="15" hidden="false" customHeight="true" outlineLevel="0" collapsed="false">
      <c r="B71" s="10" t="s">
        <v>1769</v>
      </c>
      <c r="C71" s="44" t="n">
        <f aca="false">COUNT($C$77:$C$106)</f>
        <v>30</v>
      </c>
    </row>
    <row r="72" customFormat="false" ht="15" hidden="false" customHeight="true" outlineLevel="0" collapsed="false">
      <c r="B72" s="10" t="s">
        <v>2085</v>
      </c>
      <c r="C72" s="66" t="n">
        <f aca="false">AVERAGE($C$77:$C$106)</f>
        <v>500.336666666667</v>
      </c>
    </row>
    <row r="73" customFormat="false" ht="15" hidden="false" customHeight="true" outlineLevel="0" collapsed="false">
      <c r="B73" s="10" t="s">
        <v>1477</v>
      </c>
      <c r="C73" s="66" t="n">
        <f aca="false">STDEV($C$77:$C$106)</f>
        <v>1.03139789082362</v>
      </c>
    </row>
    <row r="74" customFormat="false" ht="15.75" hidden="false" customHeight="true" outlineLevel="0" collapsed="false">
      <c r="B74" s="95" t="s">
        <v>4287</v>
      </c>
      <c r="C74" s="95"/>
      <c r="D74" s="95"/>
      <c r="E74" s="95"/>
      <c r="F74" s="95"/>
    </row>
    <row r="76" customFormat="false" ht="30.75" hidden="false" customHeight="true" outlineLevel="0" collapsed="false">
      <c r="B76" s="11" t="s">
        <v>4288</v>
      </c>
      <c r="C76" s="11" t="s">
        <v>4289</v>
      </c>
      <c r="D76" s="11" t="s">
        <v>4290</v>
      </c>
      <c r="E76" s="11" t="s">
        <v>4291</v>
      </c>
      <c r="F76" s="11" t="s">
        <v>4292</v>
      </c>
      <c r="G76" s="11" t="s">
        <v>4293</v>
      </c>
      <c r="H76" s="11" t="s">
        <v>2596</v>
      </c>
      <c r="I76" s="11"/>
    </row>
    <row r="77" customFormat="false" ht="15" hidden="false" customHeight="true" outlineLevel="0" collapsed="false">
      <c r="C77" s="61" t="n">
        <v>500.4</v>
      </c>
      <c r="D77" s="27" t="n">
        <v>1</v>
      </c>
      <c r="E77" s="66" t="n">
        <f aca="false">SMALL($C$77:$C$106,D77)</f>
        <v>498.5</v>
      </c>
      <c r="F77" s="94" t="n">
        <f aca="false">NORMDIST(E77,C72,C73,TRUE())</f>
        <v>0.0374762644115888</v>
      </c>
      <c r="G77" s="94" t="n">
        <f aca="false">1-NORMDIST(SMALL($C$77:$C$106,C71+1-D77),C72,C73,TRUE())</f>
        <v>0.0284834046375846</v>
      </c>
      <c r="H77" s="66" t="n">
        <f aca="false">(2*D77-1)*(LN(F77)+LN(G77))</f>
        <v>-6.84248115015114</v>
      </c>
      <c r="I77" s="66" t="n">
        <f aca="false">NORMSINV((D77-0.375)/(C71+0.25))</f>
        <v>-2.04028132201041</v>
      </c>
    </row>
    <row r="78" customFormat="false" ht="15" hidden="false" customHeight="true" outlineLevel="0" collapsed="false">
      <c r="C78" s="61" t="n">
        <v>499.1</v>
      </c>
      <c r="D78" s="27" t="n">
        <v>2</v>
      </c>
      <c r="E78" s="66" t="n">
        <f aca="false">SMALL($C$77:$C$106,D78)</f>
        <v>498.7</v>
      </c>
      <c r="F78" s="94" t="n">
        <f aca="false">NORMDIST(E78,C72,C73,TRUE())</f>
        <v>0.0562740878642418</v>
      </c>
      <c r="G78" s="94" t="n">
        <f aca="false">1-NORMDIST(SMALL($C$77:$C$106,C71+1-D78),C72,C73,TRUE())</f>
        <v>0.043664954457335</v>
      </c>
      <c r="H78" s="66" t="n">
        <f aca="false">(2*D78-1)*(LN(F78)+LN(G78))</f>
        <v>-18.0261916709469</v>
      </c>
      <c r="I78" s="66" t="n">
        <f aca="false">NORMSINV((D78-0.375)/(C71+0.25))</f>
        <v>-1.60981606718445</v>
      </c>
    </row>
    <row r="79" customFormat="false" ht="15" hidden="false" customHeight="true" outlineLevel="0" collapsed="false">
      <c r="C79" s="61" t="n">
        <v>501.2</v>
      </c>
      <c r="D79" s="27" t="n">
        <v>3</v>
      </c>
      <c r="E79" s="66" t="n">
        <f aca="false">SMALL($C$77:$C$106,D79)</f>
        <v>498.8</v>
      </c>
      <c r="F79" s="94" t="n">
        <f aca="false">NORMDIST(E79,C72,C73,TRUE())</f>
        <v>0.0681269295984877</v>
      </c>
      <c r="G79" s="94" t="n">
        <f aca="false">1-NORMDIST(SMALL($C$77:$C$106,C71+1-D79),C72,C73,TRUE())</f>
        <v>0.077980644772691</v>
      </c>
      <c r="H79" s="66" t="n">
        <f aca="false">(2*D79-1)*(LN(F79)+LN(G79))</f>
        <v>-26.188386645218</v>
      </c>
      <c r="I79" s="66" t="n">
        <f aca="false">NORMSINV((D79-0.375)/(C71+0.25))</f>
        <v>-1.36087334286719</v>
      </c>
    </row>
    <row r="80" customFormat="false" ht="15" hidden="false" customHeight="true" outlineLevel="0" collapsed="false">
      <c r="C80" s="61" t="n">
        <v>500.8</v>
      </c>
      <c r="D80" s="27" t="n">
        <v>4</v>
      </c>
      <c r="E80" s="66" t="n">
        <f aca="false">SMALL($C$77:$C$106,D80)</f>
        <v>498.9</v>
      </c>
      <c r="F80" s="94" t="n">
        <f aca="false">NORMDIST(E80,C72,C73,TRUE())</f>
        <v>0.0818202447808322</v>
      </c>
      <c r="G80" s="94" t="n">
        <f aca="false">1-NORMDIST(SMALL($C$77:$C$106,C71+1-D80),C72,C73,TRUE())</f>
        <v>0.110311189467671</v>
      </c>
      <c r="H80" s="66" t="n">
        <f aca="false">(2*D80-1)*(LN(F80)+LN(G80))</f>
        <v>-32.9537634082367</v>
      </c>
      <c r="I80" s="66" t="n">
        <f aca="false">NORMSINV((D80-0.375)/(C71+0.25))</f>
        <v>-1.17581347255003</v>
      </c>
    </row>
    <row r="81" customFormat="false" ht="15" hidden="false" customHeight="true" outlineLevel="0" collapsed="false">
      <c r="C81" s="61" t="n">
        <v>498.7</v>
      </c>
      <c r="D81" s="27" t="n">
        <v>5</v>
      </c>
      <c r="E81" s="66" t="n">
        <f aca="false">SMALL($C$77:$C$106,D81)</f>
        <v>499.1</v>
      </c>
      <c r="F81" s="94" t="n">
        <f aca="false">NORMDIST(E81,C72,C73,TRUE())</f>
        <v>0.115260090571888</v>
      </c>
      <c r="G81" s="94" t="n">
        <f aca="false">1-NORMDIST(SMALL($C$77:$C$106,C71+1-D81),C72,C73,TRUE())</f>
        <v>0.129677053051482</v>
      </c>
      <c r="H81" s="66" t="n">
        <f aca="false">(2*D81-1)*(LN(F81)+LN(G81))</f>
        <v>-37.8294495637903</v>
      </c>
      <c r="I81" s="66" t="n">
        <f aca="false">NORMSINV((D81-0.375)/(C71+0.25))</f>
        <v>-1.02410618374162</v>
      </c>
    </row>
    <row r="82" customFormat="false" ht="15" hidden="false" customHeight="true" outlineLevel="0" collapsed="false">
      <c r="C82" s="61" t="n">
        <v>500.1</v>
      </c>
      <c r="D82" s="27" t="n">
        <v>6</v>
      </c>
      <c r="E82" s="66" t="n">
        <f aca="false">SMALL($C$77:$C$106,D82)</f>
        <v>499.2</v>
      </c>
      <c r="F82" s="94" t="n">
        <f aca="false">NORMDIST(E82,C72,C73,TRUE())</f>
        <v>0.135216886172348</v>
      </c>
      <c r="G82" s="94" t="n">
        <f aca="false">1-NORMDIST(SMALL($C$77:$C$106,C71+1-D82),C72,C73,TRUE())</f>
        <v>0.175150020171776</v>
      </c>
      <c r="H82" s="66" t="n">
        <f aca="false">(2*D82-1)*(LN(F82)+LN(G82))</f>
        <v>-41.1728640357975</v>
      </c>
      <c r="I82" s="66" t="n">
        <f aca="false">NORMSINV((D82-0.375)/(C71+0.25))</f>
        <v>-0.892918486444395</v>
      </c>
    </row>
    <row r="83" customFormat="false" ht="15" hidden="false" customHeight="true" outlineLevel="0" collapsed="false">
      <c r="C83" s="61" t="n">
        <v>502.3</v>
      </c>
      <c r="D83" s="27" t="n">
        <v>7</v>
      </c>
      <c r="E83" s="66" t="n">
        <f aca="false">SMALL($C$77:$C$106,D83)</f>
        <v>499.4</v>
      </c>
      <c r="F83" s="94" t="n">
        <f aca="false">NORMDIST(E83,C72,C73,TRUE())</f>
        <v>0.181898804042236</v>
      </c>
      <c r="G83" s="94" t="n">
        <f aca="false">1-NORMDIST(SMALL($C$77:$C$106,C71+1-D83),C72,C73,TRUE())</f>
        <v>0.20128176074509</v>
      </c>
      <c r="H83" s="66" t="n">
        <f aca="false">(2*D83-1)*(LN(F83)+LN(G83))</f>
        <v>-42.9956062387426</v>
      </c>
      <c r="I83" s="66" t="n">
        <f aca="false">NORMSINV((D83-0.375)/(C71+0.25))</f>
        <v>-0.775546958322378</v>
      </c>
    </row>
    <row r="84" customFormat="false" ht="15" hidden="false" customHeight="true" outlineLevel="0" collapsed="false">
      <c r="C84" s="61" t="n">
        <v>499.6</v>
      </c>
      <c r="D84" s="27" t="n">
        <v>8</v>
      </c>
      <c r="E84" s="66" t="n">
        <f aca="false">SMALL($C$77:$C$106,D84)</f>
        <v>499.6</v>
      </c>
      <c r="F84" s="94" t="n">
        <f aca="false">NORMDIST(E84,C72,C73,TRUE())</f>
        <v>0.237539082406055</v>
      </c>
      <c r="G84" s="94" t="n">
        <f aca="false">1-NORMDIST(SMALL($C$77:$C$106,C71+1-D84),C72,C73,TRUE())</f>
        <v>0.229620908145686</v>
      </c>
      <c r="H84" s="66" t="n">
        <f aca="false">(2*D84-1)*(LN(F84)+LN(G84))</f>
        <v>-43.6312300031522</v>
      </c>
      <c r="I84" s="66" t="n">
        <f aca="false">NORMSINV((D84-0.375)/(C71+0.25))</f>
        <v>-0.668002132269574</v>
      </c>
    </row>
    <row r="85" customFormat="false" ht="15" hidden="false" customHeight="true" outlineLevel="0" collapsed="false">
      <c r="C85" s="61" t="n">
        <v>500.9</v>
      </c>
      <c r="D85" s="27" t="n">
        <v>9</v>
      </c>
      <c r="E85" s="66" t="n">
        <f aca="false">SMALL($C$77:$C$106,D85)</f>
        <v>499.7</v>
      </c>
      <c r="F85" s="94" t="n">
        <f aca="false">NORMDIST(E85,C72,C73,TRUE())</f>
        <v>0.268523309241477</v>
      </c>
      <c r="G85" s="94" t="n">
        <f aca="false">1-NORMDIST(SMALL($C$77:$C$106,C71+1-D85),C72,C73,TRUE())</f>
        <v>0.292469629105285</v>
      </c>
      <c r="H85" s="66" t="n">
        <f aca="false">(2*D85-1)*(LN(F85)+LN(G85))</f>
        <v>-43.2516040986621</v>
      </c>
      <c r="I85" s="66" t="n">
        <f aca="false">NORMSINV((D85-0.375)/(C71+0.25))</f>
        <v>-0.56768639112746</v>
      </c>
    </row>
    <row r="86" customFormat="false" ht="15" hidden="false" customHeight="true" outlineLevel="0" collapsed="false">
      <c r="C86" s="61" t="n">
        <v>501.5</v>
      </c>
      <c r="D86" s="27" t="n">
        <v>10</v>
      </c>
      <c r="E86" s="66" t="n">
        <f aca="false">SMALL($C$77:$C$106,D86)</f>
        <v>499.9</v>
      </c>
      <c r="F86" s="94" t="n">
        <f aca="false">NORMDIST(E86,C72,C73,TRUE())</f>
        <v>0.336011341500856</v>
      </c>
      <c r="G86" s="94" t="n">
        <f aca="false">1-NORMDIST(SMALL($C$77:$C$106,C71+1-D86),C72,C73,TRUE())</f>
        <v>0.326633413024745</v>
      </c>
      <c r="H86" s="66" t="n">
        <f aca="false">(2*D86-1)*(LN(F86)+LN(G86))</f>
        <v>-41.9810160998895</v>
      </c>
      <c r="I86" s="66" t="n">
        <f aca="false">NORMSINV((D86-0.375)/(C71+0.25))</f>
        <v>-0.472789120992267</v>
      </c>
    </row>
    <row r="87" customFormat="false" ht="15" hidden="false" customHeight="true" outlineLevel="0" collapsed="false">
      <c r="C87" s="61" t="n">
        <v>498.9</v>
      </c>
      <c r="D87" s="27" t="n">
        <v>11</v>
      </c>
      <c r="E87" s="66" t="n">
        <f aca="false">SMALL($C$77:$C$106,D87)</f>
        <v>500</v>
      </c>
      <c r="F87" s="94" t="n">
        <f aca="false">NORMDIST(E87,C72,C73,TRUE())</f>
        <v>0.37205412269796</v>
      </c>
      <c r="G87" s="94" t="n">
        <f aca="false">1-NORMDIST(SMALL($C$77:$C$106,C71+1-D87),C72,C73,TRUE())</f>
        <v>0.326633413024745</v>
      </c>
      <c r="H87" s="66" t="n">
        <f aca="false">(2*D87-1)*(LN(F87)+LN(G87))</f>
        <v>-44.2602875861697</v>
      </c>
      <c r="I87" s="66" t="n">
        <f aca="false">NORMSINV((D87-0.375)/(C71+0.25))</f>
        <v>-0.381975767696542</v>
      </c>
    </row>
    <row r="88" customFormat="false" ht="15" hidden="false" customHeight="true" outlineLevel="0" collapsed="false">
      <c r="C88" s="61" t="n">
        <v>500.2</v>
      </c>
      <c r="D88" s="27" t="n">
        <v>12</v>
      </c>
      <c r="E88" s="66" t="n">
        <f aca="false">SMALL($C$77:$C$106,D88)</f>
        <v>500.1</v>
      </c>
      <c r="F88" s="94" t="n">
        <f aca="false">NORMDIST(E88,C72,C73,TRUE())</f>
        <v>0.409254909642372</v>
      </c>
      <c r="G88" s="94" t="n">
        <f aca="false">1-NORMDIST(SMALL($C$77:$C$106,C71+1-D88),C72,C73,TRUE())</f>
        <v>0.362316874984064</v>
      </c>
      <c r="H88" s="66" t="n">
        <f aca="false">(2*D88-1)*(LN(F88)+LN(G88))</f>
        <v>-43.8990229308833</v>
      </c>
      <c r="I88" s="66" t="n">
        <f aca="false">NORMSINV((D88-0.375)/(C71+0.25))</f>
        <v>-0.294213138930921</v>
      </c>
    </row>
    <row r="89" customFormat="false" ht="15" hidden="false" customHeight="true" outlineLevel="0" collapsed="false">
      <c r="C89" s="61" t="n">
        <v>499.4</v>
      </c>
      <c r="D89" s="27" t="n">
        <v>13</v>
      </c>
      <c r="E89" s="66" t="n">
        <f aca="false">SMALL($C$77:$C$106,D89)</f>
        <v>500.1</v>
      </c>
      <c r="F89" s="94" t="n">
        <f aca="false">NORMDIST(E89,C72,C73,TRUE())</f>
        <v>0.409254909642372</v>
      </c>
      <c r="G89" s="94" t="n">
        <f aca="false">1-NORMDIST(SMALL($C$77:$C$106,C71+1-D89),C72,C73,TRUE())</f>
        <v>0.399239166108759</v>
      </c>
      <c r="H89" s="66" t="n">
        <f aca="false">(2*D89-1)*(LN(F89)+LN(G89))</f>
        <v>-45.2902923495692</v>
      </c>
      <c r="I89" s="66" t="n">
        <f aca="false">NORMSINV((D89-0.375)/(C71+0.25))</f>
        <v>-0.208663745751155</v>
      </c>
    </row>
    <row r="90" customFormat="false" ht="15" hidden="false" customHeight="true" outlineLevel="0" collapsed="false">
      <c r="C90" s="61" t="n">
        <v>501.8</v>
      </c>
      <c r="D90" s="27" t="n">
        <v>14</v>
      </c>
      <c r="E90" s="66" t="n">
        <f aca="false">SMALL($C$77:$C$106,D90)</f>
        <v>500.2</v>
      </c>
      <c r="F90" s="94" t="n">
        <f aca="false">NORMDIST(E90,C72,C73,TRUE())</f>
        <v>0.447291939955666</v>
      </c>
      <c r="G90" s="94" t="n">
        <f aca="false">1-NORMDIST(SMALL($C$77:$C$106,C71+1-D90),C72,C73,TRUE())</f>
        <v>0.437086121316139</v>
      </c>
      <c r="H90" s="66" t="n">
        <f aca="false">(2*D90-1)*(LN(F90)+LN(G90))</f>
        <v>-44.0685580693778</v>
      </c>
      <c r="I90" s="66" t="n">
        <f aca="false">NORMSINV((D90-0.375)/(C71+0.25))</f>
        <v>-0.124617407947998</v>
      </c>
    </row>
    <row r="91" customFormat="false" ht="15" hidden="false" customHeight="true" outlineLevel="0" collapsed="false">
      <c r="C91" s="61" t="n">
        <v>500.6</v>
      </c>
      <c r="D91" s="27" t="n">
        <v>15</v>
      </c>
      <c r="E91" s="66" t="n">
        <f aca="false">SMALL($C$77:$C$106,D91)</f>
        <v>500.3</v>
      </c>
      <c r="F91" s="94" t="n">
        <f aca="false">NORMDIST(E91,C72,C73,TRUE())</f>
        <v>0.485820406340142</v>
      </c>
      <c r="G91" s="94" t="n">
        <f aca="false">1-NORMDIST(SMALL($C$77:$C$106,C71+1-D91),C72,C73,TRUE())</f>
        <v>0.475518201705107</v>
      </c>
      <c r="H91" s="66" t="n">
        <f aca="false">(2*D91-1)*(LN(F91)+LN(G91))</f>
        <v>-42.492724912692</v>
      </c>
      <c r="I91" s="66" t="n">
        <f aca="false">NORMSINV((D91-0.375)/(C71+0.25))</f>
        <v>-0.0414437330939966</v>
      </c>
    </row>
    <row r="92" customFormat="false" ht="15" hidden="false" customHeight="true" outlineLevel="0" collapsed="false">
      <c r="C92" s="61" t="n">
        <v>499.9</v>
      </c>
      <c r="D92" s="27" t="n">
        <v>16</v>
      </c>
      <c r="E92" s="66" t="n">
        <f aca="false">SMALL($C$77:$C$106,D92)</f>
        <v>500.4</v>
      </c>
      <c r="F92" s="94" t="n">
        <f aca="false">NORMDIST(E92,C72,C73,TRUE())</f>
        <v>0.524481798294893</v>
      </c>
      <c r="G92" s="94" t="n">
        <f aca="false">1-NORMDIST(SMALL($C$77:$C$106,C71+1-D92),C72,C73,TRUE())</f>
        <v>0.514179593659858</v>
      </c>
      <c r="H92" s="66" t="n">
        <f aca="false">(2*D92-1)*(LN(F92)+LN(G92))</f>
        <v>-40.626343983051</v>
      </c>
      <c r="I92" s="66" t="n">
        <f aca="false">NORMSINV((D92-0.375)/(C71+0.25))</f>
        <v>0.0414437330939965</v>
      </c>
    </row>
    <row r="93" customFormat="false" ht="15" hidden="false" customHeight="true" outlineLevel="0" collapsed="false">
      <c r="C93" s="61" t="n">
        <v>500.3</v>
      </c>
      <c r="D93" s="27" t="n">
        <v>17</v>
      </c>
      <c r="E93" s="66" t="n">
        <f aca="false">SMALL($C$77:$C$106,D93)</f>
        <v>500.5</v>
      </c>
      <c r="F93" s="94" t="n">
        <f aca="false">NORMDIST(E93,C72,C73,TRUE())</f>
        <v>0.562913878683861</v>
      </c>
      <c r="G93" s="94" t="n">
        <f aca="false">1-NORMDIST(SMALL($C$77:$C$106,C71+1-D93),C72,C73,TRUE())</f>
        <v>0.552708060044334</v>
      </c>
      <c r="H93" s="66" t="n">
        <f aca="false">(2*D93-1)*(LN(F93)+LN(G93))</f>
        <v>-38.5292809554154</v>
      </c>
      <c r="I93" s="66" t="n">
        <f aca="false">NORMSINV((D93-0.375)/(C71+0.25))</f>
        <v>0.124617407947998</v>
      </c>
    </row>
    <row r="94" customFormat="false" ht="15" hidden="false" customHeight="true" outlineLevel="0" collapsed="false">
      <c r="C94" s="61" t="n">
        <v>502.1</v>
      </c>
      <c r="D94" s="27" t="n">
        <v>18</v>
      </c>
      <c r="E94" s="66" t="n">
        <f aca="false">SMALL($C$77:$C$106,D94)</f>
        <v>500.6</v>
      </c>
      <c r="F94" s="94" t="n">
        <f aca="false">NORMDIST(E94,C72,C73,TRUE())</f>
        <v>0.600760833891242</v>
      </c>
      <c r="G94" s="94" t="n">
        <f aca="false">1-NORMDIST(SMALL($C$77:$C$106,C71+1-D94),C72,C73,TRUE())</f>
        <v>0.590745090357628</v>
      </c>
      <c r="H94" s="66" t="n">
        <f aca="false">(2*D94-1)*(LN(F94)+LN(G94))</f>
        <v>-36.257516553928</v>
      </c>
      <c r="I94" s="66" t="n">
        <f aca="false">NORMSINV((D94-0.375)/(C71+0.25))</f>
        <v>0.208663745751154</v>
      </c>
    </row>
    <row r="95" customFormat="false" ht="15" hidden="false" customHeight="true" outlineLevel="0" collapsed="false">
      <c r="C95" s="61" t="n">
        <v>498.5</v>
      </c>
      <c r="D95" s="27" t="n">
        <v>19</v>
      </c>
      <c r="E95" s="66" t="n">
        <f aca="false">SMALL($C$77:$C$106,D95)</f>
        <v>500.7</v>
      </c>
      <c r="F95" s="94" t="n">
        <f aca="false">NORMDIST(E95,C72,C73,TRUE())</f>
        <v>0.637683125015936</v>
      </c>
      <c r="G95" s="94" t="n">
        <f aca="false">1-NORMDIST(SMALL($C$77:$C$106,C71+1-D95),C72,C73,TRUE())</f>
        <v>0.590745090357628</v>
      </c>
      <c r="H95" s="66" t="n">
        <f aca="false">(2*D95-1)*(LN(F95)+LN(G95))</f>
        <v>-36.1225250971502</v>
      </c>
      <c r="I95" s="66" t="n">
        <f aca="false">NORMSINV((D95-0.375)/(C71+0.25))</f>
        <v>0.294213138930921</v>
      </c>
    </row>
    <row r="96" customFormat="false" ht="15" hidden="false" customHeight="true" outlineLevel="0" collapsed="false">
      <c r="C96" s="61" t="n">
        <v>500.7</v>
      </c>
      <c r="D96" s="27" t="n">
        <v>20</v>
      </c>
      <c r="E96" s="66" t="n">
        <f aca="false">SMALL($C$77:$C$106,D96)</f>
        <v>500.8</v>
      </c>
      <c r="F96" s="94" t="n">
        <f aca="false">NORMDIST(E96,C72,C73,TRUE())</f>
        <v>0.673366586975255</v>
      </c>
      <c r="G96" s="94" t="n">
        <f aca="false">1-NORMDIST(SMALL($C$77:$C$106,C71+1-D96),C72,C73,TRUE())</f>
        <v>0.62794587730204</v>
      </c>
      <c r="H96" s="66" t="n">
        <f aca="false">(2*D96-1)*(LN(F96)+LN(G96))</f>
        <v>-33.5699009390745</v>
      </c>
      <c r="I96" s="66" t="n">
        <f aca="false">NORMSINV((D96-0.375)/(C71+0.25))</f>
        <v>0.381975767696542</v>
      </c>
    </row>
    <row r="97" customFormat="false" ht="15" hidden="false" customHeight="true" outlineLevel="0" collapsed="false">
      <c r="C97" s="61" t="n">
        <v>501.1</v>
      </c>
      <c r="D97" s="27" t="n">
        <v>21</v>
      </c>
      <c r="E97" s="66" t="n">
        <f aca="false">SMALL($C$77:$C$106,D97)</f>
        <v>500.8</v>
      </c>
      <c r="F97" s="94" t="n">
        <f aca="false">NORMDIST(E97,C72,C73,TRUE())</f>
        <v>0.673366586975255</v>
      </c>
      <c r="G97" s="94" t="n">
        <f aca="false">1-NORMDIST(SMALL($C$77:$C$106,C71+1-D97),C72,C73,TRUE())</f>
        <v>0.663988658499144</v>
      </c>
      <c r="H97" s="66" t="n">
        <f aca="false">(2*D97-1)*(LN(F97)+LN(G97))</f>
        <v>-33.0031796862114</v>
      </c>
      <c r="I97" s="66" t="n">
        <f aca="false">NORMSINV((D97-0.375)/(C71+0.25))</f>
        <v>0.472789120992267</v>
      </c>
    </row>
    <row r="98" customFormat="false" ht="15" hidden="false" customHeight="true" outlineLevel="0" collapsed="false">
      <c r="C98" s="61" t="n">
        <v>499.2</v>
      </c>
      <c r="D98" s="27" t="n">
        <v>22</v>
      </c>
      <c r="E98" s="66" t="n">
        <f aca="false">SMALL($C$77:$C$106,D98)</f>
        <v>500.9</v>
      </c>
      <c r="F98" s="94" t="n">
        <f aca="false">NORMDIST(E98,C72,C73,TRUE())</f>
        <v>0.707530370894715</v>
      </c>
      <c r="G98" s="94" t="n">
        <f aca="false">1-NORMDIST(SMALL($C$77:$C$106,C71+1-D98),C72,C73,TRUE())</f>
        <v>0.731476690758523</v>
      </c>
      <c r="H98" s="66" t="n">
        <f aca="false">(2*D98-1)*(LN(F98)+LN(G98))</f>
        <v>-28.3225798359571</v>
      </c>
      <c r="I98" s="66" t="n">
        <f aca="false">NORMSINV((D98-0.375)/(C71+0.25))</f>
        <v>0.56768639112746</v>
      </c>
    </row>
    <row r="99" customFormat="false" ht="15" hidden="false" customHeight="true" outlineLevel="0" collapsed="false">
      <c r="C99" s="61" t="n">
        <v>500.5</v>
      </c>
      <c r="D99" s="27" t="n">
        <v>23</v>
      </c>
      <c r="E99" s="66" t="n">
        <f aca="false">SMALL($C$77:$C$106,D99)</f>
        <v>501.1</v>
      </c>
      <c r="F99" s="94" t="n">
        <f aca="false">NORMDIST(E99,C72,C73,TRUE())</f>
        <v>0.770379091854314</v>
      </c>
      <c r="G99" s="94" t="n">
        <f aca="false">1-NORMDIST(SMALL($C$77:$C$106,C71+1-D99),C72,C73,TRUE())</f>
        <v>0.762460917593945</v>
      </c>
      <c r="H99" s="66" t="n">
        <f aca="false">(2*D99-1)*(LN(F99)+LN(G99))</f>
        <v>-23.9434463534751</v>
      </c>
      <c r="I99" s="66" t="n">
        <f aca="false">NORMSINV((D99-0.375)/(C71+0.25))</f>
        <v>0.668002132269574</v>
      </c>
    </row>
    <row r="100" customFormat="false" ht="15" hidden="false" customHeight="true" outlineLevel="0" collapsed="false">
      <c r="C100" s="61" t="n">
        <v>500</v>
      </c>
      <c r="D100" s="27" t="n">
        <v>24</v>
      </c>
      <c r="E100" s="66" t="n">
        <f aca="false">SMALL($C$77:$C$106,D100)</f>
        <v>501.2</v>
      </c>
      <c r="F100" s="94" t="n">
        <f aca="false">NORMDIST(E100,C72,C73,TRUE())</f>
        <v>0.798718239254911</v>
      </c>
      <c r="G100" s="94" t="n">
        <f aca="false">1-NORMDIST(SMALL($C$77:$C$106,C71+1-D100),C72,C73,TRUE())</f>
        <v>0.818101195957764</v>
      </c>
      <c r="H100" s="66" t="n">
        <f aca="false">(2*D100-1)*(LN(F100)+LN(G100))</f>
        <v>-19.999264959466</v>
      </c>
      <c r="I100" s="66" t="n">
        <f aca="false">NORMSINV((D100-0.375)/(C71+0.25))</f>
        <v>0.775546958322378</v>
      </c>
    </row>
    <row r="101" customFormat="false" ht="15" hidden="false" customHeight="true" outlineLevel="0" collapsed="false">
      <c r="C101" s="61" t="n">
        <v>501.6</v>
      </c>
      <c r="D101" s="27" t="n">
        <v>25</v>
      </c>
      <c r="E101" s="66" t="n">
        <f aca="false">SMALL($C$77:$C$106,D101)</f>
        <v>501.3</v>
      </c>
      <c r="F101" s="94" t="n">
        <f aca="false">NORMDIST(E101,C72,C73,TRUE())</f>
        <v>0.824849979828224</v>
      </c>
      <c r="G101" s="94" t="n">
        <f aca="false">1-NORMDIST(SMALL($C$77:$C$106,C71+1-D101),C72,C73,TRUE())</f>
        <v>0.864783113827652</v>
      </c>
      <c r="H101" s="66" t="n">
        <f aca="false">(2*D101-1)*(LN(F101)+LN(G101))</f>
        <v>-16.5536842474506</v>
      </c>
      <c r="I101" s="66" t="n">
        <f aca="false">NORMSINV((D101-0.375)/(C71+0.25))</f>
        <v>0.892918486444395</v>
      </c>
    </row>
    <row r="102" customFormat="false" ht="15" hidden="false" customHeight="true" outlineLevel="0" collapsed="false">
      <c r="C102" s="61" t="n">
        <v>499.7</v>
      </c>
      <c r="D102" s="27" t="n">
        <v>26</v>
      </c>
      <c r="E102" s="66" t="n">
        <f aca="false">SMALL($C$77:$C$106,D102)</f>
        <v>501.5</v>
      </c>
      <c r="F102" s="94" t="n">
        <f aca="false">NORMDIST(E102,C72,C73,TRUE())</f>
        <v>0.870322946948518</v>
      </c>
      <c r="G102" s="94" t="n">
        <f aca="false">1-NORMDIST(SMALL($C$77:$C$106,C71+1-D102),C72,C73,TRUE())</f>
        <v>0.884739909428112</v>
      </c>
      <c r="H102" s="66" t="n">
        <f aca="false">(2*D102-1)*(LN(F102)+LN(G102))</f>
        <v>-13.3289773797847</v>
      </c>
      <c r="I102" s="66" t="n">
        <f aca="false">NORMSINV((D102-0.375)/(C71+0.25))</f>
        <v>1.02410618374162</v>
      </c>
    </row>
    <row r="103" customFormat="false" ht="15" hidden="false" customHeight="true" outlineLevel="0" collapsed="false">
      <c r="C103" s="61" t="n">
        <v>500.8</v>
      </c>
      <c r="D103" s="27" t="n">
        <v>27</v>
      </c>
      <c r="E103" s="66" t="n">
        <f aca="false">SMALL($C$77:$C$106,D103)</f>
        <v>501.6</v>
      </c>
      <c r="F103" s="94" t="n">
        <f aca="false">NORMDIST(E103,C72,C73,TRUE())</f>
        <v>0.889688810532329</v>
      </c>
      <c r="G103" s="94" t="n">
        <f aca="false">1-NORMDIST(SMALL($C$77:$C$106,C71+1-D103),C72,C73,TRUE())</f>
        <v>0.918179755219168</v>
      </c>
      <c r="H103" s="66" t="n">
        <f aca="false">(2*D103-1)*(LN(F103)+LN(G103))</f>
        <v>-10.7190180841954</v>
      </c>
      <c r="I103" s="66" t="n">
        <f aca="false">NORMSINV((D103-0.375)/(C71+0.25))</f>
        <v>1.17581347255003</v>
      </c>
    </row>
    <row r="104" customFormat="false" ht="15" hidden="false" customHeight="true" outlineLevel="0" collapsed="false">
      <c r="C104" s="61" t="n">
        <v>498.8</v>
      </c>
      <c r="D104" s="27" t="n">
        <v>28</v>
      </c>
      <c r="E104" s="66" t="n">
        <f aca="false">SMALL($C$77:$C$106,D104)</f>
        <v>501.8</v>
      </c>
      <c r="F104" s="94" t="n">
        <f aca="false">NORMDIST(E104,C72,C73,TRUE())</f>
        <v>0.922019355227309</v>
      </c>
      <c r="G104" s="94" t="n">
        <f aca="false">1-NORMDIST(SMALL($C$77:$C$106,C71+1-D104),C72,C73,TRUE())</f>
        <v>0.931873070401512</v>
      </c>
      <c r="H104" s="66" t="n">
        <f aca="false">(2*D104-1)*(LN(F104)+LN(G104))</f>
        <v>-8.34612499155472</v>
      </c>
      <c r="I104" s="66" t="n">
        <f aca="false">NORMSINV((D104-0.375)/(C71+0.25))</f>
        <v>1.36087334286719</v>
      </c>
    </row>
    <row r="105" customFormat="false" ht="15" hidden="false" customHeight="true" outlineLevel="0" collapsed="false">
      <c r="C105" s="61" t="n">
        <v>501.3</v>
      </c>
      <c r="D105" s="27" t="n">
        <v>29</v>
      </c>
      <c r="E105" s="66" t="n">
        <f aca="false">SMALL($C$77:$C$106,D105)</f>
        <v>502.1</v>
      </c>
      <c r="F105" s="94" t="n">
        <f aca="false">NORMDIST(E105,C72,C73,TRUE())</f>
        <v>0.956335045542665</v>
      </c>
      <c r="G105" s="94" t="n">
        <f aca="false">1-NORMDIST(SMALL($C$77:$C$106,C71+1-D105),C72,C73,TRUE())</f>
        <v>0.943725912135758</v>
      </c>
      <c r="H105" s="66" t="n">
        <f aca="false">(2*D105-1)*(LN(F105)+LN(G105))</f>
        <v>-5.84628842464126</v>
      </c>
      <c r="I105" s="66" t="n">
        <f aca="false">NORMSINV((D105-0.375)/(C71+0.25))</f>
        <v>1.60981606718445</v>
      </c>
    </row>
    <row r="106" customFormat="false" ht="15" hidden="false" customHeight="true" outlineLevel="0" collapsed="false">
      <c r="C106" s="61" t="n">
        <v>500.1</v>
      </c>
      <c r="D106" s="27" t="n">
        <v>30</v>
      </c>
      <c r="E106" s="66" t="n">
        <f aca="false">SMALL($C$77:$C$106,D106)</f>
        <v>502.3</v>
      </c>
      <c r="F106" s="94" t="n">
        <f aca="false">NORMDIST(E106,C72,C73,TRUE())</f>
        <v>0.971516595362415</v>
      </c>
      <c r="G106" s="94" t="n">
        <f aca="false">1-NORMDIST(SMALL($C$77:$C$106,C71+1-D106),C72,C73,TRUE())</f>
        <v>0.962523735588411</v>
      </c>
      <c r="H106" s="66" t="n">
        <f aca="false">(2*D106-1)*(LN(F106)+LN(G106))</f>
        <v>-3.95851537179841</v>
      </c>
      <c r="I106" s="66" t="n">
        <f aca="false">NORMSINV((D106-0.375)/(C71+0.25))</f>
        <v>2.04028132201041</v>
      </c>
    </row>
    <row r="108" customFormat="false" ht="15" hidden="false" customHeight="true" outlineLevel="0" collapsed="false">
      <c r="B108" s="10" t="s">
        <v>4294</v>
      </c>
      <c r="C108" s="66" t="n">
        <f aca="false">-C71-SUM($H$77:$H$106)/C71</f>
        <v>0.133670854214419</v>
      </c>
    </row>
    <row r="109" customFormat="false" ht="15" hidden="false" customHeight="true" outlineLevel="0" collapsed="false">
      <c r="B109" s="10" t="s">
        <v>4295</v>
      </c>
      <c r="C109" s="66" t="n">
        <f aca="false">C108*(1+0.75/C71+2.25/C71^2)</f>
        <v>0.137346802705315</v>
      </c>
    </row>
    <row r="110" customFormat="false" ht="15" hidden="false" customHeight="true" outlineLevel="0" collapsed="false">
      <c r="B110" s="10" t="s">
        <v>4296</v>
      </c>
      <c r="C110" s="77" t="n">
        <f aca="false">IF(C109&lt;0.2,1-EXP(-13.436+101.14*C109-223.73*C109^2),IF(C109&lt;0.34,1-EXP(-8.318+42.796*C109-59.938*C109^2),IF(C109&lt;0.6,EXP(0.9177-4.279*C109-1.38*C109^2),MAX(0,EXP(1.2937-5.709*C109+0.0186*C109^2)))))</f>
        <v>0.976837469237207</v>
      </c>
    </row>
    <row r="111" customFormat="false" ht="15" hidden="false" customHeight="true" outlineLevel="0" collapsed="false">
      <c r="B111" s="10" t="s">
        <v>4297</v>
      </c>
      <c r="C111" s="77" t="n">
        <f aca="false">CORREL($E$77:$E$106,$I$77:$I$106)</f>
        <v>0.994940705340202</v>
      </c>
    </row>
    <row r="112" customFormat="false" ht="15" hidden="false" customHeight="true" outlineLevel="0" collapsed="false">
      <c r="B112" s="10" t="s">
        <v>1776</v>
      </c>
      <c r="C112" s="63" t="n">
        <f aca="false">SKEW($C$77:$C$106)</f>
        <v>0.00141622687193875</v>
      </c>
    </row>
    <row r="113" customFormat="false" ht="15" hidden="false" customHeight="true" outlineLevel="0" collapsed="false">
      <c r="B113" s="10" t="s">
        <v>1781</v>
      </c>
      <c r="C113" s="63" t="n">
        <f aca="false">KURT($C$77:$C$106)</f>
        <v>-0.745351322879047</v>
      </c>
    </row>
    <row r="114" customFormat="false" ht="15" hidden="false" customHeight="true" outlineLevel="0" collapsed="false">
      <c r="B114" s="10" t="s">
        <v>1498</v>
      </c>
      <c r="C114" s="44" t="n">
        <f aca="false">SUMPRODUCT(1/COUNTIF($C$77:$C$106,$C$77:$C$106))</f>
        <v>28</v>
      </c>
    </row>
    <row r="116" customFormat="false" ht="15.75" hidden="false" customHeight="true" outlineLevel="0" collapsed="false">
      <c r="B116" s="7" t="s">
        <v>1493</v>
      </c>
      <c r="C116" s="8"/>
      <c r="D116" s="8"/>
      <c r="E116" s="8"/>
      <c r="F116" s="8"/>
      <c r="G116" s="8"/>
      <c r="H116" s="8"/>
      <c r="I116" s="8"/>
      <c r="J116" s="8"/>
      <c r="K116" s="8"/>
    </row>
    <row r="117" customFormat="false" ht="33.75" hidden="false" customHeight="true" outlineLevel="0" collapsed="false">
      <c r="B117" s="53" t="s">
        <v>1494</v>
      </c>
      <c r="C117" s="54" t="str">
        <f aca="false">IF(C110&lt;C69,"REJECT NORMALITY (AD* = "&amp;TEXT(C109,"0.000")&amp;", p = "&amp;TEXT(C110,"0.0000")&amp;"). Look at the plot before acting: skewness "&amp;TEXT(C112,"0.00")&amp;", excess kurtosis "&amp;TEXT(C113,"0.00")&amp;". Options: transform on E-33, non-normal capability on E-58, or a nonparametric test on E-31.","NO EVIDENCE AGAINST NORMALITY (AD* = "&amp;TEXT(C109,"0.000")&amp;", p = "&amp;TEXT(C110,"0.0000")&amp;", plot correlation "&amp;TEXT(C111,"0.0000")&amp;"). Normal-theory capability and t-tests are defensible.")</f>
        <v>NO EVIDENCE AGAINST NORMALITY (AD* = 0.137, p = 0.9768, plot correlation 0.9949). Normal-theory capability and t-tests are defensible.</v>
      </c>
      <c r="D117" s="54"/>
      <c r="E117" s="54"/>
    </row>
    <row r="119" customFormat="false" ht="16.5" hidden="false" customHeight="true" outlineLevel="0" collapsed="false">
      <c r="B119" s="11" t="s">
        <v>1495</v>
      </c>
      <c r="C119" s="11" t="s">
        <v>1496</v>
      </c>
      <c r="D119" s="11" t="s">
        <v>1497</v>
      </c>
    </row>
    <row r="120" customFormat="false" ht="16.5" hidden="false" customHeight="true" outlineLevel="0" collapsed="false">
      <c r="B120" s="12" t="s">
        <v>4298</v>
      </c>
      <c r="C120" s="12" t="s">
        <v>4299</v>
      </c>
      <c r="D120" s="12" t="s">
        <v>4300</v>
      </c>
    </row>
    <row r="121" customFormat="false" ht="30.75" hidden="false" customHeight="true" outlineLevel="0" collapsed="false">
      <c r="B121" s="12" t="s">
        <v>2538</v>
      </c>
      <c r="C121" s="12" t="s">
        <v>4301</v>
      </c>
      <c r="D121" s="12" t="s">
        <v>4302</v>
      </c>
    </row>
    <row r="122" customFormat="false" ht="30.75" hidden="false" customHeight="true" outlineLevel="0" collapsed="false">
      <c r="B122" s="12" t="s">
        <v>4303</v>
      </c>
      <c r="C122" s="12" t="s">
        <v>4304</v>
      </c>
      <c r="D122" s="12" t="s">
        <v>4305</v>
      </c>
    </row>
    <row r="123" customFormat="false" ht="30.75" hidden="false" customHeight="true" outlineLevel="0" collapsed="false">
      <c r="B123" s="12" t="s">
        <v>4306</v>
      </c>
      <c r="C123" s="12" t="s">
        <v>4307</v>
      </c>
      <c r="D123" s="12" t="s">
        <v>4308</v>
      </c>
    </row>
    <row r="125" customFormat="false" ht="15" hidden="false" customHeight="true" outlineLevel="0" collapsed="false">
      <c r="B125" s="55" t="s">
        <v>1507</v>
      </c>
    </row>
    <row r="126" customFormat="false" ht="17.25" hidden="false" customHeight="true" outlineLevel="0" collapsed="false">
      <c r="B126" s="9" t="s">
        <v>4309</v>
      </c>
      <c r="C126" s="9"/>
      <c r="D126" s="9"/>
      <c r="E126" s="9"/>
      <c r="F126" s="9"/>
    </row>
    <row r="127" customFormat="false" ht="17.25" hidden="false" customHeight="true" outlineLevel="0" collapsed="false">
      <c r="B127" s="9" t="s">
        <v>4310</v>
      </c>
      <c r="C127" s="9"/>
      <c r="D127" s="9"/>
      <c r="E127" s="9"/>
      <c r="F127" s="9"/>
    </row>
    <row r="128" customFormat="false" ht="31.5" hidden="false" customHeight="true" outlineLevel="0" collapsed="false">
      <c r="B128" s="9" t="s">
        <v>4311</v>
      </c>
      <c r="C128" s="9"/>
      <c r="D128" s="9"/>
      <c r="E128" s="9"/>
      <c r="F128" s="9"/>
    </row>
    <row r="129" customFormat="false" ht="17.25" hidden="false" customHeight="true" outlineLevel="0" collapsed="false">
      <c r="B129" s="9" t="s">
        <v>4312</v>
      </c>
      <c r="C129" s="9"/>
      <c r="D129" s="9"/>
      <c r="E129" s="9"/>
      <c r="F129" s="9"/>
    </row>
    <row r="130" customFormat="false" ht="17.25" hidden="false" customHeight="true" outlineLevel="0" collapsed="false">
      <c r="B130" s="9" t="s">
        <v>4313</v>
      </c>
      <c r="C130" s="9"/>
      <c r="D130" s="9"/>
      <c r="E130" s="9"/>
      <c r="F130" s="9"/>
    </row>
    <row r="132" customFormat="false" ht="15.75" hidden="false" customHeight="true" outlineLevel="0" collapsed="false">
      <c r="B132" s="7" t="s">
        <v>1513</v>
      </c>
      <c r="C132" s="8"/>
      <c r="D132" s="8"/>
      <c r="E132" s="8"/>
      <c r="F132" s="8"/>
      <c r="G132" s="8"/>
      <c r="H132" s="8"/>
      <c r="I132" s="8"/>
      <c r="J132" s="8"/>
      <c r="K132" s="8"/>
    </row>
    <row r="133" customFormat="false" ht="17.25" hidden="false" customHeight="true" outlineLevel="0" collapsed="false">
      <c r="B133" s="9" t="s">
        <v>1514</v>
      </c>
      <c r="C133" s="9"/>
      <c r="D133" s="9"/>
      <c r="E133" s="9"/>
      <c r="N133" s="56" t="s">
        <v>1515</v>
      </c>
    </row>
    <row r="134" customFormat="false" ht="17.25" hidden="false" customHeight="true" outlineLevel="0" collapsed="false">
      <c r="B134" s="9" t="s">
        <v>4314</v>
      </c>
      <c r="C134" s="9"/>
      <c r="D134" s="9"/>
      <c r="E134" s="9"/>
      <c r="N134" s="57" t="s">
        <v>4315</v>
      </c>
    </row>
    <row r="135" customFormat="false" ht="17.25" hidden="false" customHeight="true" outlineLevel="0" collapsed="false">
      <c r="B135" s="9" t="s">
        <v>4316</v>
      </c>
      <c r="C135" s="9"/>
      <c r="D135" s="9"/>
      <c r="E135" s="9"/>
      <c r="N135" s="57" t="s">
        <v>4317</v>
      </c>
    </row>
    <row r="136" customFormat="false" ht="17.25" hidden="false" customHeight="true" outlineLevel="0" collapsed="false">
      <c r="B136" s="9" t="s">
        <v>4318</v>
      </c>
      <c r="C136" s="9"/>
      <c r="D136" s="9"/>
      <c r="E136" s="9"/>
      <c r="N136" s="57" t="s">
        <v>4319</v>
      </c>
    </row>
    <row r="138" customFormat="false" ht="15.75" hidden="false" customHeight="true" outlineLevel="0" collapsed="false">
      <c r="B138" s="7" t="s">
        <v>1522</v>
      </c>
      <c r="C138" s="8"/>
      <c r="D138" s="8"/>
      <c r="E138" s="8"/>
      <c r="F138" s="8"/>
      <c r="G138" s="8"/>
      <c r="H138" s="8"/>
      <c r="I138" s="8"/>
      <c r="J138" s="8"/>
      <c r="K138" s="8"/>
    </row>
    <row r="139" customFormat="false" ht="16.5" hidden="false" customHeight="true" outlineLevel="0" collapsed="false">
      <c r="B139" s="11" t="s">
        <v>1523</v>
      </c>
      <c r="C139" s="11" t="s">
        <v>1524</v>
      </c>
      <c r="D139" s="11" t="s">
        <v>1615</v>
      </c>
    </row>
    <row r="140" customFormat="false" ht="44.25" hidden="false" customHeight="true" outlineLevel="0" collapsed="false">
      <c r="B140" s="58" t="s">
        <v>1191</v>
      </c>
      <c r="C140" s="58" t="s">
        <v>970</v>
      </c>
      <c r="D140" s="58" t="s">
        <v>2076</v>
      </c>
    </row>
  </sheetData>
  <mergeCells count="46">
    <mergeCell ref="B2:J2"/>
    <mergeCell ref="D3:F3"/>
    <mergeCell ref="C6:D6"/>
    <mergeCell ref="C7:D7"/>
    <mergeCell ref="C8:D8"/>
    <mergeCell ref="B11:F12"/>
    <mergeCell ref="B13:F15"/>
    <mergeCell ref="B16:F18"/>
    <mergeCell ref="B19:F20"/>
    <mergeCell ref="B21:F23"/>
    <mergeCell ref="B26:C26"/>
    <mergeCell ref="E26:F26"/>
    <mergeCell ref="B27:C27"/>
    <mergeCell ref="E27:F27"/>
    <mergeCell ref="B28:C28"/>
    <mergeCell ref="E28:F28"/>
    <mergeCell ref="B29:C29"/>
    <mergeCell ref="E29:F29"/>
    <mergeCell ref="B30:F30"/>
    <mergeCell ref="B38:F38"/>
    <mergeCell ref="B39:F39"/>
    <mergeCell ref="B40:F40"/>
    <mergeCell ref="B41:F41"/>
    <mergeCell ref="B42:F42"/>
    <mergeCell ref="B44:F44"/>
    <mergeCell ref="B45:F45"/>
    <mergeCell ref="B46:F46"/>
    <mergeCell ref="B47:F47"/>
    <mergeCell ref="B48:F48"/>
    <mergeCell ref="B50:F50"/>
    <mergeCell ref="B51:F51"/>
    <mergeCell ref="B52:F52"/>
    <mergeCell ref="B62:F62"/>
    <mergeCell ref="B65:F66"/>
    <mergeCell ref="B74:F74"/>
    <mergeCell ref="H76:I76"/>
    <mergeCell ref="C117:E117"/>
    <mergeCell ref="B126:F126"/>
    <mergeCell ref="B127:F127"/>
    <mergeCell ref="B128:F128"/>
    <mergeCell ref="B129:F129"/>
    <mergeCell ref="B130:F130"/>
    <mergeCell ref="B133:E133"/>
    <mergeCell ref="B134:E134"/>
    <mergeCell ref="B135:E135"/>
    <mergeCell ref="B136:E136"/>
  </mergeCells>
  <hyperlinks>
    <hyperlink ref="B3" location="'N-03 Index DMAIC'!A1" display="← Back to Index"/>
    <hyperlink ref="E33" location="'H-09 Stratification'!A1" display="H-09  Stratification"/>
    <hyperlink ref="E34" location="'E-47 Common vs Special Cause'!A1" display="E-47  Common Cause vs Special Cause Variation"/>
    <hyperlink ref="E35" location="'E-59 Gage R and R'!A1" display="E-59  Gage R&amp;R: ANOVA and Range Methods"/>
    <hyperlink ref="B140" location="'E-31 Nonparametric Tests'!A1" display="E-31  Nonparametric Tests"/>
    <hyperlink ref="C140" location="'E-33 When Assumptions Fail'!A1" display="E-33  When Assumptions Fail: Transformations and Alternatives"/>
    <hyperlink ref="D140" location="'E-58 Non-Normal Capability'!A1" display="E-58  Non-Normal and Attribute Capability, Z-ben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F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4320</v>
      </c>
      <c r="C2" s="3"/>
      <c r="D2" s="3"/>
      <c r="E2" s="3"/>
      <c r="F2" s="3"/>
      <c r="G2" s="3"/>
      <c r="H2" s="3"/>
      <c r="I2" s="3"/>
      <c r="J2" s="3"/>
      <c r="K2" s="80" t="s">
        <v>2864</v>
      </c>
    </row>
    <row r="3" customFormat="false" ht="28.5" hidden="false" customHeight="true" outlineLevel="0" collapsed="false">
      <c r="B3" s="5" t="s">
        <v>3</v>
      </c>
      <c r="D3" s="6" t="s">
        <v>4321</v>
      </c>
      <c r="E3" s="6"/>
      <c r="F3" s="6"/>
    </row>
    <row r="5" customFormat="false" ht="15.75" hidden="false" customHeight="true" outlineLevel="0" collapsed="false">
      <c r="B5" s="7" t="s">
        <v>1391</v>
      </c>
      <c r="C5" s="8"/>
      <c r="D5" s="8"/>
      <c r="E5" s="8"/>
      <c r="F5" s="8"/>
      <c r="G5" s="8"/>
      <c r="H5" s="8"/>
      <c r="I5" s="8"/>
      <c r="J5" s="8"/>
      <c r="K5" s="8"/>
    </row>
    <row r="6" customFormat="false" ht="15" hidden="false" customHeight="true" outlineLevel="0" collapsed="false">
      <c r="B6" s="47" t="s">
        <v>1392</v>
      </c>
      <c r="C6" s="79" t="s">
        <v>4322</v>
      </c>
    </row>
    <row r="7" customFormat="false" ht="31.5" hidden="false" customHeight="true" outlineLevel="0" collapsed="false">
      <c r="B7" s="47" t="s">
        <v>1394</v>
      </c>
      <c r="C7" s="79" t="s">
        <v>4323</v>
      </c>
      <c r="P7" s="96" t="s">
        <v>4324</v>
      </c>
      <c r="Q7" s="96"/>
      <c r="R7" s="96"/>
      <c r="S7" s="96"/>
      <c r="T7" s="96"/>
    </row>
    <row r="8" customFormat="false" ht="31.5" hidden="false" customHeight="true" outlineLevel="0" collapsed="false">
      <c r="B8" s="47" t="s">
        <v>1396</v>
      </c>
      <c r="C8" s="9" t="s">
        <v>4325</v>
      </c>
      <c r="D8" s="9"/>
      <c r="M8" s="10" t="s">
        <v>4326</v>
      </c>
      <c r="N8" s="66" t="n">
        <f aca="false">SUMPRODUCT(LN($C$70:$C$99))</f>
        <v>37.9020459582905</v>
      </c>
      <c r="P8" s="64" t="n">
        <f aca="false">C65+0*C66</f>
        <v>-2</v>
      </c>
      <c r="Q8" s="64" t="n">
        <f aca="false">C65+1*C66</f>
        <v>-1.75</v>
      </c>
      <c r="R8" s="64" t="n">
        <f aca="false">C65+2*C66</f>
        <v>-1.5</v>
      </c>
      <c r="S8" s="64" t="n">
        <f aca="false">C65+3*C66</f>
        <v>-1.25</v>
      </c>
      <c r="T8" s="64" t="n">
        <f aca="false">C65+4*C66</f>
        <v>-1</v>
      </c>
      <c r="U8" s="64" t="n">
        <f aca="false">C65+5*C66</f>
        <v>-0.75</v>
      </c>
      <c r="V8" s="64" t="n">
        <f aca="false">C65+6*C66</f>
        <v>-0.5</v>
      </c>
      <c r="W8" s="64" t="n">
        <f aca="false">C65+7*C66</f>
        <v>-0.25</v>
      </c>
      <c r="X8" s="64" t="n">
        <f aca="false">C65+8*C66</f>
        <v>0</v>
      </c>
      <c r="Y8" s="64" t="n">
        <f aca="false">C65+9*C66</f>
        <v>0.25</v>
      </c>
      <c r="Z8" s="64" t="n">
        <f aca="false">C65+10*C66</f>
        <v>0.5</v>
      </c>
      <c r="AA8" s="64" t="n">
        <f aca="false">C65+11*C66</f>
        <v>0.75</v>
      </c>
      <c r="AB8" s="64" t="n">
        <f aca="false">C65+12*C66</f>
        <v>1</v>
      </c>
      <c r="AC8" s="64" t="n">
        <f aca="false">C65+13*C66</f>
        <v>1.25</v>
      </c>
      <c r="AD8" s="64" t="n">
        <f aca="false">C65+14*C66</f>
        <v>1.5</v>
      </c>
      <c r="AE8" s="64" t="n">
        <f aca="false">C65+15*C66</f>
        <v>1.75</v>
      </c>
      <c r="AF8" s="64" t="n">
        <f aca="false">C65+16*C66</f>
        <v>2</v>
      </c>
    </row>
    <row r="9" customFormat="false" ht="15" hidden="false" customHeight="true" outlineLevel="0" collapsed="false">
      <c r="P9" s="66" t="n">
        <f aca="false">IF(P$8=0,LN($C$70),($C$70^P$8-1)/P$8)</f>
        <v>0.386621315192744</v>
      </c>
      <c r="Q9" s="66" t="n">
        <f aca="false">IF(Q$8=0,LN($C$70),($C$70^Q$8-1)/Q$8)</f>
        <v>0.415445242176519</v>
      </c>
      <c r="R9" s="66" t="n">
        <f aca="false">IF(R$8=0,LN($C$70),($C$70^R$8-1)/R$8)</f>
        <v>0.447598235129411</v>
      </c>
      <c r="S9" s="66" t="n">
        <f aca="false">IF(S$8=0,LN($C$70),($C$70^S$8-1)/S$8)</f>
        <v>0.483542153355703</v>
      </c>
      <c r="T9" s="66" t="n">
        <f aca="false">IF(T$8=0,LN($C$70),($C$70^T$8-1)/T$8)</f>
        <v>0.523809523809524</v>
      </c>
      <c r="U9" s="66" t="n">
        <f aca="false">IF(U$8=0,LN($C$70),($C$70^U$8-1)/U$8)</f>
        <v>0.569015019998276</v>
      </c>
      <c r="V9" s="66" t="n">
        <f aca="false">IF(V$8=0,LN($C$70),($C$70^V$8-1)/V$8)</f>
        <v>0.619868881315292</v>
      </c>
      <c r="W9" s="66" t="n">
        <f aca="false">IF(W$8=0,LN($C$70),($C$70^W$8-1)/W$8)</f>
        <v>0.677192610234883</v>
      </c>
      <c r="X9" s="66" t="n">
        <f aca="false">IF(X$8=0,LN($C$70),($C$70^X$8-1)/X$8)</f>
        <v>0.741937344729377</v>
      </c>
      <c r="Y9" s="66" t="n">
        <f aca="false">IF(Y$8=0,LN($C$70),($C$70^Y$8-1)/Y$8)</f>
        <v>0.815205374010864</v>
      </c>
      <c r="Z9" s="66" t="n">
        <f aca="false">IF(Z$8=0,LN($C$70),($C$70^Z$8-1)/Z$8)</f>
        <v>0.898275349237888</v>
      </c>
      <c r="AA9" s="66" t="n">
        <f aca="false">IF(AA$8=0,LN($C$70),($C$70^AA$8-1)/AA$8)</f>
        <v>0.992631839502248</v>
      </c>
      <c r="AB9" s="66" t="n">
        <f aca="false">IF(AB$8=0,LN($C$70),($C$70^AB$8-1)/AB$8)</f>
        <v>1.1</v>
      </c>
      <c r="AC9" s="66" t="n">
        <f aca="false">IF(AC$8=0,LN($C$70),($C$70^AC$8-1)/AC$8)</f>
        <v>1.22238625708456</v>
      </c>
      <c r="AD9" s="66" t="n">
        <f aca="false">IF(AD$8=0,LN($C$70),($C$70^AD$8-1)/AD$8)</f>
        <v>1.36212607779985</v>
      </c>
      <c r="AE9" s="66" t="n">
        <f aca="false">IF(AE$8=0,LN($C$70),($C$70^AE$8-1)/AE$8)</f>
        <v>1.52194008412345</v>
      </c>
      <c r="AF9" s="66" t="n">
        <f aca="false">IF(AF$8=0,LN($C$70),($C$70^AF$8-1)/AF$8)</f>
        <v>1.705</v>
      </c>
    </row>
    <row r="10" customFormat="false" ht="15.75" hidden="false" customHeight="true" outlineLevel="0" collapsed="false">
      <c r="B10" s="7" t="s">
        <v>1398</v>
      </c>
      <c r="C10" s="8"/>
      <c r="D10" s="8"/>
      <c r="E10" s="8"/>
      <c r="F10" s="8"/>
      <c r="G10" s="8"/>
      <c r="H10" s="8"/>
      <c r="I10" s="8"/>
      <c r="J10" s="8"/>
      <c r="K10" s="8"/>
      <c r="P10" s="66" t="n">
        <f aca="false">IF(P$8=0,LN($C$71),($C$71^P$8-1)/P$8)</f>
        <v>0.456747404844291</v>
      </c>
      <c r="Q10" s="66" t="n">
        <f aca="false">IF(Q$8=0,LN($C$71),($C$71^Q$8-1)/Q$8)</f>
        <v>0.50430518691463</v>
      </c>
      <c r="R10" s="66" t="n">
        <f aca="false">IF(R$8=0,LN($C$71),($C$71^R$8-1)/R$8)</f>
        <v>0.560328206951639</v>
      </c>
      <c r="S10" s="66" t="n">
        <f aca="false">IF(S$8=0,LN($C$71),($C$71^S$8-1)/S$8)</f>
        <v>0.62672283225793</v>
      </c>
      <c r="T10" s="66" t="n">
        <f aca="false">IF(T$8=0,LN($C$71),($C$71^T$8-1)/T$8)</f>
        <v>0.705882352941176</v>
      </c>
      <c r="U10" s="66" t="n">
        <f aca="false">IF(U$8=0,LN($C$71),($C$71^U$8-1)/U$8)</f>
        <v>0.800821149522728</v>
      </c>
      <c r="V10" s="66" t="n">
        <f aca="false">IF(V$8=0,LN($C$71),($C$71^V$8-1)/V$8)</f>
        <v>0.915347710906719</v>
      </c>
      <c r="W10" s="66" t="n">
        <f aca="false">IF(W$8=0,LN($C$71),($C$71^W$8-1)/W$8)</f>
        <v>1.0542881483848</v>
      </c>
      <c r="X10" s="66" t="n">
        <f aca="false">IF(X$8=0,LN($C$71),($C$71^X$8-1)/X$8)</f>
        <v>1.22377543162212</v>
      </c>
      <c r="Y10" s="66" t="n">
        <f aca="false">IF(Y$8=0,LN($C$71),($C$71^Y$8-1)/Y$8)</f>
        <v>1.43162427486818</v>
      </c>
      <c r="Z10" s="66" t="n">
        <f aca="false">IF(Z$8=0,LN($C$71),($C$71^Z$8-1)/Z$8)</f>
        <v>1.68781778291716</v>
      </c>
      <c r="AA10" s="66" t="n">
        <f aca="false">IF(AA$8=0,LN($C$71),($C$71^AA$8-1)/AA$8)</f>
        <v>2.00514009849723</v>
      </c>
      <c r="AB10" s="66" t="n">
        <f aca="false">IF(AB$8=0,LN($C$71),($C$71^AB$8-1)/AB$8)</f>
        <v>2.4</v>
      </c>
      <c r="AC10" s="66" t="n">
        <f aca="false">IF(AC$8=0,LN($C$71),($C$71^AC$8-1)/AC$8)</f>
        <v>2.89350450691036</v>
      </c>
      <c r="AD10" s="66" t="n">
        <f aca="false">IF(AD$8=0,LN($C$71),($C$71^AD$8-1)/AD$8)</f>
        <v>3.51286015397278</v>
      </c>
      <c r="AE10" s="66" t="n">
        <f aca="false">IF(AE$8=0,LN($C$71),($C$71^AE$8-1)/AE$8)</f>
        <v>4.29320414352453</v>
      </c>
      <c r="AF10" s="66" t="n">
        <f aca="false">IF(AF$8=0,LN($C$71),($C$71^AF$8-1)/AF$8)</f>
        <v>5.28</v>
      </c>
    </row>
    <row r="11" customFormat="false" ht="31.5" hidden="false" customHeight="true" outlineLevel="0" collapsed="false">
      <c r="B11" s="9" t="s">
        <v>4327</v>
      </c>
      <c r="C11" s="9"/>
      <c r="P11" s="66" t="n">
        <f aca="false">IF(P$8=0,LN($C$72),($C$72^P$8-1)/P$8)</f>
        <v>0.345679012345679</v>
      </c>
      <c r="Q11" s="66" t="n">
        <f aca="false">IF(Q$8=0,LN($C$72),($C$72^Q$8-1)/Q$8)</f>
        <v>0.367144235398894</v>
      </c>
      <c r="R11" s="66" t="n">
        <f aca="false">IF(R$8=0,LN($C$72),($C$72^R$8-1)/R$8)</f>
        <v>0.390608891666693</v>
      </c>
      <c r="S11" s="66" t="n">
        <f aca="false">IF(S$8=0,LN($C$72),($C$72^S$8-1)/S$8)</f>
        <v>0.416293323835355</v>
      </c>
      <c r="T11" s="66" t="n">
        <f aca="false">IF(T$8=0,LN($C$72),($C$72^T$8-1)/T$8)</f>
        <v>0.444444444444444</v>
      </c>
      <c r="U11" s="66" t="n">
        <f aca="false">IF(U$8=0,LN($C$72),($C$72^U$8-1)/U$8)</f>
        <v>0.47533912200869</v>
      </c>
      <c r="V11" s="66" t="n">
        <f aca="false">IF(V$8=0,LN($C$72),($C$72^V$8-1)/V$8)</f>
        <v>0.50928801500014</v>
      </c>
      <c r="W11" s="66" t="n">
        <f aca="false">IF(W$8=0,LN($C$72),($C$72^W$8-1)/W$8)</f>
        <v>0.546639914518198</v>
      </c>
      <c r="X11" s="66" t="n">
        <f aca="false">IF(X$8=0,LN($C$72),($C$72^X$8-1)/X$8)</f>
        <v>0.587786664902119</v>
      </c>
      <c r="Y11" s="66" t="n">
        <f aca="false">IF(Y$8=0,LN($C$72),($C$72^Y$8-1)/Y$8)</f>
        <v>0.633168741153076</v>
      </c>
      <c r="Z11" s="66" t="n">
        <f aca="false">IF(Z$8=0,LN($C$72),($C$72^Z$8-1)/Z$8)</f>
        <v>0.683281572999748</v>
      </c>
      <c r="AA11" s="66" t="n">
        <f aca="false">IF(AA$8=0,LN($C$72),($C$72^AA$8-1)/AA$8)</f>
        <v>0.738682717955748</v>
      </c>
      <c r="AB11" s="66" t="n">
        <f aca="false">IF(AB$8=0,LN($C$72),($C$72^AB$8-1)/AB$8)</f>
        <v>0.8</v>
      </c>
      <c r="AC11" s="66" t="n">
        <f aca="false">IF(AC$8=0,LN($C$72),($C$72^AC$8-1)/AC$8)</f>
        <v>0.867940746815108</v>
      </c>
      <c r="AD11" s="66" t="n">
        <f aca="false">IF(AD$8=0,LN($C$72),($C$72^AD$8-1)/AD$8)</f>
        <v>0.943302277133182</v>
      </c>
      <c r="AE11" s="66" t="n">
        <f aca="false">IF(AE$8=0,LN($C$72),($C$72^AE$8-1)/AE$8)</f>
        <v>1.02698381099443</v>
      </c>
      <c r="AF11" s="66" t="n">
        <f aca="false">IF(AF$8=0,LN($C$72),($C$72^AF$8-1)/AF$8)</f>
        <v>1.12</v>
      </c>
    </row>
    <row r="12" customFormat="false" ht="31.5" hidden="false" customHeight="true" outlineLevel="0" collapsed="false">
      <c r="B12" s="9" t="s">
        <v>4328</v>
      </c>
      <c r="C12" s="9"/>
      <c r="P12" s="66" t="n">
        <f aca="false">IF(P$8=0,LN($C$73),($C$73^P$8-1)/P$8)</f>
        <v>0.481508875739645</v>
      </c>
      <c r="Q12" s="66" t="n">
        <f aca="false">IF(Q$8=0,LN($C$73),($C$73^Q$8-1)/Q$8)</f>
        <v>0.539516418835691</v>
      </c>
      <c r="R12" s="66" t="n">
        <f aca="false">IF(R$8=0,LN($C$73),($C$73^R$8-1)/R$8)</f>
        <v>0.61044499876237</v>
      </c>
      <c r="S12" s="66" t="n">
        <f aca="false">IF(S$8=0,LN($C$73),($C$73^S$8-1)/S$8)</f>
        <v>0.698120733984436</v>
      </c>
      <c r="T12" s="66" t="n">
        <f aca="false">IF(T$8=0,LN($C$73),($C$73^T$8-1)/T$8)</f>
        <v>0.807692307692308</v>
      </c>
      <c r="U12" s="66" t="n">
        <f aca="false">IF(U$8=0,LN($C$73),($C$73^U$8-1)/U$8)</f>
        <v>0.946132548539718</v>
      </c>
      <c r="V12" s="66" t="n">
        <f aca="false">IF(V$8=0,LN($C$73),($C$73^V$8-1)/V$8)</f>
        <v>1.12294198069297</v>
      </c>
      <c r="W12" s="66" t="n">
        <f aca="false">IF(W$8=0,LN($C$73),($C$73^W$8-1)/W$8)</f>
        <v>1.35113908359532</v>
      </c>
      <c r="X12" s="66" t="n">
        <f aca="false">IF(X$8=0,LN($C$73),($C$73^X$8-1)/X$8)</f>
        <v>1.64865862558738</v>
      </c>
      <c r="Y12" s="66" t="n">
        <f aca="false">IF(Y$8=0,LN($C$73),($C$73^Y$8-1)/Y$8)</f>
        <v>2.04033224278039</v>
      </c>
      <c r="Z12" s="66" t="n">
        <f aca="false">IF(Z$8=0,LN($C$73),($C$73^Z$8-1)/Z$8)</f>
        <v>2.56070170039655</v>
      </c>
      <c r="AA12" s="66" t="n">
        <f aca="false">IF(AA$8=0,LN($C$73),($C$73^AA$8-1)/AA$8)</f>
        <v>3.25802558843478</v>
      </c>
      <c r="AB12" s="66" t="n">
        <f aca="false">IF(AB$8=0,LN($C$73),($C$73^AB$8-1)/AB$8)</f>
        <v>4.2</v>
      </c>
      <c r="AC12" s="66" t="n">
        <f aca="false">IF(AC$8=0,LN($C$73),($C$73^AC$8-1)/AC$8)</f>
        <v>5.48194553249161</v>
      </c>
      <c r="AD12" s="66" t="n">
        <f aca="false">IF(AD$8=0,LN($C$73),($C$73^AD$8-1)/AD$8)</f>
        <v>7.23854961402069</v>
      </c>
      <c r="AE12" s="66" t="n">
        <f aca="false">IF(AE$8=0,LN($C$73),($C$73^AE$8-1)/AE$8)</f>
        <v>9.66074273994036</v>
      </c>
      <c r="AF12" s="66" t="n">
        <f aca="false">IF(AF$8=0,LN($C$73),($C$73^AF$8-1)/AF$8)</f>
        <v>13.02</v>
      </c>
    </row>
    <row r="13" customFormat="false" ht="31.5" hidden="false" customHeight="true" outlineLevel="0" collapsed="false">
      <c r="B13" s="9" t="s">
        <v>4329</v>
      </c>
      <c r="C13" s="9"/>
      <c r="P13" s="66" t="n">
        <f aca="false">IF(P$8=0,LN($C$74),($C$74^P$8-1)/P$8)</f>
        <v>0.440546967895363</v>
      </c>
      <c r="Q13" s="66" t="n">
        <f aca="false">IF(Q$8=0,LN($C$74),($C$74^Q$8-1)/Q$8)</f>
        <v>0.48276086902311</v>
      </c>
      <c r="R13" s="66" t="n">
        <f aca="false">IF(R$8=0,LN($C$74),($C$74^R$8-1)/R$8)</f>
        <v>0.531673512755241</v>
      </c>
      <c r="S13" s="66" t="n">
        <f aca="false">IF(S$8=0,LN($C$74),($C$74^S$8-1)/S$8)</f>
        <v>0.588606081258179</v>
      </c>
      <c r="T13" s="66" t="n">
        <f aca="false">IF(T$8=0,LN($C$74),($C$74^T$8-1)/T$8)</f>
        <v>0.655172413793103</v>
      </c>
      <c r="U13" s="66" t="n">
        <f aca="false">IF(U$8=0,LN($C$74),($C$74^U$8-1)/U$8)</f>
        <v>0.733348547056379</v>
      </c>
      <c r="V13" s="66" t="n">
        <f aca="false">IF(V$8=0,LN($C$74),($C$74^V$8-1)/V$8)</f>
        <v>0.825559560970593</v>
      </c>
      <c r="W13" s="66" t="n">
        <f aca="false">IF(W$8=0,LN($C$74),($C$74^W$8-1)/W$8)</f>
        <v>0.934788178243589</v>
      </c>
      <c r="X13" s="66" t="n">
        <f aca="false">IF(X$8=0,LN($C$74),($C$74^X$8-1)/X$8)</f>
        <v>1.06471073699243</v>
      </c>
      <c r="Y13" s="66" t="n">
        <f aca="false">IF(Y$8=0,LN($C$74),($C$74^Y$8-1)/Y$8)</f>
        <v>1.2198676406095</v>
      </c>
      <c r="Z13" s="66" t="n">
        <f aca="false">IF(Z$8=0,LN($C$74),($C$74^Z$8-1)/Z$8)</f>
        <v>1.40587727318528</v>
      </c>
      <c r="AA13" s="66" t="n">
        <f aca="false">IF(AA$8=0,LN($C$74),($C$74^AA$8-1)/AA$8)</f>
        <v>1.6297047610312</v>
      </c>
      <c r="AB13" s="66" t="n">
        <f aca="false">IF(AB$8=0,LN($C$74),($C$74^AB$8-1)/AB$8)</f>
        <v>1.9</v>
      </c>
      <c r="AC13" s="66" t="n">
        <f aca="false">IF(AC$8=0,LN($C$74),($C$74^AC$8-1)/AC$8)</f>
        <v>2.22752323155351</v>
      </c>
      <c r="AD13" s="66" t="n">
        <f aca="false">IF(AD$8=0,LN($C$74),($C$74^AD$8-1)/AD$8)</f>
        <v>2.6256813640791</v>
      </c>
      <c r="AE13" s="66" t="n">
        <f aca="false">IF(AE$8=0,LN($C$74),($C$74^AE$8-1)/AE$8)</f>
        <v>3.1112044887102</v>
      </c>
      <c r="AF13" s="66" t="n">
        <f aca="false">IF(AF$8=0,LN($C$74),($C$74^AF$8-1)/AF$8)</f>
        <v>3.705</v>
      </c>
    </row>
    <row r="14" customFormat="false" ht="31.5" hidden="false" customHeight="true" outlineLevel="0" collapsed="false">
      <c r="B14" s="9" t="s">
        <v>4330</v>
      </c>
      <c r="C14" s="9"/>
      <c r="P14" s="66" t="n">
        <f aca="false">IF(P$8=0,LN($C$75),($C$75^P$8-1)/P$8)</f>
        <v>0.470255800118977</v>
      </c>
      <c r="Q14" s="66" t="n">
        <f aca="false">IF(Q$8=0,LN($C$75),($C$75^Q$8-1)/Q$8)</f>
        <v>0.523056999367439</v>
      </c>
      <c r="R14" s="66" t="n">
        <f aca="false">IF(R$8=0,LN($C$75),($C$75^R$8-1)/R$8)</f>
        <v>0.586363447426863</v>
      </c>
      <c r="S14" s="66" t="n">
        <f aca="false">IF(S$8=0,LN($C$75),($C$75^S$8-1)/S$8)</f>
        <v>0.662877044253216</v>
      </c>
      <c r="T14" s="66" t="n">
        <f aca="false">IF(T$8=0,LN($C$75),($C$75^T$8-1)/T$8)</f>
        <v>0.75609756097561</v>
      </c>
      <c r="U14" s="66" t="n">
        <f aca="false">IF(U$8=0,LN($C$75),($C$75^U$8-1)/U$8)</f>
        <v>0.870578627281833</v>
      </c>
      <c r="V14" s="66" t="n">
        <f aca="false">IF(V$8=0,LN($C$75),($C$75^V$8-1)/V$8)</f>
        <v>1.01227040335041</v>
      </c>
      <c r="W14" s="66" t="n">
        <f aca="false">IF(W$8=0,LN($C$75),($C$75^W$8-1)/W$8)</f>
        <v>1.18897940719092</v>
      </c>
      <c r="X14" s="66" t="n">
        <f aca="false">IF(X$8=0,LN($C$75),($C$75^X$8-1)/X$8)</f>
        <v>1.41098697371026</v>
      </c>
      <c r="Y14" s="66" t="n">
        <f aca="false">IF(Y$8=0,LN($C$75),($C$75^Y$8-1)/Y$8)</f>
        <v>1.69188288443346</v>
      </c>
      <c r="Z14" s="66" t="n">
        <f aca="false">IF(Z$8=0,LN($C$75),($C$75^Z$8-1)/Z$8)</f>
        <v>2.04969134626332</v>
      </c>
      <c r="AA14" s="66" t="n">
        <f aca="false">IF(AA$8=0,LN($C$75),($C$75^AA$8-1)/AA$8)</f>
        <v>2.50839481017241</v>
      </c>
      <c r="AB14" s="66" t="n">
        <f aca="false">IF(AB$8=0,LN($C$75),($C$75^AB$8-1)/AB$8)</f>
        <v>3.1</v>
      </c>
      <c r="AC14" s="66" t="n">
        <f aca="false">IF(AC$8=0,LN($C$75),($C$75^AC$8-1)/AC$8)</f>
        <v>3.86734396523543</v>
      </c>
      <c r="AD14" s="66" t="n">
        <f aca="false">IF(AD$8=0,LN($C$75),($C$75^AD$8-1)/AD$8)</f>
        <v>4.86791150655987</v>
      </c>
      <c r="AE14" s="66" t="n">
        <f aca="false">IF(AE$8=0,LN($C$75),($C$75^AE$8-1)/AE$8)</f>
        <v>6.17903659501724</v>
      </c>
      <c r="AF14" s="66" t="n">
        <f aca="false">IF(AF$8=0,LN($C$75),($C$75^AF$8-1)/AF$8)</f>
        <v>7.905</v>
      </c>
    </row>
    <row r="15" customFormat="false" ht="17.25" hidden="false" customHeight="true" outlineLevel="0" collapsed="false">
      <c r="B15" s="9" t="s">
        <v>4331</v>
      </c>
      <c r="C15" s="9"/>
      <c r="P15" s="66" t="n">
        <f aca="false">IF(P$8=0,LN($C$76),($C$76^P$8-1)/P$8)</f>
        <v>0.277777777777778</v>
      </c>
      <c r="Q15" s="66" t="n">
        <f aca="false">IF(Q$8=0,LN($C$76),($C$76^Q$8-1)/Q$8)</f>
        <v>0.290366496584045</v>
      </c>
      <c r="R15" s="66" t="n">
        <f aca="false">IF(R$8=0,LN($C$76),($C$76^R$8-1)/R$8)</f>
        <v>0.303779297365455</v>
      </c>
      <c r="S15" s="66" t="n">
        <f aca="false">IF(S$8=0,LN($C$76),($C$76^S$8-1)/S$8)</f>
        <v>0.318078931408083</v>
      </c>
      <c r="T15" s="66" t="n">
        <f aca="false">IF(T$8=0,LN($C$76),($C$76^T$8-1)/T$8)</f>
        <v>0.333333333333333</v>
      </c>
      <c r="U15" s="66" t="n">
        <f aca="false">IF(U$8=0,LN($C$76),($C$76^U$8-1)/U$8)</f>
        <v>0.349616071377492</v>
      </c>
      <c r="V15" s="66" t="n">
        <f aca="false">IF(V$8=0,LN($C$76),($C$76^V$8-1)/V$8)</f>
        <v>0.367006838144548</v>
      </c>
      <c r="W15" s="66" t="n">
        <f aca="false">IF(W$8=0,LN($C$76),($C$76^W$8-1)/W$8)</f>
        <v>0.38559198556062</v>
      </c>
      <c r="X15" s="66" t="n">
        <f aca="false">IF(X$8=0,LN($C$76),($C$76^X$8-1)/X$8)</f>
        <v>0.405465108108164</v>
      </c>
      <c r="Y15" s="66" t="n">
        <f aca="false">IF(Y$8=0,LN($C$76),($C$76^Y$8-1)/Y$8)</f>
        <v>0.426727678801286</v>
      </c>
      <c r="Z15" s="66" t="n">
        <f aca="false">IF(Z$8=0,LN($C$76),($C$76^Z$8-1)/Z$8)</f>
        <v>0.449489742783178</v>
      </c>
      <c r="AA15" s="66" t="n">
        <f aca="false">IF(AA$8=0,LN($C$76),($C$76^AA$8-1)/AA$8)</f>
        <v>0.473870673886356</v>
      </c>
      <c r="AB15" s="66" t="n">
        <f aca="false">IF(AB$8=0,LN($C$76),($C$76^AB$8-1)/AB$8)</f>
        <v>0.5</v>
      </c>
      <c r="AC15" s="66" t="n">
        <f aca="false">IF(AC$8=0,LN($C$76),($C$76^AC$8-1)/AC$8)</f>
        <v>0.528018303640386</v>
      </c>
      <c r="AD15" s="66" t="n">
        <f aca="false">IF(AD$8=0,LN($C$76),($C$76^AD$8-1)/AD$8)</f>
        <v>0.558078204724922</v>
      </c>
      <c r="AE15" s="66" t="n">
        <f aca="false">IF(AE$8=0,LN($C$76),($C$76^AE$8-1)/AE$8)</f>
        <v>0.590345433212658</v>
      </c>
      <c r="AF15" s="66" t="n">
        <f aca="false">IF(AF$8=0,LN($C$76),($C$76^AF$8-1)/AF$8)</f>
        <v>0.625</v>
      </c>
    </row>
    <row r="16" customFormat="false" ht="31.5" hidden="false" customHeight="true" outlineLevel="0" collapsed="false">
      <c r="B16" s="9" t="s">
        <v>4332</v>
      </c>
      <c r="C16" s="9"/>
      <c r="P16" s="66" t="n">
        <f aca="false">IF(P$8=0,LN($C$77),($C$77^P$8-1)/P$8)</f>
        <v>0.489186851211073</v>
      </c>
      <c r="Q16" s="66" t="n">
        <f aca="false">IF(Q$8=0,LN($C$77),($C$77^Q$8-1)/Q$8)</f>
        <v>0.551472669816811</v>
      </c>
      <c r="R16" s="66" t="n">
        <f aca="false">IF(R$8=0,LN($C$77),($C$77^R$8-1)/R$8)</f>
        <v>0.629070343683952</v>
      </c>
      <c r="S16" s="66" t="n">
        <f aca="false">IF(S$8=0,LN($C$77),($C$77^S$8-1)/S$8)</f>
        <v>0.727145925400188</v>
      </c>
      <c r="T16" s="66" t="n">
        <f aca="false">IF(T$8=0,LN($C$77),($C$77^T$8-1)/T$8)</f>
        <v>0.852941176470588</v>
      </c>
      <c r="U16" s="66" t="n">
        <f aca="false">IF(U$8=0,LN($C$77),($C$77^U$8-1)/U$8)</f>
        <v>1.01669969442673</v>
      </c>
      <c r="V16" s="66" t="n">
        <f aca="false">IF(V$8=0,LN($C$77),($C$77^V$8-1)/V$8)</f>
        <v>1.23303501115263</v>
      </c>
      <c r="W16" s="66" t="n">
        <f aca="false">IF(W$8=0,LN($C$77),($C$77^W$8-1)/W$8)</f>
        <v>1.5229614636064</v>
      </c>
      <c r="X16" s="66" t="n">
        <f aca="false">IF(X$8=0,LN($C$77),($C$77^X$8-1)/X$8)</f>
        <v>1.91692261218206</v>
      </c>
      <c r="Y16" s="66" t="n">
        <f aca="false">IF(Y$8=0,LN($C$77),($C$77^Y$8-1)/Y$8)</f>
        <v>2.45932623369473</v>
      </c>
      <c r="Z16" s="66" t="n">
        <f aca="false">IF(Z$8=0,LN($C$77),($C$77^Z$8-1)/Z$8)</f>
        <v>3.21536192416212</v>
      </c>
      <c r="AA16" s="66" t="n">
        <f aca="false">IF(AA$8=0,LN($C$77),($C$77^AA$8-1)/AA$8)</f>
        <v>4.28128734915883</v>
      </c>
      <c r="AB16" s="66" t="n">
        <f aca="false">IF(AB$8=0,LN($C$77),($C$77^AB$8-1)/AB$8)</f>
        <v>5.8</v>
      </c>
      <c r="AC16" s="66" t="n">
        <f aca="false">IF(AC$8=0,LN($C$77),($C$77^AC$8-1)/AC$8)</f>
        <v>7.98468367782483</v>
      </c>
      <c r="AD16" s="66" t="n">
        <f aca="false">IF(AD$8=0,LN($C$77),($C$77^AD$8-1)/AD$8)</f>
        <v>11.1548203614341</v>
      </c>
      <c r="AE16" s="66" t="n">
        <f aca="false">IF(AE$8=0,LN($C$77),($C$77^AE$8-1)/AE$8)</f>
        <v>15.7911802746915</v>
      </c>
      <c r="AF16" s="66" t="n">
        <f aca="false">IF(AF$8=0,LN($C$77),($C$77^AF$8-1)/AF$8)</f>
        <v>22.62</v>
      </c>
    </row>
    <row r="17" customFormat="false" ht="31.5" hidden="false" customHeight="true" outlineLevel="0" collapsed="false">
      <c r="B17" s="9" t="s">
        <v>4333</v>
      </c>
      <c r="C17" s="9"/>
      <c r="P17" s="66" t="n">
        <f aca="false">IF(P$8=0,LN($C$78),($C$78^P$8-1)/P$8)</f>
        <v>0.451171875</v>
      </c>
      <c r="Q17" s="66" t="n">
        <f aca="false">IF(Q$8=0,LN($C$78),($C$78^Q$8-1)/Q$8)</f>
        <v>0.496792376676739</v>
      </c>
      <c r="R17" s="66" t="n">
        <f aca="false">IF(R$8=0,LN($C$78),($C$78^R$8-1)/R$8)</f>
        <v>0.550204792838553</v>
      </c>
      <c r="S17" s="66" t="n">
        <f aca="false">IF(S$8=0,LN($C$78),($C$78^S$8-1)/S$8)</f>
        <v>0.613081402347347</v>
      </c>
      <c r="T17" s="66" t="n">
        <f aca="false">IF(T$8=0,LN($C$78),($C$78^T$8-1)/T$8)</f>
        <v>0.6875</v>
      </c>
      <c r="U17" s="66" t="n">
        <f aca="false">IF(U$8=0,LN($C$78),($C$78^U$8-1)/U$8)</f>
        <v>0.776049745852982</v>
      </c>
      <c r="V17" s="66" t="n">
        <f aca="false">IF(V$8=0,LN($C$78),($C$78^V$8-1)/V$8)</f>
        <v>0.881966011250105</v>
      </c>
      <c r="W17" s="66" t="n">
        <f aca="false">IF(W$8=0,LN($C$78),($C$78^W$8-1)/W$8)</f>
        <v>1.00930243755756</v>
      </c>
      <c r="X17" s="66" t="n">
        <f aca="false">IF(X$8=0,LN($C$78),($C$78^X$8-1)/X$8)</f>
        <v>1.16315080980568</v>
      </c>
      <c r="Y17" s="66" t="n">
        <f aca="false">IF(Y$8=0,LN($C$78),($C$78^Y$8-1)/Y$8)</f>
        <v>1.34992243981138</v>
      </c>
      <c r="Z17" s="66" t="n">
        <f aca="false">IF(Z$8=0,LN($C$78),($C$78^Z$8-1)/Z$8)</f>
        <v>1.57770876399966</v>
      </c>
      <c r="AA17" s="66" t="n">
        <f aca="false">IF(AA$8=0,LN($C$78),($C$78^AA$8-1)/AA$8)</f>
        <v>1.85674406660527</v>
      </c>
      <c r="AB17" s="66" t="n">
        <f aca="false">IF(AB$8=0,LN($C$78),($C$78^AB$8-1)/AB$8)</f>
        <v>2.2</v>
      </c>
      <c r="AC17" s="66" t="n">
        <f aca="false">IF(AC$8=0,LN($C$78),($C$78^AC$8-1)/AC$8)</f>
        <v>2.62395036147928</v>
      </c>
      <c r="AD17" s="66" t="n">
        <f aca="false">IF(AD$8=0,LN($C$78),($C$78^AD$8-1)/AD$8)</f>
        <v>3.14955601493298</v>
      </c>
      <c r="AE17" s="66" t="n">
        <f aca="false">IF(AE$8=0,LN($C$78),($C$78^AE$8-1)/AE$8)</f>
        <v>3.8035347199158</v>
      </c>
      <c r="AF17" s="66" t="n">
        <f aca="false">IF(AF$8=0,LN($C$78),($C$78^AF$8-1)/AF$8)</f>
        <v>4.62</v>
      </c>
    </row>
    <row r="18" customFormat="false" ht="31.5" hidden="false" customHeight="true" outlineLevel="0" collapsed="false">
      <c r="B18" s="9" t="s">
        <v>4334</v>
      </c>
      <c r="C18" s="9"/>
      <c r="P18" s="66" t="n">
        <f aca="false">IF(P$8=0,LN($C$79),($C$79^P$8-1)/P$8)</f>
        <v>0.413194444444444</v>
      </c>
      <c r="Q18" s="66" t="n">
        <f aca="false">IF(Q$8=0,LN($C$79),($C$79^Q$8-1)/Q$8)</f>
        <v>0.447949806093556</v>
      </c>
      <c r="R18" s="66" t="n">
        <f aca="false">IF(R$8=0,LN($C$79),($C$79^R$8-1)/R$8)</f>
        <v>0.487361882120027</v>
      </c>
      <c r="S18" s="66" t="n">
        <f aca="false">IF(S$8=0,LN($C$79),($C$79^S$8-1)/S$8)</f>
        <v>0.53219052701845</v>
      </c>
      <c r="T18" s="66" t="n">
        <f aca="false">IF(T$8=0,LN($C$79),($C$79^T$8-1)/T$8)</f>
        <v>0.583333333333333</v>
      </c>
      <c r="U18" s="66" t="n">
        <f aca="false">IF(U$8=0,LN($C$79),($C$79^U$8-1)/U$8)</f>
        <v>0.641852247457246</v>
      </c>
      <c r="V18" s="66" t="n">
        <f aca="false">IF(V$8=0,LN($C$79),($C$79^V$8-1)/V$8)</f>
        <v>0.709005551264194</v>
      </c>
      <c r="W18" s="66" t="n">
        <f aca="false">IF(W$8=0,LN($C$79),($C$79^W$8-1)/W$8)</f>
        <v>0.786286324221393</v>
      </c>
      <c r="X18" s="66" t="n">
        <f aca="false">IF(X$8=0,LN($C$79),($C$79^X$8-1)/X$8)</f>
        <v>0.8754687373539</v>
      </c>
      <c r="Y18" s="66" t="n">
        <f aca="false">IF(Y$8=0,LN($C$79),($C$79^Y$8-1)/Y$8)</f>
        <v>0.978663818307827</v>
      </c>
      <c r="Z18" s="66" t="n">
        <f aca="false">IF(Z$8=0,LN($C$79),($C$79^Z$8-1)/Z$8)</f>
        <v>1.09838667696593</v>
      </c>
      <c r="AA18" s="66" t="n">
        <f aca="false">IF(AA$8=0,LN($C$79),($C$79^AA$8-1)/AA$8)</f>
        <v>1.23763760728955</v>
      </c>
      <c r="AB18" s="66" t="n">
        <f aca="false">IF(AB$8=0,LN($C$79),($C$79^AB$8-1)/AB$8)</f>
        <v>1.4</v>
      </c>
      <c r="AC18" s="66" t="n">
        <f aca="false">IF(AC$8=0,LN($C$79),($C$79^AC$8-1)/AC$8)</f>
        <v>1.58975863278776</v>
      </c>
      <c r="AD18" s="66" t="n">
        <f aca="false">IF(AD$8=0,LN($C$79),($C$79^AD$8-1)/AD$8)</f>
        <v>1.81204267490608</v>
      </c>
      <c r="AE18" s="66" t="n">
        <f aca="false">IF(AE$8=0,LN($C$79),($C$79^AE$8-1)/AE$8)</f>
        <v>2.07299868178354</v>
      </c>
      <c r="AF18" s="66" t="n">
        <f aca="false">IF(AF$8=0,LN($C$79),($C$79^AF$8-1)/AF$8)</f>
        <v>2.38</v>
      </c>
    </row>
    <row r="19" customFormat="false" ht="31.5" hidden="false" customHeight="true" outlineLevel="0" collapsed="false">
      <c r="B19" s="9" t="s">
        <v>4335</v>
      </c>
      <c r="C19" s="9"/>
      <c r="P19" s="66" t="n">
        <f aca="false">IF(P$8=0,LN($C$80),($C$80^P$8-1)/P$8)</f>
        <v>0.492379210486206</v>
      </c>
      <c r="Q19" s="66" t="n">
        <f aca="false">IF(Q$8=0,LN($C$80),($C$80^Q$8-1)/Q$8)</f>
        <v>0.556735480431371</v>
      </c>
      <c r="R19" s="66" t="n">
        <f aca="false">IF(R$8=0,LN($C$80),($C$80^R$8-1)/R$8)</f>
        <v>0.637747803747889</v>
      </c>
      <c r="S19" s="66" t="n">
        <f aca="false">IF(S$8=0,LN($C$80),($C$80^S$8-1)/S$8)</f>
        <v>0.741455821891723</v>
      </c>
      <c r="T19" s="66" t="n">
        <f aca="false">IF(T$8=0,LN($C$80),($C$80^T$8-1)/T$8)</f>
        <v>0.876543209876543</v>
      </c>
      <c r="U19" s="66" t="n">
        <f aca="false">IF(U$8=0,LN($C$80),($C$80^U$8-1)/U$8)</f>
        <v>1.05563391348625</v>
      </c>
      <c r="V19" s="66" t="n">
        <f aca="false">IF(V$8=0,LN($C$80),($C$80^V$8-1)/V$8)</f>
        <v>1.29727163107369</v>
      </c>
      <c r="W19" s="66" t="n">
        <f aca="false">IF(W$8=0,LN($C$80),($C$80^W$8-1)/W$8)</f>
        <v>1.62896078661477</v>
      </c>
      <c r="X19" s="66" t="n">
        <f aca="false">IF(X$8=0,LN($C$80),($C$80^X$8-1)/X$8)</f>
        <v>2.09186406167839</v>
      </c>
      <c r="Y19" s="66" t="n">
        <f aca="false">IF(Y$8=0,LN($C$80),($C$80^Y$8-1)/Y$8)</f>
        <v>2.74809590228419</v>
      </c>
      <c r="Z19" s="66" t="n">
        <f aca="false">IF(Z$8=0,LN($C$80),($C$80^Z$8-1)/Z$8)</f>
        <v>3.69209978830308</v>
      </c>
      <c r="AA19" s="66" t="n">
        <f aca="false">IF(AA$8=0,LN($C$80),($C$80^AA$8-1)/AA$8)</f>
        <v>5.06847254280679</v>
      </c>
      <c r="AB19" s="66" t="n">
        <f aca="false">IF(AB$8=0,LN($C$80),($C$80^AB$8-1)/AB$8)</f>
        <v>7.1</v>
      </c>
      <c r="AC19" s="66" t="n">
        <f aca="false">IF(AC$8=0,LN($C$80),($C$80^AC$8-1)/AC$8)</f>
        <v>10.1319153617004</v>
      </c>
      <c r="AD19" s="66" t="n">
        <f aca="false">IF(AD$8=0,LN($C$80),($C$80^AD$8-1)/AD$8)</f>
        <v>14.7020027617517</v>
      </c>
      <c r="AE19" s="66" t="n">
        <f aca="false">IF(AE$8=0,LN($C$80),($C$80^AE$8-1)/AE$8)</f>
        <v>21.6519832557436</v>
      </c>
      <c r="AF19" s="66" t="n">
        <f aca="false">IF(AF$8=0,LN($C$80),($C$80^AF$8-1)/AF$8)</f>
        <v>32.305</v>
      </c>
    </row>
    <row r="20" customFormat="false" ht="31.5" hidden="false" customHeight="true" outlineLevel="0" collapsed="false">
      <c r="B20" s="9" t="s">
        <v>4336</v>
      </c>
      <c r="C20" s="9"/>
      <c r="P20" s="66" t="n">
        <f aca="false">IF(P$8=0,LN($C$81),($C$81^P$8-1)/P$8)</f>
        <v>0.467126890203813</v>
      </c>
      <c r="Q20" s="66" t="n">
        <f aca="false">IF(Q$8=0,LN($C$81),($C$81^Q$8-1)/Q$8)</f>
        <v>0.518632830508852</v>
      </c>
      <c r="R20" s="66" t="n">
        <f aca="false">IF(R$8=0,LN($C$81),($C$81^R$8-1)/R$8)</f>
        <v>0.580107746403105</v>
      </c>
      <c r="S20" s="66" t="n">
        <f aca="false">IF(S$8=0,LN($C$81),($C$81^S$8-1)/S$8)</f>
        <v>0.654031472084563</v>
      </c>
      <c r="T20" s="66" t="n">
        <f aca="false">IF(T$8=0,LN($C$81),($C$81^T$8-1)/T$8)</f>
        <v>0.743589743589744</v>
      </c>
      <c r="U20" s="66" t="n">
        <f aca="false">IF(U$8=0,LN($C$81),($C$81^U$8-1)/U$8)</f>
        <v>0.852892090963887</v>
      </c>
      <c r="V20" s="66" t="n">
        <f aca="false">IF(V$8=0,LN($C$81),($C$81^V$8-1)/V$8)</f>
        <v>0.987260632916333</v>
      </c>
      <c r="W20" s="66" t="n">
        <f aca="false">IF(W$8=0,LN($C$81),($C$81^W$8-1)/W$8)</f>
        <v>1.15361370564898</v>
      </c>
      <c r="X20" s="66" t="n">
        <f aca="false">IF(X$8=0,LN($C$81),($C$81^X$8-1)/X$8)</f>
        <v>1.3609765531356</v>
      </c>
      <c r="Y20" s="66" t="n">
        <f aca="false">IF(Y$8=0,LN($C$81),($C$81^Y$8-1)/Y$8)</f>
        <v>1.62116253572252</v>
      </c>
      <c r="Z20" s="66" t="n">
        <f aca="false">IF(Z$8=0,LN($C$81),($C$81^Z$8-1)/Z$8)</f>
        <v>1.9496835316263</v>
      </c>
      <c r="AA20" s="66" t="n">
        <f aca="false">IF(AA$8=0,LN($C$81),($C$81^AA$8-1)/AA$8)</f>
        <v>2.36696884932299</v>
      </c>
      <c r="AB20" s="66" t="n">
        <f aca="false">IF(AB$8=0,LN($C$81),($C$81^AB$8-1)/AB$8)</f>
        <v>2.9</v>
      </c>
      <c r="AC20" s="66" t="n">
        <f aca="false">IF(AC$8=0,LN($C$81),($C$81^AC$8-1)/AC$8)</f>
        <v>3.58450677786356</v>
      </c>
      <c r="AD20" s="66" t="n">
        <f aca="false">IF(AD$8=0,LN($C$81),($C$81^AD$8-1)/AD$8)</f>
        <v>4.46792192444752</v>
      </c>
      <c r="AE20" s="66" t="n">
        <f aca="false">IF(AE$8=0,LN($C$81),($C$81^AE$8-1)/AE$8)</f>
        <v>5.61336221958272</v>
      </c>
      <c r="AF20" s="66" t="n">
        <f aca="false">IF(AF$8=0,LN($C$81),($C$81^AF$8-1)/AF$8)</f>
        <v>7.105</v>
      </c>
    </row>
    <row r="21" customFormat="false" ht="31.5" hidden="false" customHeight="true" outlineLevel="0" collapsed="false">
      <c r="B21" s="9" t="s">
        <v>4337</v>
      </c>
      <c r="C21" s="9"/>
      <c r="P21" s="66" t="n">
        <f aca="false">IF(P$8=0,LN($C$82),($C$82^P$8-1)/P$8)</f>
        <v>0.431412894375857</v>
      </c>
      <c r="Q21" s="66" t="n">
        <f aca="false">IF(Q$8=0,LN($C$82),($C$82^Q$8-1)/Q$8)</f>
        <v>0.470949557578781</v>
      </c>
      <c r="R21" s="66" t="n">
        <f aca="false">IF(R$8=0,LN($C$82),($C$82^R$8-1)/R$8)</f>
        <v>0.516399847049337</v>
      </c>
      <c r="S21" s="66" t="n">
        <f aca="false">IF(S$8=0,LN($C$82),($C$82^S$8-1)/S$8)</f>
        <v>0.568854585746102</v>
      </c>
      <c r="T21" s="66" t="n">
        <f aca="false">IF(T$8=0,LN($C$82),($C$82^T$8-1)/T$8)</f>
        <v>0.62962962962963</v>
      </c>
      <c r="U21" s="66" t="n">
        <f aca="false">IF(U$8=0,LN($C$82),($C$82^U$8-1)/U$8)</f>
        <v>0.700315546079653</v>
      </c>
      <c r="V21" s="66" t="n">
        <f aca="false">IF(V$8=0,LN($C$82),($C$82^V$8-1)/V$8)</f>
        <v>0.782838761099631</v>
      </c>
      <c r="W21" s="66" t="n">
        <f aca="false">IF(W$8=0,LN($C$82),($C$82^W$8-1)/W$8)</f>
        <v>0.879536907572379</v>
      </c>
      <c r="X21" s="66" t="n">
        <f aca="false">IF(X$8=0,LN($C$82),($C$82^X$8-1)/X$8)</f>
        <v>0.993251773010283</v>
      </c>
      <c r="Y21" s="66" t="n">
        <f aca="false">IF(Y$8=0,LN($C$82),($C$82^Y$8-1)/Y$8)</f>
        <v>1.12744407675481</v>
      </c>
      <c r="Z21" s="66" t="n">
        <f aca="false">IF(Z$8=0,LN($C$82),($C$82^Z$8-1)/Z$8)</f>
        <v>1.286335345031</v>
      </c>
      <c r="AA21" s="66" t="n">
        <f aca="false">IF(AA$8=0,LN($C$82),($C$82^AA$8-1)/AA$8)</f>
        <v>1.47508344985153</v>
      </c>
      <c r="AB21" s="66" t="n">
        <f aca="false">IF(AB$8=0,LN($C$82),($C$82^AB$8-1)/AB$8)</f>
        <v>1.7</v>
      </c>
      <c r="AC21" s="66" t="n">
        <f aca="false">IF(AC$8=0,LN($C$82),($C$82^AC$8-1)/AC$8)</f>
        <v>1.9688198014476</v>
      </c>
      <c r="AD21" s="66" t="n">
        <f aca="false">IF(AD$8=0,LN($C$82),($C$82^AD$8-1)/AD$8)</f>
        <v>2.29103514386123</v>
      </c>
      <c r="AE21" s="66" t="n">
        <f aca="false">IF(AE$8=0,LN($C$82),($C$82^AE$8-1)/AE$8)</f>
        <v>2.67831084911391</v>
      </c>
      <c r="AF21" s="66" t="n">
        <f aca="false">IF(AF$8=0,LN($C$82),($C$82^AF$8-1)/AF$8)</f>
        <v>3.145</v>
      </c>
    </row>
    <row r="22" customFormat="false" ht="15" hidden="false" customHeight="true" outlineLevel="0" collapsed="false">
      <c r="P22" s="66" t="n">
        <f aca="false">IF(P$8=0,LN($C$83),($C$83^P$8-1)/P$8)</f>
        <v>0.476370510396975</v>
      </c>
      <c r="Q22" s="66" t="n">
        <f aca="false">IF(Q$8=0,LN($C$83),($C$83^Q$8-1)/Q$8)</f>
        <v>0.531879549657377</v>
      </c>
      <c r="R22" s="66" t="n">
        <f aca="false">IF(R$8=0,LN($C$83),($C$83^R$8-1)/R$8)</f>
        <v>0.59909385447534</v>
      </c>
      <c r="S22" s="66" t="n">
        <f aca="false">IF(S$8=0,LN($C$83),($C$83^S$8-1)/S$8)</f>
        <v>0.681247517459658</v>
      </c>
      <c r="T22" s="66" t="n">
        <f aca="false">IF(T$8=0,LN($C$83),($C$83^T$8-1)/T$8)</f>
        <v>0.782608695652174</v>
      </c>
      <c r="U22" s="66" t="n">
        <f aca="false">IF(U$8=0,LN($C$83),($C$83^U$8-1)/U$8)</f>
        <v>0.908840499655851</v>
      </c>
      <c r="V22" s="66" t="n">
        <f aca="false">IF(V$8=0,LN($C$83),($C$83^V$8-1)/V$8)</f>
        <v>1.06749519175969</v>
      </c>
      <c r="W22" s="66" t="n">
        <f aca="false">IF(W$8=0,LN($C$83),($C$83^W$8-1)/W$8)</f>
        <v>1.26869290157212</v>
      </c>
      <c r="X22" s="66" t="n">
        <f aca="false">IF(X$8=0,LN($C$83),($C$83^X$8-1)/X$8)</f>
        <v>1.52605630349505</v>
      </c>
      <c r="Y22" s="66" t="n">
        <f aca="false">IF(Y$8=0,LN($C$83),($C$83^Y$8-1)/Y$8)</f>
        <v>1.85800110474926</v>
      </c>
      <c r="Z22" s="66" t="n">
        <f aca="false">IF(Z$8=0,LN($C$83),($C$83^Z$8-1)/Z$8)</f>
        <v>2.28952211790544</v>
      </c>
      <c r="AA22" s="66" t="n">
        <f aca="false">IF(AA$8=0,LN($C$83),($C$83^AA$8-1)/AA$8)</f>
        <v>2.85467088425608</v>
      </c>
      <c r="AB22" s="66" t="n">
        <f aca="false">IF(AB$8=0,LN($C$83),($C$83^AB$8-1)/AB$8)</f>
        <v>3.6</v>
      </c>
      <c r="AC22" s="66" t="n">
        <f aca="false">IF(AC$8=0,LN($C$83),($C$83^AC$8-1)/AC$8)</f>
        <v>4.58936101636932</v>
      </c>
      <c r="AD22" s="66" t="n">
        <f aca="false">IF(AD$8=0,LN($C$83),($C$83^AD$8-1)/AD$8)</f>
        <v>5.91060058078835</v>
      </c>
      <c r="AE22" s="66" t="n">
        <f aca="false">IF(AE$8=0,LN($C$83),($C$83^AE$8-1)/AE$8)</f>
        <v>7.68492260039055</v>
      </c>
      <c r="AF22" s="66" t="n">
        <f aca="false">IF(AF$8=0,LN($C$83),($C$83^AF$8-1)/AF$8)</f>
        <v>10.08</v>
      </c>
    </row>
    <row r="23" customFormat="false" ht="15.75" hidden="false" customHeight="true" outlineLevel="0" collapsed="false">
      <c r="B23" s="7" t="s">
        <v>1406</v>
      </c>
      <c r="C23" s="8"/>
      <c r="D23" s="8"/>
      <c r="E23" s="8"/>
      <c r="F23" s="8"/>
      <c r="G23" s="8"/>
      <c r="H23" s="8"/>
      <c r="I23" s="8"/>
      <c r="J23" s="8"/>
      <c r="K23" s="8"/>
      <c r="P23" s="66" t="n">
        <f aca="false">IF(P$8=0,LN($C$84),($C$84^P$8-1)/P$8)</f>
        <v>0.361495844875346</v>
      </c>
      <c r="Q23" s="66" t="n">
        <f aca="false">IF(Q$8=0,LN($C$84),($C$84^Q$8-1)/Q$8)</f>
        <v>0.385586879945545</v>
      </c>
      <c r="R23" s="66" t="n">
        <f aca="false">IF(R$8=0,LN($C$84),($C$84^R$8-1)/R$8)</f>
        <v>0.412113596452627</v>
      </c>
      <c r="S23" s="66" t="n">
        <f aca="false">IF(S$8=0,LN($C$84),($C$84^S$8-1)/S$8)</f>
        <v>0.441368869019788</v>
      </c>
      <c r="T23" s="66" t="n">
        <f aca="false">IF(T$8=0,LN($C$84),($C$84^T$8-1)/T$8)</f>
        <v>0.473684210526316</v>
      </c>
      <c r="U23" s="66" t="n">
        <f aca="false">IF(U$8=0,LN($C$84),($C$84^U$8-1)/U$8)</f>
        <v>0.509435167758583</v>
      </c>
      <c r="V23" s="66" t="n">
        <f aca="false">IF(V$8=0,LN($C$84),($C$84^V$8-1)/V$8)</f>
        <v>0.549047499779977</v>
      </c>
      <c r="W23" s="66" t="n">
        <f aca="false">IF(W$8=0,LN($C$84),($C$84^W$8-1)/W$8)</f>
        <v>0.593004255687984</v>
      </c>
      <c r="X23" s="66" t="n">
        <f aca="false">IF(X$8=0,LN($C$84),($C$84^X$8-1)/X$8)</f>
        <v>0.641853886172395</v>
      </c>
      <c r="Y23" s="66" t="n">
        <f aca="false">IF(Y$8=0,LN($C$84),($C$84^Y$8-1)/Y$8)</f>
        <v>0.696219543776074</v>
      </c>
      <c r="Z23" s="66" t="n">
        <f aca="false">IF(Z$8=0,LN($C$84),($C$84^Z$8-1)/Z$8)</f>
        <v>0.756809750418044</v>
      </c>
      <c r="AA23" s="66" t="n">
        <f aca="false">IF(AA$8=0,LN($C$84),($C$84^AA$8-1)/AA$8)</f>
        <v>0.824430638064277</v>
      </c>
      <c r="AB23" s="66" t="n">
        <f aca="false">IF(AB$8=0,LN($C$84),($C$84^AB$8-1)/AB$8)</f>
        <v>0.9</v>
      </c>
      <c r="AC23" s="66" t="n">
        <f aca="false">IF(AC$8=0,LN($C$84),($C$84^AC$8-1)/AC$8)</f>
        <v>0.984563426634908</v>
      </c>
      <c r="AD23" s="66" t="n">
        <f aca="false">IF(AD$8=0,LN($C$84),($C$84^AD$8-1)/AD$8)</f>
        <v>1.07931284193143</v>
      </c>
      <c r="AE23" s="66" t="n">
        <f aca="false">IF(AE$8=0,LN($C$84),($C$84^AE$8-1)/AE$8)</f>
        <v>1.18560780528091</v>
      </c>
      <c r="AF23" s="66" t="n">
        <f aca="false">IF(AF$8=0,LN($C$84),($C$84^AF$8-1)/AF$8)</f>
        <v>1.305</v>
      </c>
    </row>
    <row r="24" customFormat="false" ht="17.25" hidden="false" customHeight="true" outlineLevel="0" collapsed="false">
      <c r="B24" s="48" t="s">
        <v>1407</v>
      </c>
      <c r="C24" s="48"/>
      <c r="E24" s="49" t="s">
        <v>1408</v>
      </c>
      <c r="F24" s="49"/>
      <c r="P24" s="66" t="n">
        <f aca="false">IF(P$8=0,LN($C$85),($C$85^P$8-1)/P$8)</f>
        <v>0.485136741973841</v>
      </c>
      <c r="Q24" s="66" t="n">
        <f aca="false">IF(Q$8=0,LN($C$85),($C$85^Q$8-1)/Q$8)</f>
        <v>0.545067505785692</v>
      </c>
      <c r="R24" s="66" t="n">
        <f aca="false">IF(R$8=0,LN($C$85),($C$85^R$8-1)/R$8)</f>
        <v>0.618939379394402</v>
      </c>
      <c r="S24" s="66" t="n">
        <f aca="false">IF(S$8=0,LN($C$85),($C$85^S$8-1)/S$8)</f>
        <v>0.711119805761784</v>
      </c>
      <c r="T24" s="66" t="n">
        <f aca="false">IF(T$8=0,LN($C$85),($C$85^T$8-1)/T$8)</f>
        <v>0.827586206896552</v>
      </c>
      <c r="U24" s="66" t="n">
        <f aca="false">IF(U$8=0,LN($C$85),($C$85^U$8-1)/U$8)</f>
        <v>0.976580244966363</v>
      </c>
      <c r="V24" s="66" t="n">
        <f aca="false">IF(V$8=0,LN($C$85),($C$85^V$8-1)/V$8)</f>
        <v>1.1695452014626</v>
      </c>
      <c r="W24" s="66" t="n">
        <f aca="false">IF(W$8=0,LN($C$85),($C$85^W$8-1)/W$8)</f>
        <v>1.42247436709173</v>
      </c>
      <c r="X24" s="66" t="n">
        <f aca="false">IF(X$8=0,LN($C$85),($C$85^X$8-1)/X$8)</f>
        <v>1.75785791755237</v>
      </c>
      <c r="Y24" s="66" t="n">
        <f aca="false">IF(Y$8=0,LN($C$85),($C$85^Y$8-1)/Y$8)</f>
        <v>2.20750373758529</v>
      </c>
      <c r="Z24" s="66" t="n">
        <f aca="false">IF(Z$8=0,LN($C$85),($C$85^Z$8-1)/Z$8)</f>
        <v>2.81663783151692</v>
      </c>
      <c r="AA24" s="66" t="n">
        <f aca="false">IF(AA$8=0,LN($C$85),($C$85^AA$8-1)/AA$8)</f>
        <v>3.64988289028933</v>
      </c>
      <c r="AB24" s="66" t="n">
        <f aca="false">IF(AB$8=0,LN($C$85),($C$85^AB$8-1)/AB$8)</f>
        <v>4.8</v>
      </c>
      <c r="AC24" s="66" t="n">
        <f aca="false">IF(AC$8=0,LN($C$85),($C$85^AC$8-1)/AC$8)</f>
        <v>6.40070433559894</v>
      </c>
      <c r="AD24" s="66" t="n">
        <f aca="false">IF(AD$8=0,LN($C$85),($C$85^AD$8-1)/AD$8)</f>
        <v>8.64549980759938</v>
      </c>
      <c r="AE24" s="66" t="n">
        <f aca="false">IF(AE$8=0,LN($C$85),($C$85^AE$8-1)/AE$8)</f>
        <v>11.8154231844335</v>
      </c>
      <c r="AF24" s="66" t="n">
        <f aca="false">IF(AF$8=0,LN($C$85),($C$85^AF$8-1)/AF$8)</f>
        <v>16.32</v>
      </c>
    </row>
    <row r="25" customFormat="false" ht="31.5" hidden="false" customHeight="true" outlineLevel="0" collapsed="false">
      <c r="B25" s="23" t="s">
        <v>4338</v>
      </c>
      <c r="C25" s="23"/>
      <c r="E25" s="23" t="s">
        <v>4339</v>
      </c>
      <c r="F25" s="23"/>
      <c r="P25" s="66" t="n">
        <f aca="false">IF(P$8=0,LN($C$86),($C$86^P$8-1)/P$8)</f>
        <v>0.447970863683663</v>
      </c>
      <c r="Q25" s="66" t="n">
        <f aca="false">IF(Q$8=0,LN($C$86),($C$86^Q$8-1)/Q$8)</f>
        <v>0.492528211005805</v>
      </c>
      <c r="R25" s="66" t="n">
        <f aca="false">IF(R$8=0,LN($C$86),($C$86^R$8-1)/R$8)</f>
        <v>0.544524336721061</v>
      </c>
      <c r="S25" s="66" t="n">
        <f aca="false">IF(S$8=0,LN($C$86),($C$86^S$8-1)/S$8)</f>
        <v>0.605514212520446</v>
      </c>
      <c r="T25" s="66" t="n">
        <f aca="false">IF(T$8=0,LN($C$86),($C$86^T$8-1)/T$8)</f>
        <v>0.67741935483871</v>
      </c>
      <c r="U25" s="66" t="n">
        <f aca="false">IF(U$8=0,LN($C$86),($C$86^U$8-1)/U$8)</f>
        <v>0.762620726275326</v>
      </c>
      <c r="V25" s="66" t="n">
        <f aca="false">IF(V$8=0,LN($C$86),($C$86^V$8-1)/V$8)</f>
        <v>0.86407633150587</v>
      </c>
      <c r="W25" s="66" t="n">
        <f aca="false">IF(W$8=0,LN($C$86),($C$86^W$8-1)/W$8)</f>
        <v>0.985470294066911</v>
      </c>
      <c r="X25" s="66" t="n">
        <f aca="false">IF(X$8=0,LN($C$86),($C$86^X$8-1)/X$8)</f>
        <v>1.1314021114911</v>
      </c>
      <c r="Y25" s="66" t="n">
        <f aca="false">IF(Y$8=0,LN($C$86),($C$86^Y$8-1)/Y$8)</f>
        <v>1.30762724563947</v>
      </c>
      <c r="Z25" s="66" t="n">
        <f aca="false">IF(Z$8=0,LN($C$86),($C$86^Z$8-1)/Z$8)</f>
        <v>1.5213633723318</v>
      </c>
      <c r="AA25" s="66" t="n">
        <f aca="false">IF(AA$8=0,LN($C$86),($C$86^AA$8-1)/AA$8)</f>
        <v>1.78168069613086</v>
      </c>
      <c r="AB25" s="66" t="n">
        <f aca="false">IF(AB$8=0,LN($C$86),($C$86^AB$8-1)/AB$8)</f>
        <v>2.1</v>
      </c>
      <c r="AC25" s="66" t="n">
        <f aca="false">IF(AC$8=0,LN($C$86),($C$86^AC$8-1)/AC$8)</f>
        <v>2.49072889229647</v>
      </c>
      <c r="AD25" s="66" t="n">
        <f aca="false">IF(AD$8=0,LN($C$86),($C$86^AD$8-1)/AD$8)</f>
        <v>2.97207548474286</v>
      </c>
      <c r="AE25" s="66" t="n">
        <f aca="false">IF(AE$8=0,LN($C$86),($C$86^AE$8-1)/AE$8)</f>
        <v>3.56709006771671</v>
      </c>
      <c r="AF25" s="66" t="n">
        <f aca="false">IF(AF$8=0,LN($C$86),($C$86^AF$8-1)/AF$8)</f>
        <v>4.305</v>
      </c>
    </row>
    <row r="26" customFormat="false" ht="31.5" hidden="false" customHeight="true" outlineLevel="0" collapsed="false">
      <c r="B26" s="23" t="s">
        <v>4340</v>
      </c>
      <c r="C26" s="23"/>
      <c r="E26" s="23" t="s">
        <v>4341</v>
      </c>
      <c r="F26" s="23"/>
      <c r="P26" s="66" t="n">
        <f aca="false">IF(P$8=0,LN($C$87),($C$87^P$8-1)/P$8)</f>
        <v>0.396694214876033</v>
      </c>
      <c r="Q26" s="66" t="n">
        <f aca="false">IF(Q$8=0,LN($C$87),($C$87^Q$8-1)/Q$8)</f>
        <v>0.42764069827262</v>
      </c>
      <c r="R26" s="66" t="n">
        <f aca="false">IF(R$8=0,LN($C$87),($C$87^R$8-1)/R$8)</f>
        <v>0.462363678041442</v>
      </c>
      <c r="S26" s="66" t="n">
        <f aca="false">IF(S$8=0,LN($C$87),($C$87^S$8-1)/S$8)</f>
        <v>0.501419365938677</v>
      </c>
      <c r="T26" s="66" t="n">
        <f aca="false">IF(T$8=0,LN($C$87),($C$87^T$8-1)/T$8)</f>
        <v>0.545454545454545</v>
      </c>
      <c r="U26" s="66" t="n">
        <f aca="false">IF(U$8=0,LN($C$87),($C$87^U$8-1)/U$8)</f>
        <v>0.595222251132784</v>
      </c>
      <c r="V26" s="66" t="n">
        <f aca="false">IF(V$8=0,LN($C$87),($C$87^V$8-1)/V$8)</f>
        <v>0.651600275073516</v>
      </c>
      <c r="W26" s="66" t="n">
        <f aca="false">IF(W$8=0,LN($C$87),($C$87^W$8-1)/W$8)</f>
        <v>0.715613025325446</v>
      </c>
      <c r="X26" s="66" t="n">
        <f aca="false">IF(X$8=0,LN($C$87),($C$87^X$8-1)/X$8)</f>
        <v>0.78845736036427</v>
      </c>
      <c r="Y26" s="66" t="n">
        <f aca="false">IF(Y$8=0,LN($C$87),($C$87^Y$8-1)/Y$8)</f>
        <v>0.871533142523627</v>
      </c>
      <c r="Z26" s="66" t="n">
        <f aca="false">IF(Z$8=0,LN($C$87),($C$87^Z$8-1)/Z$8)</f>
        <v>0.966479394838265</v>
      </c>
      <c r="AA26" s="66" t="n">
        <f aca="false">IF(AA$8=0,LN($C$87),($C$87^AA$8-1)/AA$8)</f>
        <v>1.07521711476134</v>
      </c>
      <c r="AB26" s="66" t="n">
        <f aca="false">IF(AB$8=0,LN($C$87),($C$87^AB$8-1)/AB$8)</f>
        <v>1.2</v>
      </c>
      <c r="AC26" s="66" t="n">
        <f aca="false">IF(AC$8=0,LN($C$87),($C$87^AC$8-1)/AC$8)</f>
        <v>1.3434745827104</v>
      </c>
      <c r="AD26" s="66" t="n">
        <f aca="false">IF(AD$8=0,LN($C$87),($C$87^AD$8-1)/AD$8)</f>
        <v>1.50875155621473</v>
      </c>
      <c r="AE26" s="66" t="n">
        <f aca="false">IF(AE$8=0,LN($C$87),($C$87^AE$8-1)/AE$8)</f>
        <v>1.69949042248926</v>
      </c>
      <c r="AF26" s="66" t="n">
        <f aca="false">IF(AF$8=0,LN($C$87),($C$87^AF$8-1)/AF$8)</f>
        <v>1.92</v>
      </c>
    </row>
    <row r="27" customFormat="false" ht="31.5" hidden="false" customHeight="true" outlineLevel="0" collapsed="false">
      <c r="B27" s="23" t="s">
        <v>4342</v>
      </c>
      <c r="C27" s="23"/>
      <c r="E27" s="23" t="s">
        <v>4343</v>
      </c>
      <c r="F27" s="23"/>
      <c r="P27" s="66" t="n">
        <f aca="false">IF(P$8=0,LN($C$88),($C$88^P$8-1)/P$8)</f>
        <v>0.490869247626004</v>
      </c>
      <c r="Q27" s="66" t="n">
        <f aca="false">IF(Q$8=0,LN($C$88),($C$88^Q$8-1)/Q$8)</f>
        <v>0.554217558066098</v>
      </c>
      <c r="R27" s="66" t="n">
        <f aca="false">IF(R$8=0,LN($C$88),($C$88^R$8-1)/R$8)</f>
        <v>0.633548890896675</v>
      </c>
      <c r="S27" s="66" t="n">
        <f aca="false">IF(S$8=0,LN($C$88),($C$88^S$8-1)/S$8)</f>
        <v>0.734453374610963</v>
      </c>
      <c r="T27" s="66" t="n">
        <f aca="false">IF(T$8=0,LN($C$88),($C$88^T$8-1)/T$8)</f>
        <v>0.864864864864865</v>
      </c>
      <c r="U27" s="66" t="n">
        <f aca="false">IF(U$8=0,LN($C$88),($C$88^U$8-1)/U$8)</f>
        <v>1.03615650260796</v>
      </c>
      <c r="V27" s="66" t="n">
        <f aca="false">IF(V$8=0,LN($C$88),($C$88^V$8-1)/V$8)</f>
        <v>1.26478537790619</v>
      </c>
      <c r="W27" s="66" t="n">
        <f aca="false">IF(W$8=0,LN($C$88),($C$88^W$8-1)/W$8)</f>
        <v>1.57477486060563</v>
      </c>
      <c r="X27" s="66" t="n">
        <f aca="false">IF(X$8=0,LN($C$88),($C$88^X$8-1)/X$8)</f>
        <v>2.00148000021012</v>
      </c>
      <c r="Y27" s="66" t="n">
        <f aca="false">IF(Y$8=0,LN($C$88),($C$88^Y$8-1)/Y$8)</f>
        <v>2.59732564210328</v>
      </c>
      <c r="Z27" s="66" t="n">
        <f aca="false">IF(Z$8=0,LN($C$88),($C$88^Z$8-1)/Z$8)</f>
        <v>3.44058820349418</v>
      </c>
      <c r="AA27" s="66" t="n">
        <f aca="false">IF(AA$8=0,LN($C$88),($C$88^AA$8-1)/AA$8)</f>
        <v>4.64888867717279</v>
      </c>
      <c r="AB27" s="66" t="n">
        <f aca="false">IF(AB$8=0,LN($C$88),($C$88^AB$8-1)/AB$8)</f>
        <v>6.4</v>
      </c>
      <c r="AC27" s="66" t="n">
        <f aca="false">IF(AC$8=0,LN($C$88),($C$88^AC$8-1)/AC$8)</f>
        <v>8.96404195031285</v>
      </c>
      <c r="AD27" s="66" t="n">
        <f aca="false">IF(AD$8=0,LN($C$88),($C$88^AD$8-1)/AD$8)</f>
        <v>12.7534509019523</v>
      </c>
      <c r="AE27" s="66" t="n">
        <f aca="false">IF(AE$8=0,LN($C$88),($C$88^AE$8-1)/AE$8)</f>
        <v>18.4007612333194</v>
      </c>
      <c r="AF27" s="66" t="n">
        <f aca="false">IF(AF$8=0,LN($C$88),($C$88^AF$8-1)/AF$8)</f>
        <v>26.88</v>
      </c>
    </row>
    <row r="28" customFormat="false" ht="30.75" hidden="false" customHeight="true" outlineLevel="0" collapsed="false">
      <c r="B28" s="82" t="s">
        <v>4344</v>
      </c>
      <c r="P28" s="66" t="n">
        <f aca="false">IF(P$8=0,LN($C$89),($C$89^P$8-1)/P$8)</f>
        <v>0.472958355868037</v>
      </c>
      <c r="Q28" s="66" t="n">
        <f aca="false">IF(Q$8=0,LN($C$89),($C$89^Q$8-1)/Q$8)</f>
        <v>0.526925277765996</v>
      </c>
      <c r="R28" s="66" t="n">
        <f aca="false">IF(R$8=0,LN($C$89),($C$89^R$8-1)/R$8)</f>
        <v>0.591900337647998</v>
      </c>
      <c r="S28" s="66" t="n">
        <f aca="false">IF(S$8=0,LN($C$89),($C$89^S$8-1)/S$8)</f>
        <v>0.670802408531052</v>
      </c>
      <c r="T28" s="66" t="n">
        <f aca="false">IF(T$8=0,LN($C$89),($C$89^T$8-1)/T$8)</f>
        <v>0.767441860465116</v>
      </c>
      <c r="U28" s="66" t="n">
        <f aca="false">IF(U$8=0,LN($C$89),($C$89^U$8-1)/U$8)</f>
        <v>0.886816953585495</v>
      </c>
      <c r="V28" s="66" t="n">
        <f aca="false">IF(V$8=0,LN($C$89),($C$89^V$8-1)/V$8)</f>
        <v>1.03551435565918</v>
      </c>
      <c r="W28" s="66" t="n">
        <f aca="false">IF(W$8=0,LN($C$89),($C$89^W$8-1)/W$8)</f>
        <v>1.22225178341762</v>
      </c>
      <c r="X28" s="66" t="n">
        <f aca="false">IF(X$8=0,LN($C$89),($C$89^X$8-1)/X$8)</f>
        <v>1.45861502269952</v>
      </c>
      <c r="Y28" s="66" t="n">
        <f aca="false">IF(Y$8=0,LN($C$89),($C$89^Y$8-1)/Y$8)</f>
        <v>1.76006129874712</v>
      </c>
      <c r="Z28" s="66" t="n">
        <f aca="false">IF(Z$8=0,LN($C$89),($C$89^Z$8-1)/Z$8)</f>
        <v>2.14728827066554</v>
      </c>
      <c r="AA28" s="66" t="n">
        <f aca="false">IF(AA$8=0,LN($C$89),($C$89^AA$8-1)/AA$8)</f>
        <v>2.64810577710141</v>
      </c>
      <c r="AB28" s="66" t="n">
        <f aca="false">IF(AB$8=0,LN($C$89),($C$89^AB$8-1)/AB$8)</f>
        <v>3.3</v>
      </c>
      <c r="AC28" s="66" t="n">
        <f aca="false">IF(AC$8=0,LN($C$89),($C$89^AC$8-1)/AC$8)</f>
        <v>4.15365271692252</v>
      </c>
      <c r="AD28" s="66" t="n">
        <f aca="false">IF(AD$8=0,LN($C$89),($C$89^AD$8-1)/AD$8)</f>
        <v>5.27777985462061</v>
      </c>
      <c r="AE28" s="66" t="n">
        <f aca="false">IF(AE$8=0,LN($C$89),($C$89^AE$8-1)/AE$8)</f>
        <v>6.76579493208689</v>
      </c>
      <c r="AF28" s="66" t="n">
        <f aca="false">IF(AF$8=0,LN($C$89),($C$89^AF$8-1)/AF$8)</f>
        <v>8.745</v>
      </c>
    </row>
    <row r="29" customFormat="false" ht="15" hidden="false" customHeight="true" outlineLevel="0" collapsed="false">
      <c r="P29" s="66" t="n">
        <f aca="false">IF(P$8=0,LN($C$90),($C$90^P$8-1)/P$8)</f>
        <v>0.42603550295858</v>
      </c>
      <c r="Q29" s="66" t="n">
        <f aca="false">IF(Q$8=0,LN($C$90),($C$90^Q$8-1)/Q$8)</f>
        <v>0.464089312555041</v>
      </c>
      <c r="R29" s="66" t="n">
        <f aca="false">IF(R$8=0,LN($C$90),($C$90^R$8-1)/R$8)</f>
        <v>0.507647776167682</v>
      </c>
      <c r="S29" s="66" t="n">
        <f aca="false">IF(S$8=0,LN($C$90),($C$90^S$8-1)/S$8)</f>
        <v>0.557688903966071</v>
      </c>
      <c r="T29" s="66" t="n">
        <f aca="false">IF(T$8=0,LN($C$90),($C$90^T$8-1)/T$8)</f>
        <v>0.615384615384615</v>
      </c>
      <c r="U29" s="66" t="n">
        <f aca="false">IF(U$8=0,LN($C$90),($C$90^U$8-1)/U$8)</f>
        <v>0.682141829500582</v>
      </c>
      <c r="V29" s="66" t="n">
        <f aca="false">IF(V$8=0,LN($C$90),($C$90^V$8-1)/V$8)</f>
        <v>0.759652654107915</v>
      </c>
      <c r="W29" s="66" t="n">
        <f aca="false">IF(W$8=0,LN($C$90),($C$90^W$8-1)/W$8)</f>
        <v>0.849955751558928</v>
      </c>
      <c r="X29" s="66" t="n">
        <f aca="false">IF(X$8=0,LN($C$90),($C$90^X$8-1)/X$8)</f>
        <v>0.955511445027436</v>
      </c>
      <c r="Y29" s="66" t="n">
        <f aca="false">IF(Y$8=0,LN($C$90),($C$90^Y$8-1)/Y$8)</f>
        <v>1.07929372989546</v>
      </c>
      <c r="Z29" s="66" t="n">
        <f aca="false">IF(Z$8=0,LN($C$90),($C$90^Z$8-1)/Z$8)</f>
        <v>1.22490309931942</v>
      </c>
      <c r="AA29" s="66" t="n">
        <f aca="false">IF(AA$8=0,LN($C$90),($C$90^AA$8-1)/AA$8)</f>
        <v>1.3967050153156</v>
      </c>
      <c r="AB29" s="66" t="n">
        <f aca="false">IF(AB$8=0,LN($C$90),($C$90^AB$8-1)/AB$8)</f>
        <v>1.6</v>
      </c>
      <c r="AC29" s="66" t="n">
        <f aca="false">IF(AC$8=0,LN($C$90),($C$90^AC$8-1)/AC$8)</f>
        <v>1.84123273954564</v>
      </c>
      <c r="AD29" s="66" t="n">
        <f aca="false">IF(AD$8=0,LN($C$90),($C$90^AD$8-1)/AD$8)</f>
        <v>2.1282493527435</v>
      </c>
      <c r="AE29" s="66" t="n">
        <f aca="false">IF(AE$8=0,LN($C$90),($C$90^AE$8-1)/AE$8)</f>
        <v>2.47061415992309</v>
      </c>
      <c r="AF29" s="66" t="n">
        <f aca="false">IF(AF$8=0,LN($C$90),($C$90^AF$8-1)/AF$8)</f>
        <v>2.88</v>
      </c>
    </row>
    <row r="30" customFormat="false" ht="16.5" hidden="false" customHeight="true" outlineLevel="0" collapsed="false">
      <c r="B30" s="11" t="s">
        <v>1416</v>
      </c>
      <c r="C30" s="11" t="s">
        <v>1417</v>
      </c>
      <c r="D30" s="11" t="s">
        <v>1418</v>
      </c>
      <c r="E30" s="11" t="s">
        <v>1419</v>
      </c>
      <c r="P30" s="66" t="n">
        <f aca="false">IF(P$8=0,LN($C$91),($C$91^P$8-1)/P$8)</f>
        <v>0.463476990504018</v>
      </c>
      <c r="Q30" s="66" t="n">
        <f aca="false">IF(Q$8=0,LN($C$91),($C$91^Q$8-1)/Q$8)</f>
        <v>0.513537853671021</v>
      </c>
      <c r="R30" s="66" t="n">
        <f aca="false">IF(R$8=0,LN($C$91),($C$91^R$8-1)/R$8)</f>
        <v>0.572995451367561</v>
      </c>
      <c r="S30" s="66" t="n">
        <f aca="false">IF(S$8=0,LN($C$91),($C$91^S$8-1)/S$8)</f>
        <v>0.644102973445878</v>
      </c>
      <c r="T30" s="66" t="n">
        <f aca="false">IF(T$8=0,LN($C$91),($C$91^T$8-1)/T$8)</f>
        <v>0.72972972972973</v>
      </c>
      <c r="U30" s="66" t="n">
        <f aca="false">IF(U$8=0,LN($C$91),($C$91^U$8-1)/U$8)</f>
        <v>0.833543470026481</v>
      </c>
      <c r="V30" s="66" t="n">
        <f aca="false">IF(V$8=0,LN($C$91),($C$91^V$8-1)/V$8)</f>
        <v>0.960249510179927</v>
      </c>
      <c r="W30" s="66" t="n">
        <f aca="false">IF(W$8=0,LN($C$91),($C$91^W$8-1)/W$8)</f>
        <v>1.11590500874874</v>
      </c>
      <c r="X30" s="66" t="n">
        <f aca="false">IF(X$8=0,LN($C$91),($C$91^X$8-1)/X$8)</f>
        <v>1.30833281965018</v>
      </c>
      <c r="Y30" s="66" t="n">
        <f aca="false">IF(Y$8=0,LN($C$91),($C$91^Y$8-1)/Y$8)</f>
        <v>1.54766748270606</v>
      </c>
      <c r="Z30" s="66" t="n">
        <f aca="false">IF(Z$8=0,LN($C$91),($C$91^Z$8-1)/Z$8)</f>
        <v>1.84707681233427</v>
      </c>
      <c r="AA30" s="66" t="n">
        <f aca="false">IF(AA$8=0,LN($C$91),($C$91^AA$8-1)/AA$8)</f>
        <v>2.22371715587655</v>
      </c>
      <c r="AB30" s="66" t="n">
        <f aca="false">IF(AB$8=0,LN($C$91),($C$91^AB$8-1)/AB$8)</f>
        <v>2.7</v>
      </c>
      <c r="AC30" s="66" t="n">
        <f aca="false">IF(AC$8=0,LN($C$91),($C$91^AC$8-1)/AC$8)</f>
        <v>3.30527393720248</v>
      </c>
      <c r="AD30" s="66" t="n">
        <f aca="false">IF(AD$8=0,LN($C$91),($C$91^AD$8-1)/AD$8)</f>
        <v>4.07806140187893</v>
      </c>
      <c r="AE30" s="66" t="n">
        <f aca="false">IF(AE$8=0,LN($C$91),($C$91^AE$8-1)/AE$8)</f>
        <v>5.06903720431853</v>
      </c>
      <c r="AF30" s="66" t="n">
        <f aca="false">IF(AF$8=0,LN($C$91),($C$91^AF$8-1)/AF$8)</f>
        <v>6.345</v>
      </c>
    </row>
    <row r="31" customFormat="false" ht="30.75" hidden="false" customHeight="true" outlineLevel="0" collapsed="false">
      <c r="B31" s="12" t="s">
        <v>2571</v>
      </c>
      <c r="C31" s="12" t="s">
        <v>4345</v>
      </c>
      <c r="D31" s="12" t="s">
        <v>4346</v>
      </c>
      <c r="E31" s="12"/>
      <c r="P31" s="66" t="n">
        <f aca="false">IF(P$8=0,LN($C$92),($C$92^P$8-1)/P$8)</f>
        <v>0.3046875</v>
      </c>
      <c r="Q31" s="66" t="n">
        <f aca="false">IF(Q$8=0,LN($C$92),($C$92^Q$8-1)/Q$8)</f>
        <v>0.320383336968594</v>
      </c>
      <c r="R31" s="66" t="n">
        <f aca="false">IF(R$8=0,LN($C$92),($C$92^R$8-1)/R$8)</f>
        <v>0.337262743732461</v>
      </c>
      <c r="S31" s="66" t="n">
        <f aca="false">IF(S$8=0,LN($C$92),($C$92^S$8-1)/S$8)</f>
        <v>0.355430147490269</v>
      </c>
      <c r="T31" s="66" t="n">
        <f aca="false">IF(T$8=0,LN($C$92),($C$92^T$8-1)/T$8)</f>
        <v>0.375</v>
      </c>
      <c r="U31" s="66" t="n">
        <f aca="false">IF(U$8=0,LN($C$92),($C$92^U$8-1)/U$8)</f>
        <v>0.396097791349418</v>
      </c>
      <c r="V31" s="66" t="n">
        <f aca="false">IF(V$8=0,LN($C$92),($C$92^V$8-1)/V$8)</f>
        <v>0.41886116991581</v>
      </c>
      <c r="W31" s="66" t="n">
        <f aca="false">IF(W$8=0,LN($C$92),($C$92^W$8-1)/W$8)</f>
        <v>0.443441179922155</v>
      </c>
      <c r="X31" s="66" t="n">
        <f aca="false">IF(X$8=0,LN($C$92),($C$92^X$8-1)/X$8)</f>
        <v>0.470003629245736</v>
      </c>
      <c r="Y31" s="66" t="n">
        <f aca="false">IF(Y$8=0,LN($C$92),($C$92^Y$8-1)/Y$8)</f>
        <v>0.498730601522793</v>
      </c>
      <c r="Z31" s="66" t="n">
        <f aca="false">IF(Z$8=0,LN($C$92),($C$92^Z$8-1)/Z$8)</f>
        <v>0.529822128134704</v>
      </c>
      <c r="AA31" s="66" t="n">
        <f aca="false">IF(AA$8=0,LN($C$92),($C$92^AA$8-1)/AA$8)</f>
        <v>0.563498037374851</v>
      </c>
      <c r="AB31" s="66" t="n">
        <f aca="false">IF(AB$8=0,LN($C$92),($C$92^AB$8-1)/AB$8)</f>
        <v>0.6</v>
      </c>
      <c r="AC31" s="66" t="n">
        <f aca="false">IF(AC$8=0,LN($C$92),($C$92^AC$8-1)/AC$8)</f>
        <v>0.639593792487294</v>
      </c>
      <c r="AD31" s="66" t="n">
        <f aca="false">IF(AD$8=0,LN($C$92),($C$92^AD$8-1)/AD$8)</f>
        <v>0.682571801671842</v>
      </c>
      <c r="AE31" s="66" t="n">
        <f aca="false">IF(AE$8=0,LN($C$92),($C$92^AE$8-1)/AE$8)</f>
        <v>0.729255797057041</v>
      </c>
      <c r="AF31" s="66" t="n">
        <f aca="false">IF(AF$8=0,LN($C$92),($C$92^AF$8-1)/AF$8)</f>
        <v>0.78</v>
      </c>
    </row>
    <row r="32" customFormat="false" ht="30.75" hidden="false" customHeight="true" outlineLevel="0" collapsed="false">
      <c r="B32" s="12" t="s">
        <v>4347</v>
      </c>
      <c r="C32" s="12" t="s">
        <v>4348</v>
      </c>
      <c r="D32" s="12" t="s">
        <v>4349</v>
      </c>
      <c r="E32" s="50" t="s">
        <v>1070</v>
      </c>
      <c r="P32" s="66" t="n">
        <f aca="false">IF(P$8=0,LN($C$93),($C$93^P$8-1)/P$8)</f>
        <v>0.494092627599244</v>
      </c>
      <c r="Q32" s="66" t="n">
        <f aca="false">IF(Q$8=0,LN($C$93),($C$93^Q$8-1)/Q$8)</f>
        <v>0.559670576908146</v>
      </c>
      <c r="R32" s="66" t="n">
        <f aca="false">IF(R$8=0,LN($C$93),($C$93^R$8-1)/R$8)</f>
        <v>0.642776069804501</v>
      </c>
      <c r="S32" s="66" t="n">
        <f aca="false">IF(S$8=0,LN($C$93),($C$93^S$8-1)/S$8)</f>
        <v>0.750070731564673</v>
      </c>
      <c r="T32" s="66" t="n">
        <f aca="false">IF(T$8=0,LN($C$93),($C$93^T$8-1)/T$8)</f>
        <v>0.891304347826087</v>
      </c>
      <c r="U32" s="66" t="n">
        <f aca="false">IF(U$8=0,LN($C$93),($C$93^U$8-1)/U$8)</f>
        <v>1.08092838429487</v>
      </c>
      <c r="V32" s="66" t="n">
        <f aca="false">IF(V$8=0,LN($C$93),($C$93^V$8-1)/V$8)</f>
        <v>1.34061952660421</v>
      </c>
      <c r="W32" s="66" t="n">
        <f aca="false">IF(W$8=0,LN($C$93),($C$93^W$8-1)/W$8)</f>
        <v>1.70325365197497</v>
      </c>
      <c r="X32" s="66" t="n">
        <f aca="false">IF(X$8=0,LN($C$93),($C$93^X$8-1)/X$8)</f>
        <v>2.21920348405499</v>
      </c>
      <c r="Y32" s="66" t="n">
        <f aca="false">IF(Y$8=0,LN($C$93),($C$93^Y$8-1)/Y$8)</f>
        <v>2.96637659346162</v>
      </c>
      <c r="Z32" s="66" t="n">
        <f aca="false">IF(Z$8=0,LN($C$93),($C$93^Z$8-1)/Z$8)</f>
        <v>4.06630035524124</v>
      </c>
      <c r="AA32" s="66" t="n">
        <f aca="false">IF(AA$8=0,LN($C$93),($C$93^AA$8-1)/AA$8)</f>
        <v>5.71002213394341</v>
      </c>
      <c r="AB32" s="66" t="n">
        <f aca="false">IF(AB$8=0,LN($C$93),($C$93^AB$8-1)/AB$8)</f>
        <v>8.2</v>
      </c>
      <c r="AC32" s="66" t="n">
        <f aca="false">IF(AC$8=0,LN($C$93),($C$93^AC$8-1)/AC$8)</f>
        <v>12.0181329319694</v>
      </c>
      <c r="AD32" s="66" t="n">
        <f aca="false">IF(AD$8=0,LN($C$93),($C$93^AD$8-1)/AD$8)</f>
        <v>17.9366544227398</v>
      </c>
      <c r="AE32" s="66" t="n">
        <f aca="false">IF(AE$8=0,LN($C$93),($C$93^AE$8-1)/AE$8)</f>
        <v>27.1995158424055</v>
      </c>
      <c r="AF32" s="66" t="n">
        <f aca="false">IF(AF$8=0,LN($C$93),($C$93^AF$8-1)/AF$8)</f>
        <v>41.82</v>
      </c>
    </row>
    <row r="33" customFormat="false" ht="44.25" hidden="false" customHeight="true" outlineLevel="0" collapsed="false">
      <c r="B33" s="12" t="s">
        <v>4350</v>
      </c>
      <c r="C33" s="12" t="s">
        <v>4351</v>
      </c>
      <c r="D33" s="12" t="s">
        <v>4352</v>
      </c>
      <c r="E33" s="50" t="s">
        <v>2076</v>
      </c>
      <c r="P33" s="66" t="n">
        <f aca="false">IF(P$8=0,LN($C$94),($C$94^P$8-1)/P$8)</f>
        <v>0.48077662437524</v>
      </c>
      <c r="Q33" s="66" t="n">
        <f aca="false">IF(Q$8=0,LN($C$94),($C$94^Q$8-1)/Q$8)</f>
        <v>0.538413355414939</v>
      </c>
      <c r="R33" s="66" t="n">
        <f aca="false">IF(R$8=0,LN($C$94),($C$94^R$8-1)/R$8)</f>
        <v>0.608783340814373</v>
      </c>
      <c r="S33" s="66" t="n">
        <f aca="false">IF(S$8=0,LN($C$94),($C$94^S$8-1)/S$8)</f>
        <v>0.695617602698951</v>
      </c>
      <c r="T33" s="66" t="n">
        <f aca="false">IF(T$8=0,LN($C$94),($C$94^T$8-1)/T$8)</f>
        <v>0.803921568627451</v>
      </c>
      <c r="U33" s="66" t="n">
        <f aca="false">IF(U$8=0,LN($C$94),($C$94^U$8-1)/U$8)</f>
        <v>0.940452262771112</v>
      </c>
      <c r="V33" s="66" t="n">
        <f aca="false">IF(V$8=0,LN($C$94),($C$94^V$8-1)/V$8)</f>
        <v>1.1143851144599</v>
      </c>
      <c r="W33" s="66" t="n">
        <f aca="false">IF(W$8=0,LN($C$94),($C$94^W$8-1)/W$8)</f>
        <v>1.33824886882324</v>
      </c>
      <c r="X33" s="66" t="n">
        <f aca="false">IF(X$8=0,LN($C$94),($C$94^X$8-1)/X$8)</f>
        <v>1.62924053973028</v>
      </c>
      <c r="Y33" s="66" t="n">
        <f aca="false">IF(Y$8=0,LN($C$94),($C$94^Y$8-1)/Y$8)</f>
        <v>2.01108037960198</v>
      </c>
      <c r="Z33" s="66" t="n">
        <f aca="false">IF(Z$8=0,LN($C$94),($C$94^Z$8-1)/Z$8)</f>
        <v>2.51663591625449</v>
      </c>
      <c r="AA33" s="66" t="n">
        <f aca="false">IF(AA$8=0,LN($C$94),($C$94^AA$8-1)/AA$8)</f>
        <v>3.19164358966716</v>
      </c>
      <c r="AB33" s="66" t="n">
        <f aca="false">IF(AB$8=0,LN($C$94),($C$94^AB$8-1)/AB$8)</f>
        <v>4.1</v>
      </c>
      <c r="AC33" s="66" t="n">
        <f aca="false">IF(AC$8=0,LN($C$94),($C$94^AC$8-1)/AC$8)</f>
        <v>5.33130198719402</v>
      </c>
      <c r="AD33" s="66" t="n">
        <f aca="false">IF(AD$8=0,LN($C$94),($C$94^AD$8-1)/AD$8)</f>
        <v>7.01161439096596</v>
      </c>
      <c r="AE33" s="66" t="n">
        <f aca="false">IF(AE$8=0,LN($C$94),($C$94^AE$8-1)/AE$8)</f>
        <v>9.31887813170108</v>
      </c>
      <c r="AF33" s="66" t="n">
        <f aca="false">IF(AF$8=0,LN($C$94),($C$94^AF$8-1)/AF$8)</f>
        <v>12.505</v>
      </c>
    </row>
    <row r="34" customFormat="false" ht="15" hidden="false" customHeight="true" outlineLevel="0" collapsed="false">
      <c r="P34" s="66" t="n">
        <f aca="false">IF(P$8=0,LN($C$95),($C$95^P$8-1)/P$8)</f>
        <v>0.436224489795918</v>
      </c>
      <c r="Q34" s="66" t="n">
        <f aca="false">IF(Q$8=0,LN($C$95),($C$95^Q$8-1)/Q$8)</f>
        <v>0.477145136471079</v>
      </c>
      <c r="R34" s="66" t="n">
        <f aca="false">IF(R$8=0,LN($C$95),($C$95^R$8-1)/R$8)</f>
        <v>0.52437754650781</v>
      </c>
      <c r="S34" s="66" t="n">
        <f aca="false">IF(S$8=0,LN($C$95),($C$95^S$8-1)/S$8)</f>
        <v>0.579127092658873</v>
      </c>
      <c r="T34" s="66" t="n">
        <f aca="false">IF(T$8=0,LN($C$95),($C$95^T$8-1)/T$8)</f>
        <v>0.642857142857143</v>
      </c>
      <c r="U34" s="66" t="n">
        <f aca="false">IF(U$8=0,LN($C$95),($C$95^U$8-1)/U$8)</f>
        <v>0.71734822494438</v>
      </c>
      <c r="V34" s="66" t="n">
        <f aca="false">IF(V$8=0,LN($C$95),($C$95^V$8-1)/V$8)</f>
        <v>0.804771390665606</v>
      </c>
      <c r="W34" s="66" t="n">
        <f aca="false">IF(W$8=0,LN($C$95),($C$95^W$8-1)/W$8)</f>
        <v>0.907779297224218</v>
      </c>
      <c r="X34" s="66" t="n">
        <f aca="false">IF(X$8=0,LN($C$95),($C$95^X$8-1)/X$8)</f>
        <v>1.02961941718116</v>
      </c>
      <c r="Y34" s="66" t="n">
        <f aca="false">IF(Y$8=0,LN($C$95),($C$95^Y$8-1)/Y$8)</f>
        <v>1.17427491046721</v>
      </c>
      <c r="Z34" s="66" t="n">
        <f aca="false">IF(Z$8=0,LN($C$95),($C$95^Z$8-1)/Z$8)</f>
        <v>1.3466401061363</v>
      </c>
      <c r="AA34" s="66" t="n">
        <f aca="false">IF(AA$8=0,LN($C$95),($C$95^AA$8-1)/AA$8)</f>
        <v>1.55273932259073</v>
      </c>
      <c r="AB34" s="66" t="n">
        <f aca="false">IF(AB$8=0,LN($C$95),($C$95^AB$8-1)/AB$8)</f>
        <v>1.8</v>
      </c>
      <c r="AC34" s="66" t="n">
        <f aca="false">IF(AC$8=0,LN($C$95),($C$95^AC$8-1)/AC$8)</f>
        <v>2.09759394986164</v>
      </c>
      <c r="AD34" s="66" t="n">
        <f aca="false">IF(AD$8=0,LN($C$95),($C$95^AD$8-1)/AD$8)</f>
        <v>2.45686409906055</v>
      </c>
      <c r="AE34" s="66" t="n">
        <f aca="false">IF(AE$8=0,LN($C$95),($C$95^AE$8-1)/AE$8)</f>
        <v>2.8918586156803</v>
      </c>
      <c r="AF34" s="66" t="n">
        <f aca="false">IF(AF$8=0,LN($C$95),($C$95^AF$8-1)/AF$8)</f>
        <v>3.42</v>
      </c>
    </row>
    <row r="35" customFormat="false" ht="15.75" hidden="false" customHeight="true" outlineLevel="0" collapsed="false">
      <c r="B35" s="7" t="s">
        <v>1429</v>
      </c>
      <c r="C35" s="8"/>
      <c r="D35" s="8"/>
      <c r="E35" s="8"/>
      <c r="F35" s="8"/>
      <c r="G35" s="8"/>
      <c r="H35" s="8"/>
      <c r="I35" s="8"/>
      <c r="J35" s="8"/>
      <c r="K35" s="8"/>
      <c r="P35" s="66" t="n">
        <f aca="false">IF(P$8=0,LN($C$96),($C$96^P$8-1)/P$8)</f>
        <v>0.479175343606831</v>
      </c>
      <c r="Q35" s="66" t="n">
        <f aca="false">IF(Q$8=0,LN($C$96),($C$96^Q$8-1)/Q$8)</f>
        <v>0.536019151582361</v>
      </c>
      <c r="R35" s="66" t="n">
        <f aca="false">IF(R$8=0,LN($C$96),($C$96^R$8-1)/R$8)</f>
        <v>0.605203544020051</v>
      </c>
      <c r="S35" s="66" t="n">
        <f aca="false">IF(S$8=0,LN($C$96),($C$96^S$8-1)/S$8)</f>
        <v>0.690265071007588</v>
      </c>
      <c r="T35" s="66" t="n">
        <f aca="false">IF(T$8=0,LN($C$96),($C$96^T$8-1)/T$8)</f>
        <v>0.795918367346939</v>
      </c>
      <c r="U35" s="66" t="n">
        <f aca="false">IF(U$8=0,LN($C$96),($C$96^U$8-1)/U$8)</f>
        <v>0.928485633091656</v>
      </c>
      <c r="V35" s="66" t="n">
        <f aca="false">IF(V$8=0,LN($C$96),($C$96^V$8-1)/V$8)</f>
        <v>1.09649209709475</v>
      </c>
      <c r="W35" s="66" t="n">
        <f aca="false">IF(W$8=0,LN($C$96),($C$96^W$8-1)/W$8)</f>
        <v>1.31149423968592</v>
      </c>
      <c r="X35" s="66" t="n">
        <f aca="false">IF(X$8=0,LN($C$96),($C$96^X$8-1)/X$8)</f>
        <v>1.58923520511658</v>
      </c>
      <c r="Y35" s="66" t="n">
        <f aca="false">IF(Y$8=0,LN($C$96),($C$96^Y$8-1)/Y$8)</f>
        <v>1.95126119355266</v>
      </c>
      <c r="Z35" s="66" t="n">
        <f aca="false">IF(Z$8=0,LN($C$96),($C$96^Z$8-1)/Z$8)</f>
        <v>2.42718872423573</v>
      </c>
      <c r="AA35" s="66" t="n">
        <f aca="false">IF(AA$8=0,LN($C$96),($C$96^AA$8-1)/AA$8)</f>
        <v>3.05789274184634</v>
      </c>
      <c r="AB35" s="66" t="n">
        <f aca="false">IF(AB$8=0,LN($C$96),($C$96^AB$8-1)/AB$8)</f>
        <v>3.9</v>
      </c>
      <c r="AC35" s="66" t="n">
        <f aca="false">IF(AC$8=0,LN($C$96),($C$96^AC$8-1)/AC$8)</f>
        <v>5.03223596968161</v>
      </c>
      <c r="AD35" s="66" t="n">
        <f aca="false">IF(AD$8=0,LN($C$96),($C$96^AD$8-1)/AD$8)</f>
        <v>6.56440824958503</v>
      </c>
      <c r="AE35" s="66" t="n">
        <f aca="false">IF(AE$8=0,LN($C$96),($C$96^AE$8-1)/AE$8)</f>
        <v>8.65014618644874</v>
      </c>
      <c r="AF35" s="66" t="n">
        <f aca="false">IF(AF$8=0,LN($C$96),($C$96^AF$8-1)/AF$8)</f>
        <v>11.505</v>
      </c>
    </row>
    <row r="36" customFormat="false" ht="15" hidden="false" customHeight="true" outlineLevel="0" collapsed="false">
      <c r="B36" s="47" t="s">
        <v>4353</v>
      </c>
      <c r="P36" s="66" t="n">
        <f aca="false">IF(P$8=0,LN($C$97),($C$97^P$8-1)/P$8)</f>
        <v>0.459183673469388</v>
      </c>
      <c r="Q36" s="66" t="n">
        <f aca="false">IF(Q$8=0,LN($C$97),($C$97^Q$8-1)/Q$8)</f>
        <v>0.507625310793358</v>
      </c>
      <c r="R36" s="66" t="n">
        <f aca="false">IF(R$8=0,LN($C$97),($C$97^R$8-1)/R$8)</f>
        <v>0.564852860223838</v>
      </c>
      <c r="S36" s="66" t="n">
        <f aca="false">IF(S$8=0,LN($C$97),($C$97^S$8-1)/S$8)</f>
        <v>0.632889040980794</v>
      </c>
      <c r="T36" s="66" t="n">
        <f aca="false">IF(T$8=0,LN($C$97),($C$97^T$8-1)/T$8)</f>
        <v>0.714285714285714</v>
      </c>
      <c r="U36" s="66" t="n">
        <f aca="false">IF(U$8=0,LN($C$97),($C$97^U$8-1)/U$8)</f>
        <v>0.812273371479093</v>
      </c>
      <c r="V36" s="66" t="n">
        <f aca="false">IF(V$8=0,LN($C$97),($C$97^V$8-1)/V$8)</f>
        <v>0.930955032350302</v>
      </c>
      <c r="W36" s="66" t="n">
        <f aca="false">IF(W$8=0,LN($C$97),($C$97^W$8-1)/W$8)</f>
        <v>1.0755582171639</v>
      </c>
      <c r="X36" s="66" t="n">
        <f aca="false">IF(X$8=0,LN($C$97),($C$97^X$8-1)/X$8)</f>
        <v>1.25276296849537</v>
      </c>
      <c r="Y36" s="66" t="n">
        <f aca="false">IF(Y$8=0,LN($C$97),($C$97^Y$8-1)/Y$8)</f>
        <v>1.47112959946952</v>
      </c>
      <c r="Z36" s="66" t="n">
        <f aca="false">IF(Z$8=0,LN($C$97),($C$97^Z$8-1)/Z$8)</f>
        <v>1.74165738677394</v>
      </c>
      <c r="AA36" s="66" t="n">
        <f aca="false">IF(AA$8=0,LN($C$97),($C$97^AA$8-1)/AA$8)</f>
        <v>2.07851541330878</v>
      </c>
      <c r="AB36" s="66" t="n">
        <f aca="false">IF(AB$8=0,LN($C$97),($C$97^AB$8-1)/AB$8)</f>
        <v>2.5</v>
      </c>
      <c r="AC36" s="66" t="n">
        <f aca="false">IF(AC$8=0,LN($C$97),($C$97^AC$8-1)/AC$8)</f>
        <v>3.02979071962867</v>
      </c>
      <c r="AD36" s="66" t="n">
        <f aca="false">IF(AD$8=0,LN($C$97),($C$97^AD$8-1)/AD$8)</f>
        <v>3.6986002845696</v>
      </c>
      <c r="AE36" s="66" t="n">
        <f aca="false">IF(AE$8=0,LN($C$97),($C$97^AE$8-1)/AE$8)</f>
        <v>4.5463445485346</v>
      </c>
      <c r="AF36" s="66" t="n">
        <f aca="false">IF(AF$8=0,LN($C$97),($C$97^AF$8-1)/AF$8)</f>
        <v>5.625</v>
      </c>
    </row>
    <row r="37" customFormat="false" ht="15" hidden="false" customHeight="true" outlineLevel="0" collapsed="false">
      <c r="B37" s="59" t="s">
        <v>4354</v>
      </c>
      <c r="P37" s="66" t="n">
        <f aca="false">IF(P$8=0,LN($C$98),($C$98^P$8-1)/P$8)</f>
        <v>0.405482041587902</v>
      </c>
      <c r="Q37" s="66" t="n">
        <f aca="false">IF(Q$8=0,LN($C$98),($C$98^Q$8-1)/Q$8)</f>
        <v>0.438402048891819</v>
      </c>
      <c r="R37" s="66" t="n">
        <f aca="false">IF(R$8=0,LN($C$98),($C$98^R$8-1)/R$8)</f>
        <v>0.475541891769337</v>
      </c>
      <c r="S37" s="66" t="n">
        <f aca="false">IF(S$8=0,LN($C$98),($C$98^S$8-1)/S$8)</f>
        <v>0.517557405677577</v>
      </c>
      <c r="T37" s="66" t="n">
        <f aca="false">IF(T$8=0,LN($C$98),($C$98^T$8-1)/T$8)</f>
        <v>0.565217391304348</v>
      </c>
      <c r="U37" s="66" t="n">
        <f aca="false">IF(U$8=0,LN($C$98),($C$98^U$8-1)/U$8)</f>
        <v>0.619424329052761</v>
      </c>
      <c r="V37" s="66" t="n">
        <f aca="false">IF(V$8=0,LN($C$98),($C$98^V$8-1)/V$8)</f>
        <v>0.681239053208426</v>
      </c>
      <c r="W37" s="66" t="n">
        <f aca="false">IF(W$8=0,LN($C$98),($C$98^W$8-1)/W$8)</f>
        <v>0.751910165292131</v>
      </c>
      <c r="X37" s="66" t="n">
        <f aca="false">IF(X$8=0,LN($C$98),($C$98^X$8-1)/X$8)</f>
        <v>0.832909122935104</v>
      </c>
      <c r="Y37" s="66" t="n">
        <f aca="false">IF(Y$8=0,LN($C$98),($C$98^Y$8-1)/Y$8)</f>
        <v>0.925972129535952</v>
      </c>
      <c r="Z37" s="66" t="n">
        <f aca="false">IF(Z$8=0,LN($C$98),($C$98^Z$8-1)/Z$8)</f>
        <v>1.03315017762062</v>
      </c>
      <c r="AA37" s="66" t="n">
        <f aca="false">IF(AA$8=0,LN($C$98),($C$98^AA$8-1)/AA$8)</f>
        <v>1.15686887327603</v>
      </c>
      <c r="AB37" s="66" t="n">
        <f aca="false">IF(AB$8=0,LN($C$98),($C$98^AB$8-1)/AB$8)</f>
        <v>1.3</v>
      </c>
      <c r="AC37" s="66" t="n">
        <f aca="false">IF(AC$8=0,LN($C$98),($C$98^AC$8-1)/AC$8)</f>
        <v>1.46594717958654</v>
      </c>
      <c r="AD37" s="66" t="n">
        <f aca="false">IF(AD$8=0,LN($C$98),($C$98^AD$8-1)/AD$8)</f>
        <v>1.65874846950914</v>
      </c>
      <c r="AE37" s="66" t="n">
        <f aca="false">IF(AE$8=0,LN($C$98),($C$98^AE$8-1)/AE$8)</f>
        <v>1.88319931794352</v>
      </c>
      <c r="AF37" s="66" t="n">
        <f aca="false">IF(AF$8=0,LN($C$98),($C$98^AF$8-1)/AF$8)</f>
        <v>2.145</v>
      </c>
    </row>
    <row r="38" customFormat="false" ht="15" hidden="false" customHeight="true" outlineLevel="0" collapsed="false">
      <c r="B38" s="59" t="s">
        <v>4355</v>
      </c>
      <c r="P38" s="66" t="n">
        <f aca="false">IF(P$8=0,LN($C$99),($C$99^P$8-1)/P$8)</f>
        <v>0.486992715920916</v>
      </c>
      <c r="Q38" s="66" t="n">
        <f aca="false">IF(Q$8=0,LN($C$99),($C$99^Q$8-1)/Q$8)</f>
        <v>0.547971353930813</v>
      </c>
      <c r="R38" s="66" t="n">
        <f aca="false">IF(R$8=0,LN($C$99),($C$99^R$8-1)/R$8)</f>
        <v>0.623482831779436</v>
      </c>
      <c r="S38" s="66" t="n">
        <f aca="false">IF(S$8=0,LN($C$99),($C$99^S$8-1)/S$8)</f>
        <v>0.718228799245324</v>
      </c>
      <c r="T38" s="66" t="n">
        <f aca="false">IF(T$8=0,LN($C$99),($C$99^T$8-1)/T$8)</f>
        <v>0.838709677419355</v>
      </c>
      <c r="U38" s="66" t="n">
        <f aca="false">IF(U$8=0,LN($C$99),($C$99^U$8-1)/U$8)</f>
        <v>0.993985586865766</v>
      </c>
      <c r="V38" s="66" t="n">
        <f aca="false">IF(V$8=0,LN($C$99),($C$99^V$8-1)/V$8)</f>
        <v>1.1967806710975</v>
      </c>
      <c r="W38" s="66" t="n">
        <f aca="false">IF(W$8=0,LN($C$99),($C$99^W$8-1)/W$8)</f>
        <v>1.46509277660503</v>
      </c>
      <c r="X38" s="66" t="n">
        <f aca="false">IF(X$8=0,LN($C$99),($C$99^X$8-1)/X$8)</f>
        <v>1.82454929205105</v>
      </c>
      <c r="Y38" s="66" t="n">
        <f aca="false">IF(Y$8=0,LN($C$99),($C$99^Y$8-1)/Y$8)</f>
        <v>2.31186808429675</v>
      </c>
      <c r="Z38" s="66" t="n">
        <f aca="false">IF(Z$8=0,LN($C$99),($C$99^Z$8-1)/Z$8)</f>
        <v>2.97995983919549</v>
      </c>
      <c r="AA38" s="66" t="n">
        <f aca="false">IF(AA$8=0,LN($C$99),($C$99^AA$8-1)/AA$8)</f>
        <v>3.9054749283496</v>
      </c>
      <c r="AB38" s="66" t="n">
        <f aca="false">IF(AB$8=0,LN($C$99),($C$99^AB$8-1)/AB$8)</f>
        <v>5.2</v>
      </c>
      <c r="AC38" s="66" t="n">
        <f aca="false">IF(AC$8=0,LN($C$99),($C$99^AC$8-1)/AC$8)</f>
        <v>7.02671642452797</v>
      </c>
      <c r="AD38" s="66" t="n">
        <f aca="false">IF(AD$8=0,LN($C$99),($C$99^AD$8-1)/AD$8)</f>
        <v>9.62525033433735</v>
      </c>
      <c r="AE38" s="66" t="n">
        <f aca="false">IF(AE$8=0,LN($C$99),($C$99^AE$8-1)/AE$8)</f>
        <v>13.3488333810432</v>
      </c>
      <c r="AF38" s="66" t="n">
        <f aca="false">IF(AF$8=0,LN($C$99),($C$99^AF$8-1)/AF$8)</f>
        <v>18.72</v>
      </c>
    </row>
    <row r="39" customFormat="false" ht="31.5" hidden="false" customHeight="true" outlineLevel="0" collapsed="false">
      <c r="B39" s="51" t="s">
        <v>4356</v>
      </c>
      <c r="C39" s="51"/>
      <c r="O39" s="10" t="s">
        <v>4357</v>
      </c>
      <c r="P39" s="94" t="n">
        <f aca="false">VARP($P$9:$P$38)</f>
        <v>0.00306221101524083</v>
      </c>
      <c r="Q39" s="94" t="n">
        <f aca="false">VARP($Q$9:$Q$38)</f>
        <v>0.00484930650062174</v>
      </c>
      <c r="R39" s="94" t="n">
        <f aca="false">VARP($R$9:$R$38)</f>
        <v>0.00783528644282876</v>
      </c>
      <c r="S39" s="94" t="n">
        <f aca="false">VARP($S$9:$S$38)</f>
        <v>0.01293972749245</v>
      </c>
      <c r="T39" s="94" t="n">
        <f aca="false">VARP($T$9:$T$38)</f>
        <v>0.0218796706999873</v>
      </c>
      <c r="U39" s="94" t="n">
        <f aca="false">VARP($U$9:$U$38)</f>
        <v>0.037940683810293</v>
      </c>
      <c r="V39" s="94" t="n">
        <f aca="false">VARP($V$9:$V$38)</f>
        <v>0.067567319559175</v>
      </c>
      <c r="W39" s="94" t="n">
        <f aca="false">VARP($W$9:$W$38)</f>
        <v>0.123717215466185</v>
      </c>
      <c r="X39" s="94" t="n">
        <f aca="false">VARP($X$9:$X$38)</f>
        <v>0.233088938229134</v>
      </c>
      <c r="Y39" s="94" t="n">
        <f aca="false">VARP($Y$9:$Y$38)</f>
        <v>0.452025838501011</v>
      </c>
      <c r="Z39" s="94" t="n">
        <f aca="false">VARP($Z$9:$Z$38)</f>
        <v>0.902216563312193</v>
      </c>
      <c r="AA39" s="94" t="n">
        <f aca="false">VARP($AA$9:$AA$38)</f>
        <v>1.85237082389415</v>
      </c>
      <c r="AB39" s="94" t="n">
        <f aca="false">VARP($AB$9:$AB$38)</f>
        <v>3.90845555555556</v>
      </c>
      <c r="AC39" s="94" t="n">
        <f aca="false">VARP($AC$9:$AC$38)</f>
        <v>8.46429295608509</v>
      </c>
      <c r="AD39" s="94" t="n">
        <f aca="false">VARP($AD$9:$AD$38)</f>
        <v>18.7857161078887</v>
      </c>
      <c r="AE39" s="94" t="n">
        <f aca="false">VARP($AE$9:$AE$38)</f>
        <v>42.6573347709252</v>
      </c>
      <c r="AF39" s="94" t="n">
        <f aca="false">VARP($AF$9:$AF$38)</f>
        <v>98.9317778055556</v>
      </c>
    </row>
    <row r="40" customFormat="false" ht="31.5" hidden="false" customHeight="true" outlineLevel="0" collapsed="false">
      <c r="B40" s="52" t="s">
        <v>4358</v>
      </c>
      <c r="C40" s="52"/>
      <c r="O40" s="10" t="s">
        <v>4359</v>
      </c>
      <c r="P40" s="63" t="n">
        <f aca="false">-30/2*LN(P39)+(P8-1)*$N$8</f>
        <v>-26.8768668258608</v>
      </c>
      <c r="Q40" s="63" t="n">
        <f aca="false">-30/2*LN(Q39)+(Q8-1)*$N$8</f>
        <v>-24.29683277801</v>
      </c>
      <c r="R40" s="63" t="n">
        <f aca="false">-30/2*LN(R39)+(R8-1)*$N$8</f>
        <v>-22.0183472289553</v>
      </c>
      <c r="S40" s="63" t="n">
        <f aca="false">-30/2*LN(S39)+(S8-1)*$N$8</f>
        <v>-20.0678076644455</v>
      </c>
      <c r="T40" s="63" t="n">
        <f aca="false">-30/2*LN(T39)+(T8-1)*$N$8</f>
        <v>-18.4711316393347</v>
      </c>
      <c r="U40" s="63" t="n">
        <f aca="false">-30/2*LN(U39)+(U8-1)*$N$8</f>
        <v>-17.2526110594302</v>
      </c>
      <c r="V40" s="63" t="n">
        <f aca="false">-30/2*LN(V39)+(V8-1)*$N$8</f>
        <v>-16.4336061679205</v>
      </c>
      <c r="W40" s="63" t="n">
        <f aca="false">-30/2*LN(W39)+(W8-1)*$N$8</f>
        <v>-16.0312048754918</v>
      </c>
      <c r="X40" s="63" t="n">
        <f aca="false">-30/2*LN(X39)+(X8-1)*$N$8</f>
        <v>-16.0570181216266</v>
      </c>
      <c r="Y40" s="63" t="n">
        <f aca="false">-30/2*LN(Y39)+(Y8-1)*$N$8</f>
        <v>-16.5162954293403</v>
      </c>
      <c r="Z40" s="63" t="n">
        <f aca="false">-30/2*LN(Z39)+(Z8-1)*$N$8</f>
        <v>-17.4075125485469</v>
      </c>
      <c r="AA40" s="63" t="n">
        <f aca="false">-30/2*LN(AA39)+(AA8-1)*$N$8</f>
        <v>-18.7225066655534</v>
      </c>
      <c r="AB40" s="63" t="n">
        <f aca="false">-30/2*LN(AB39)+(AB8-1)*$N$8</f>
        <v>-20.4471344607847</v>
      </c>
      <c r="AC40" s="63" t="n">
        <f aca="false">-30/2*LN(AC39)+(AC8-1)*$N$8</f>
        <v>-22.5623358083893</v>
      </c>
      <c r="AD40" s="63" t="n">
        <f aca="false">-30/2*LN(AD39)+(AD8-1)*$N$8</f>
        <v>-25.0454290142605</v>
      </c>
      <c r="AE40" s="63" t="n">
        <f aca="false">-30/2*LN(AE39)+(AE8-1)*$N$8</f>
        <v>-27.8714540566297</v>
      </c>
      <c r="AF40" s="63" t="n">
        <f aca="false">-30/2*LN(AF39)+(AF8-1)*$N$8</f>
        <v>-31.0144115343871</v>
      </c>
    </row>
    <row r="41" customFormat="false" ht="17.25" hidden="false" customHeight="true" outlineLevel="0" collapsed="false">
      <c r="B41" s="52" t="s">
        <v>4360</v>
      </c>
      <c r="C41" s="52"/>
      <c r="O41" s="10" t="s">
        <v>1776</v>
      </c>
      <c r="P41" s="63" t="n">
        <f aca="false">SKEW($P$9:$P$38)</f>
        <v>-1.44976551471399</v>
      </c>
      <c r="Q41" s="63" t="n">
        <f aca="false">SKEW($Q$9:$Q$38)</f>
        <v>-1.27339837543276</v>
      </c>
      <c r="R41" s="63" t="n">
        <f aca="false">SKEW($R$9:$R$38)</f>
        <v>-1.08908573995775</v>
      </c>
      <c r="S41" s="63" t="n">
        <f aca="false">SKEW($S$9:$S$38)</f>
        <v>-0.897366576896352</v>
      </c>
      <c r="T41" s="63" t="n">
        <f aca="false">SKEW($T$9:$T$38)</f>
        <v>-0.698973349474182</v>
      </c>
      <c r="U41" s="63" t="n">
        <f aca="false">SKEW($U$9:$U$38)</f>
        <v>-0.494818577300983</v>
      </c>
      <c r="V41" s="63" t="n">
        <f aca="false">SKEW($V$9:$V$38)</f>
        <v>-0.28597059072852</v>
      </c>
      <c r="W41" s="63" t="n">
        <f aca="false">SKEW($W$9:$W$38)</f>
        <v>-0.073622567663252</v>
      </c>
      <c r="X41" s="63" t="n">
        <f aca="false">SKEW($X$9:$X$38)</f>
        <v>0.140941037925935</v>
      </c>
      <c r="Y41" s="63" t="n">
        <f aca="false">SKEW($Y$9:$Y$38)</f>
        <v>0.356378869080923</v>
      </c>
      <c r="Z41" s="63" t="n">
        <f aca="false">SKEW($Z$9:$Z$38)</f>
        <v>0.57132920876887</v>
      </c>
      <c r="AA41" s="63" t="n">
        <f aca="false">SKEW($AA$9:$AA$38)</f>
        <v>0.784451570018849</v>
      </c>
      <c r="AB41" s="63" t="n">
        <f aca="false">SKEW($AB$9:$AB$38)</f>
        <v>0.994474380660805</v>
      </c>
      <c r="AC41" s="63" t="n">
        <f aca="false">SKEW($AC$9:$AC$38)</f>
        <v>1.20024543872052</v>
      </c>
      <c r="AD41" s="63" t="n">
        <f aca="false">SKEW($AD$9:$AD$38)</f>
        <v>1.40077775541775</v>
      </c>
      <c r="AE41" s="63" t="n">
        <f aca="false">SKEW($AE$9:$AE$38)</f>
        <v>1.59528237452521</v>
      </c>
      <c r="AF41" s="63" t="n">
        <f aca="false">SKEW($AF$9:$AF$38)</f>
        <v>1.7831823931676</v>
      </c>
    </row>
    <row r="42" customFormat="false" ht="15" hidden="false" customHeight="true" outlineLevel="0" collapsed="false">
      <c r="B42" s="47" t="s">
        <v>4361</v>
      </c>
    </row>
    <row r="43" customFormat="false" ht="17.25" hidden="false" customHeight="true" outlineLevel="0" collapsed="false">
      <c r="B43" s="52" t="s">
        <v>4362</v>
      </c>
      <c r="C43" s="52"/>
      <c r="D43" s="52"/>
      <c r="E43" s="52"/>
      <c r="F43" s="52"/>
    </row>
    <row r="44" customFormat="false" ht="10.5" hidden="false" customHeight="true" outlineLevel="0" collapsed="false">
      <c r="B44" s="52" t="s">
        <v>4363</v>
      </c>
      <c r="C44" s="52"/>
      <c r="D44" s="52"/>
      <c r="E44" s="52"/>
      <c r="F44" s="52"/>
    </row>
    <row r="45" customFormat="false" ht="10.5" hidden="false" customHeight="true" outlineLevel="0" collapsed="false">
      <c r="B45" s="52"/>
      <c r="C45" s="52"/>
      <c r="D45" s="52"/>
      <c r="E45" s="52"/>
      <c r="F45" s="52"/>
    </row>
    <row r="46" customFormat="false" ht="10.5" hidden="false" customHeight="true" outlineLevel="0" collapsed="false">
      <c r="B46" s="52"/>
      <c r="C46" s="52"/>
      <c r="D46" s="52"/>
      <c r="E46" s="52"/>
      <c r="F46" s="52"/>
    </row>
    <row r="47" customFormat="false" ht="17.25" hidden="false" customHeight="true" outlineLevel="0" collapsed="false">
      <c r="B47" s="52" t="s">
        <v>4364</v>
      </c>
      <c r="C47" s="52"/>
      <c r="D47" s="52"/>
      <c r="E47" s="52"/>
      <c r="F47" s="52"/>
    </row>
    <row r="48" customFormat="false" ht="17.25" hidden="false" customHeight="true" outlineLevel="0" collapsed="false">
      <c r="B48" s="51" t="s">
        <v>4365</v>
      </c>
      <c r="C48" s="51"/>
      <c r="D48" s="51"/>
      <c r="E48" s="51"/>
      <c r="F48" s="51"/>
    </row>
    <row r="50" customFormat="false" ht="15.75" hidden="false" customHeight="true" outlineLevel="0" collapsed="false">
      <c r="B50" s="7" t="s">
        <v>1437</v>
      </c>
      <c r="C50" s="8"/>
      <c r="D50" s="8"/>
      <c r="E50" s="8"/>
      <c r="F50" s="8"/>
      <c r="G50" s="8"/>
      <c r="H50" s="8"/>
      <c r="I50" s="8"/>
      <c r="J50" s="8"/>
      <c r="K50" s="8"/>
    </row>
    <row r="51" customFormat="false" ht="17.25" hidden="false" customHeight="true" outlineLevel="0" collapsed="false">
      <c r="B51" s="11" t="s">
        <v>1438</v>
      </c>
      <c r="C51" s="11" t="s">
        <v>1439</v>
      </c>
      <c r="D51" s="11" t="s">
        <v>1440</v>
      </c>
      <c r="E51" s="11"/>
    </row>
    <row r="52" customFormat="false" ht="31.5" hidden="false" customHeight="true" outlineLevel="0" collapsed="false">
      <c r="B52" s="12" t="s">
        <v>4357</v>
      </c>
      <c r="C52" s="12" t="s">
        <v>4366</v>
      </c>
      <c r="D52" s="12" t="s">
        <v>4367</v>
      </c>
      <c r="E52" s="12"/>
    </row>
    <row r="53" customFormat="false" ht="17.25" hidden="false" customHeight="true" outlineLevel="0" collapsed="false">
      <c r="B53" s="12" t="s">
        <v>2584</v>
      </c>
      <c r="C53" s="12" t="s">
        <v>2585</v>
      </c>
      <c r="D53" s="12" t="s">
        <v>4368</v>
      </c>
      <c r="E53" s="12"/>
    </row>
    <row r="54" customFormat="false" ht="17.25" hidden="false" customHeight="true" outlineLevel="0" collapsed="false">
      <c r="B54" s="12" t="s">
        <v>1759</v>
      </c>
      <c r="C54" s="12" t="s">
        <v>1760</v>
      </c>
      <c r="D54" s="12" t="s">
        <v>4369</v>
      </c>
      <c r="E54" s="12"/>
    </row>
    <row r="55" customFormat="false" ht="44.25" hidden="false" customHeight="true" outlineLevel="0" collapsed="false">
      <c r="B55" s="12" t="s">
        <v>2591</v>
      </c>
      <c r="C55" s="12" t="s">
        <v>4370</v>
      </c>
      <c r="D55" s="12" t="s">
        <v>4371</v>
      </c>
      <c r="E55" s="12"/>
    </row>
    <row r="56" customFormat="false" ht="17.25" hidden="false" customHeight="true" outlineLevel="0" collapsed="false">
      <c r="B56" s="12" t="s">
        <v>4372</v>
      </c>
      <c r="C56" s="12" t="s">
        <v>2589</v>
      </c>
      <c r="D56" s="12" t="s">
        <v>4373</v>
      </c>
      <c r="E56" s="12"/>
    </row>
    <row r="57" customFormat="false" ht="17.25" hidden="false" customHeight="true" outlineLevel="0" collapsed="false">
      <c r="B57" s="12" t="s">
        <v>4374</v>
      </c>
      <c r="C57" s="12" t="s">
        <v>4375</v>
      </c>
      <c r="D57" s="12" t="s">
        <v>4376</v>
      </c>
      <c r="E57" s="12"/>
    </row>
    <row r="58" customFormat="false" ht="28.5" hidden="false" customHeight="true" outlineLevel="0" collapsed="false">
      <c r="B58" s="16" t="s">
        <v>1453</v>
      </c>
      <c r="C58" s="16"/>
      <c r="D58" s="16"/>
      <c r="E58" s="16"/>
      <c r="F58" s="16"/>
    </row>
    <row r="60" customFormat="false" ht="15.75" hidden="false" customHeight="true" outlineLevel="0" collapsed="false">
      <c r="B60" s="7" t="s">
        <v>1454</v>
      </c>
      <c r="C60" s="8"/>
      <c r="D60" s="8"/>
      <c r="E60" s="8"/>
      <c r="F60" s="8"/>
      <c r="G60" s="8"/>
      <c r="H60" s="8"/>
      <c r="I60" s="8"/>
      <c r="J60" s="8"/>
      <c r="K60" s="8"/>
    </row>
    <row r="61" customFormat="false" ht="15.75" hidden="false" customHeight="true" outlineLevel="0" collapsed="false">
      <c r="B61" s="9" t="s">
        <v>4377</v>
      </c>
      <c r="C61" s="9"/>
      <c r="D61" s="9"/>
      <c r="E61" s="9"/>
      <c r="F61" s="9"/>
    </row>
    <row r="62" customFormat="false" ht="15.75" hidden="false" customHeight="true" outlineLevel="0" collapsed="false">
      <c r="B62" s="9"/>
      <c r="C62" s="9"/>
      <c r="D62" s="9"/>
      <c r="E62" s="9"/>
      <c r="F62" s="9"/>
    </row>
    <row r="63" customFormat="false" ht="15" hidden="false" customHeight="true" outlineLevel="0" collapsed="false">
      <c r="B63" s="19" t="s">
        <v>85</v>
      </c>
      <c r="C63" s="41" t="s">
        <v>86</v>
      </c>
    </row>
    <row r="65" customFormat="false" ht="15" hidden="false" customHeight="true" outlineLevel="0" collapsed="false">
      <c r="B65" s="10" t="s">
        <v>4378</v>
      </c>
      <c r="C65" s="61" t="n">
        <v>-2</v>
      </c>
    </row>
    <row r="66" customFormat="false" ht="15" hidden="false" customHeight="true" outlineLevel="0" collapsed="false">
      <c r="B66" s="10" t="s">
        <v>4379</v>
      </c>
      <c r="C66" s="61" t="n">
        <v>0.25</v>
      </c>
    </row>
    <row r="67" customFormat="false" ht="15" hidden="false" customHeight="true" outlineLevel="0" collapsed="false">
      <c r="B67" s="10" t="s">
        <v>4380</v>
      </c>
      <c r="C67" s="75" t="n">
        <v>0.05</v>
      </c>
    </row>
    <row r="69" customFormat="false" ht="16.5" hidden="false" customHeight="true" outlineLevel="0" collapsed="false">
      <c r="B69" s="11" t="s">
        <v>4381</v>
      </c>
    </row>
    <row r="70" customFormat="false" ht="15" hidden="false" customHeight="true" outlineLevel="0" collapsed="false">
      <c r="C70" s="61" t="n">
        <v>2.1</v>
      </c>
    </row>
    <row r="71" customFormat="false" ht="15" hidden="false" customHeight="true" outlineLevel="0" collapsed="false">
      <c r="C71" s="61" t="n">
        <v>3.4</v>
      </c>
    </row>
    <row r="72" customFormat="false" ht="15" hidden="false" customHeight="true" outlineLevel="0" collapsed="false">
      <c r="C72" s="61" t="n">
        <v>1.8</v>
      </c>
    </row>
    <row r="73" customFormat="false" ht="15" hidden="false" customHeight="true" outlineLevel="0" collapsed="false">
      <c r="C73" s="61" t="n">
        <v>5.2</v>
      </c>
    </row>
    <row r="74" customFormat="false" ht="15" hidden="false" customHeight="true" outlineLevel="0" collapsed="false">
      <c r="C74" s="61" t="n">
        <v>2.9</v>
      </c>
    </row>
    <row r="75" customFormat="false" ht="15" hidden="false" customHeight="true" outlineLevel="0" collapsed="false">
      <c r="C75" s="61" t="n">
        <v>4.1</v>
      </c>
    </row>
    <row r="76" customFormat="false" ht="15" hidden="false" customHeight="true" outlineLevel="0" collapsed="false">
      <c r="C76" s="61" t="n">
        <v>1.5</v>
      </c>
    </row>
    <row r="77" customFormat="false" ht="15" hidden="false" customHeight="true" outlineLevel="0" collapsed="false">
      <c r="C77" s="61" t="n">
        <v>6.8</v>
      </c>
    </row>
    <row r="78" customFormat="false" ht="15" hidden="false" customHeight="true" outlineLevel="0" collapsed="false">
      <c r="C78" s="61" t="n">
        <v>3.2</v>
      </c>
    </row>
    <row r="79" customFormat="false" ht="15" hidden="false" customHeight="true" outlineLevel="0" collapsed="false">
      <c r="C79" s="61" t="n">
        <v>2.4</v>
      </c>
    </row>
    <row r="80" customFormat="false" ht="15" hidden="false" customHeight="true" outlineLevel="0" collapsed="false">
      <c r="C80" s="61" t="n">
        <v>8.1</v>
      </c>
    </row>
    <row r="81" customFormat="false" ht="15" hidden="false" customHeight="true" outlineLevel="0" collapsed="false">
      <c r="C81" s="61" t="n">
        <v>3.9</v>
      </c>
    </row>
    <row r="82" customFormat="false" ht="15" hidden="false" customHeight="true" outlineLevel="0" collapsed="false">
      <c r="C82" s="61" t="n">
        <v>2.7</v>
      </c>
    </row>
    <row r="83" customFormat="false" ht="15" hidden="false" customHeight="true" outlineLevel="0" collapsed="false">
      <c r="C83" s="61" t="n">
        <v>4.6</v>
      </c>
    </row>
    <row r="84" customFormat="false" ht="15" hidden="false" customHeight="true" outlineLevel="0" collapsed="false">
      <c r="C84" s="61" t="n">
        <v>1.9</v>
      </c>
    </row>
    <row r="85" customFormat="false" ht="15" hidden="false" customHeight="true" outlineLevel="0" collapsed="false">
      <c r="C85" s="61" t="n">
        <v>5.8</v>
      </c>
    </row>
    <row r="86" customFormat="false" ht="15" hidden="false" customHeight="true" outlineLevel="0" collapsed="false">
      <c r="C86" s="61" t="n">
        <v>3.1</v>
      </c>
    </row>
    <row r="87" customFormat="false" ht="15" hidden="false" customHeight="true" outlineLevel="0" collapsed="false">
      <c r="C87" s="61" t="n">
        <v>2.2</v>
      </c>
    </row>
    <row r="88" customFormat="false" ht="15" hidden="false" customHeight="true" outlineLevel="0" collapsed="false">
      <c r="C88" s="61" t="n">
        <v>7.4</v>
      </c>
    </row>
    <row r="89" customFormat="false" ht="15" hidden="false" customHeight="true" outlineLevel="0" collapsed="false">
      <c r="C89" s="61" t="n">
        <v>4.3</v>
      </c>
    </row>
    <row r="90" customFormat="false" ht="15" hidden="false" customHeight="true" outlineLevel="0" collapsed="false">
      <c r="C90" s="61" t="n">
        <v>2.6</v>
      </c>
    </row>
    <row r="91" customFormat="false" ht="15" hidden="false" customHeight="true" outlineLevel="0" collapsed="false">
      <c r="C91" s="61" t="n">
        <v>3.7</v>
      </c>
    </row>
    <row r="92" customFormat="false" ht="15" hidden="false" customHeight="true" outlineLevel="0" collapsed="false">
      <c r="C92" s="61" t="n">
        <v>1.6</v>
      </c>
    </row>
    <row r="93" customFormat="false" ht="15" hidden="false" customHeight="true" outlineLevel="0" collapsed="false">
      <c r="C93" s="61" t="n">
        <v>9.2</v>
      </c>
    </row>
    <row r="94" customFormat="false" ht="15" hidden="false" customHeight="true" outlineLevel="0" collapsed="false">
      <c r="C94" s="61" t="n">
        <v>5.1</v>
      </c>
    </row>
    <row r="95" customFormat="false" ht="15" hidden="false" customHeight="true" outlineLevel="0" collapsed="false">
      <c r="C95" s="61" t="n">
        <v>2.8</v>
      </c>
    </row>
    <row r="96" customFormat="false" ht="15" hidden="false" customHeight="true" outlineLevel="0" collapsed="false">
      <c r="C96" s="61" t="n">
        <v>4.9</v>
      </c>
    </row>
    <row r="97" customFormat="false" ht="15" hidden="false" customHeight="true" outlineLevel="0" collapsed="false">
      <c r="C97" s="61" t="n">
        <v>3.5</v>
      </c>
    </row>
    <row r="98" customFormat="false" ht="15" hidden="false" customHeight="true" outlineLevel="0" collapsed="false">
      <c r="C98" s="61" t="n">
        <v>2.3</v>
      </c>
    </row>
    <row r="99" customFormat="false" ht="15" hidden="false" customHeight="true" outlineLevel="0" collapsed="false">
      <c r="C99" s="61" t="n">
        <v>6.2</v>
      </c>
    </row>
    <row r="101" customFormat="false" ht="17.25" hidden="false" customHeight="true" outlineLevel="0" collapsed="false">
      <c r="B101" s="9" t="s">
        <v>4382</v>
      </c>
      <c r="C101" s="9"/>
      <c r="D101" s="9"/>
      <c r="E101" s="9"/>
      <c r="F101" s="9"/>
    </row>
    <row r="103" customFormat="false" ht="15" hidden="false" customHeight="true" outlineLevel="0" collapsed="false">
      <c r="B103" s="10" t="s">
        <v>4383</v>
      </c>
      <c r="C103" s="64" t="n">
        <f aca="false">INDEX($P$8:$AF$8,MATCH(MAX($P$40:$AF$40),$P$40:$AF$40,0))</f>
        <v>-0.25</v>
      </c>
    </row>
    <row r="104" customFormat="false" ht="15" hidden="false" customHeight="true" outlineLevel="0" collapsed="false">
      <c r="B104" s="10" t="s">
        <v>4384</v>
      </c>
      <c r="C104" s="63" t="n">
        <f aca="false">MAX($P$40:$AF$40)</f>
        <v>-16.0312048754918</v>
      </c>
    </row>
    <row r="105" customFormat="false" ht="15" hidden="false" customHeight="true" outlineLevel="0" collapsed="false">
      <c r="B105" s="10" t="s">
        <v>4385</v>
      </c>
      <c r="C105" s="67" t="n">
        <f aca="false">IF(C103&lt;-0.75,-1,IF(C103&lt;-0.25,-0.5,IF(C103&lt;0.25,0,IF(C103&lt;0.75,0.5,1))))</f>
        <v>0</v>
      </c>
    </row>
    <row r="106" customFormat="false" ht="15" hidden="false" customHeight="true" outlineLevel="0" collapsed="false">
      <c r="B106" s="10" t="s">
        <v>4386</v>
      </c>
      <c r="C106" s="41" t="str">
        <f aca="false">IF(C105=0,"y = LN(x)   (natural logarithm)",IF(C105=0.5,"y = SQRT(x)   (square root)",IF(C105=1,"none needed - the data is already close to normal",IF(C105=-0.5,"y = 1/SQRT(x)","y = 1/x   (reciprocal)"))))</f>
        <v>y = LN(x)   (natural logarithm)</v>
      </c>
    </row>
    <row r="107" customFormat="false" ht="15" hidden="false" customHeight="true" outlineLevel="0" collapsed="false">
      <c r="B107" s="10" t="s">
        <v>4387</v>
      </c>
      <c r="C107" s="63" t="n">
        <f aca="false">SKEW($C$70:$C$99)</f>
        <v>0.994474380660805</v>
      </c>
    </row>
    <row r="108" customFormat="false" ht="15" hidden="false" customHeight="true" outlineLevel="0" collapsed="false">
      <c r="B108" s="10" t="s">
        <v>4388</v>
      </c>
      <c r="C108" s="63" t="n">
        <f aca="false">INDEX($P$41:$AF$41,MATCH(MAX($P$40:$AF$40),$P$40:$AF$40,0))</f>
        <v>-0.073622567663252</v>
      </c>
    </row>
    <row r="109" customFormat="false" ht="15" hidden="false" customHeight="true" outlineLevel="0" collapsed="false">
      <c r="B109" s="10" t="s">
        <v>2144</v>
      </c>
      <c r="C109" s="43" t="n">
        <f aca="false">IFERROR(1-ABS(C108)/ABS(C107),0)</f>
        <v>0.925968361684359</v>
      </c>
    </row>
    <row r="110" customFormat="false" ht="15" hidden="false" customHeight="true" outlineLevel="0" collapsed="false">
      <c r="B110" s="10" t="s">
        <v>4389</v>
      </c>
      <c r="C110" s="63" t="n">
        <f aca="false">MIN($C$70:$C$99)</f>
        <v>1.5</v>
      </c>
    </row>
    <row r="111" customFormat="false" ht="15" hidden="false" customHeight="true" outlineLevel="0" collapsed="false">
      <c r="B111" s="10" t="s">
        <v>4390</v>
      </c>
      <c r="C111" s="41" t="str">
        <f aca="false">IF(C110&gt;0,"Yes - all values are strictly positive","NO - shift the data by a constant first, and record the shift")</f>
        <v>Yes - all values are strictly positive</v>
      </c>
    </row>
    <row r="113" customFormat="false" ht="15.75" hidden="false" customHeight="true" outlineLevel="0" collapsed="false">
      <c r="B113" s="7" t="s">
        <v>4391</v>
      </c>
      <c r="C113" s="8"/>
      <c r="D113" s="8"/>
      <c r="E113" s="8"/>
      <c r="F113" s="8"/>
      <c r="G113" s="8"/>
      <c r="H113" s="8"/>
      <c r="I113" s="8"/>
      <c r="J113" s="8"/>
      <c r="K113" s="8"/>
    </row>
    <row r="114" customFormat="false" ht="16.5" hidden="false" customHeight="true" outlineLevel="0" collapsed="false">
      <c r="B114" s="11" t="s">
        <v>3364</v>
      </c>
      <c r="C114" s="11" t="s">
        <v>4392</v>
      </c>
      <c r="D114" s="11" t="s">
        <v>961</v>
      </c>
    </row>
    <row r="115" customFormat="false" ht="44.25" hidden="false" customHeight="true" outlineLevel="0" collapsed="false">
      <c r="B115" s="12" t="s">
        <v>4393</v>
      </c>
      <c r="C115" s="12" t="s">
        <v>4394</v>
      </c>
      <c r="D115" s="50" t="s">
        <v>1070</v>
      </c>
    </row>
    <row r="116" customFormat="false" ht="44.25" hidden="false" customHeight="true" outlineLevel="0" collapsed="false">
      <c r="B116" s="12" t="s">
        <v>4395</v>
      </c>
      <c r="C116" s="12" t="s">
        <v>4396</v>
      </c>
      <c r="D116" s="50" t="s">
        <v>1645</v>
      </c>
    </row>
    <row r="117" customFormat="false" ht="30.75" hidden="false" customHeight="true" outlineLevel="0" collapsed="false">
      <c r="B117" s="12" t="s">
        <v>4397</v>
      </c>
      <c r="C117" s="12" t="s">
        <v>4398</v>
      </c>
      <c r="D117" s="50" t="s">
        <v>1191</v>
      </c>
    </row>
    <row r="118" customFormat="false" ht="30.75" hidden="false" customHeight="true" outlineLevel="0" collapsed="false">
      <c r="B118" s="12" t="s">
        <v>4399</v>
      </c>
      <c r="C118" s="12" t="s">
        <v>4400</v>
      </c>
      <c r="D118" s="50" t="s">
        <v>1191</v>
      </c>
    </row>
    <row r="119" customFormat="false" ht="30.75" hidden="false" customHeight="true" outlineLevel="0" collapsed="false">
      <c r="B119" s="12" t="s">
        <v>4401</v>
      </c>
      <c r="C119" s="12" t="s">
        <v>4402</v>
      </c>
      <c r="D119" s="50" t="s">
        <v>1119</v>
      </c>
    </row>
    <row r="120" customFormat="false" ht="30.75" hidden="false" customHeight="true" outlineLevel="0" collapsed="false">
      <c r="B120" s="12" t="s">
        <v>4403</v>
      </c>
      <c r="C120" s="12" t="s">
        <v>4404</v>
      </c>
      <c r="D120" s="50" t="s">
        <v>2076</v>
      </c>
    </row>
    <row r="121" customFormat="false" ht="30.75" hidden="false" customHeight="true" outlineLevel="0" collapsed="false">
      <c r="B121" s="12" t="s">
        <v>4405</v>
      </c>
      <c r="C121" s="12" t="s">
        <v>4406</v>
      </c>
      <c r="D121" s="50" t="s">
        <v>2446</v>
      </c>
    </row>
    <row r="122" customFormat="false" ht="44.25" hidden="false" customHeight="true" outlineLevel="0" collapsed="false">
      <c r="B122" s="12" t="s">
        <v>4407</v>
      </c>
      <c r="C122" s="12" t="s">
        <v>4408</v>
      </c>
      <c r="D122" s="50" t="s">
        <v>1027</v>
      </c>
    </row>
    <row r="124" customFormat="false" ht="15.75" hidden="false" customHeight="true" outlineLevel="0" collapsed="false">
      <c r="B124" s="7" t="s">
        <v>1493</v>
      </c>
      <c r="C124" s="8"/>
      <c r="D124" s="8"/>
      <c r="E124" s="8"/>
      <c r="F124" s="8"/>
      <c r="G124" s="8"/>
      <c r="H124" s="8"/>
      <c r="I124" s="8"/>
      <c r="J124" s="8"/>
      <c r="K124" s="8"/>
    </row>
    <row r="125" customFormat="false" ht="49.5" hidden="false" customHeight="true" outlineLevel="0" collapsed="false">
      <c r="B125" s="53" t="s">
        <v>1494</v>
      </c>
      <c r="C125" s="54" t="str">
        <f aca="false">IF(C111="NO - shift the data by a constant first, and record the shift","BOX-COX CANNOT RUN - the data contains a value at or below zero. Shift it, or use a nonparametric method on E-31.",IF(C105=1,"NO TRANSFORMATION NEEDED - lambda rounds to 1, so the data is already close enough to normal. If E-32 still rejects, look for mixed streams on H-09.","USE "&amp;C106&amp;"  (fitted lambda "&amp;TEXT(C103,"0.00")&amp;", rounded to "&amp;TEXT(C105,"0.0")&amp;"). Skewness falls from "&amp;TEXT(C107,"0.00")&amp;" to "&amp;TEXT(C108,"0.00")&amp;", a reduction of "&amp;TEXT(C109,"0%")&amp;". Re-run E-32 on the transformed data, and back-transform every result before reporting it."))</f>
        <v>USE y = LN(x)   (natural logarithm)  (fitted lambda -0.25, rounded to 0.0). Skewness falls from 0.99 to -0.07, a reduction of 93%. Re-run E-32 on the transformed data, and back-transform every result before reporting it.</v>
      </c>
      <c r="D125" s="54"/>
      <c r="E125" s="54"/>
      <c r="F125" s="54"/>
    </row>
    <row r="127" customFormat="false" ht="16.5" hidden="false" customHeight="true" outlineLevel="0" collapsed="false">
      <c r="B127" s="11" t="s">
        <v>1495</v>
      </c>
      <c r="C127" s="11" t="s">
        <v>1496</v>
      </c>
      <c r="D127" s="11" t="s">
        <v>1497</v>
      </c>
    </row>
    <row r="128" customFormat="false" ht="16.5" hidden="false" customHeight="true" outlineLevel="0" collapsed="false">
      <c r="B128" s="12" t="s">
        <v>4409</v>
      </c>
      <c r="C128" s="12" t="s">
        <v>4410</v>
      </c>
      <c r="D128" s="12" t="s">
        <v>4411</v>
      </c>
    </row>
    <row r="129" customFormat="false" ht="16.5" hidden="false" customHeight="true" outlineLevel="0" collapsed="false">
      <c r="B129" s="12" t="s">
        <v>4412</v>
      </c>
      <c r="C129" s="12" t="s">
        <v>4413</v>
      </c>
      <c r="D129" s="12" t="s">
        <v>4414</v>
      </c>
    </row>
    <row r="130" customFormat="false" ht="16.5" hidden="false" customHeight="true" outlineLevel="0" collapsed="false">
      <c r="B130" s="12" t="s">
        <v>4415</v>
      </c>
      <c r="C130" s="12" t="s">
        <v>4416</v>
      </c>
      <c r="D130" s="12" t="s">
        <v>4417</v>
      </c>
    </row>
    <row r="131" customFormat="false" ht="30.75" hidden="false" customHeight="true" outlineLevel="0" collapsed="false">
      <c r="B131" s="12" t="s">
        <v>4415</v>
      </c>
      <c r="C131" s="12" t="s">
        <v>4418</v>
      </c>
      <c r="D131" s="12" t="s">
        <v>4419</v>
      </c>
    </row>
    <row r="133" customFormat="false" ht="15" hidden="false" customHeight="true" outlineLevel="0" collapsed="false">
      <c r="B133" s="55" t="s">
        <v>1507</v>
      </c>
    </row>
    <row r="134" customFormat="false" ht="17.25" hidden="false" customHeight="true" outlineLevel="0" collapsed="false">
      <c r="B134" s="9" t="s">
        <v>4420</v>
      </c>
      <c r="C134" s="9"/>
      <c r="D134" s="9"/>
      <c r="E134" s="9"/>
      <c r="F134" s="9"/>
    </row>
    <row r="135" customFormat="false" ht="31.5" hidden="false" customHeight="true" outlineLevel="0" collapsed="false">
      <c r="B135" s="9" t="s">
        <v>4421</v>
      </c>
      <c r="C135" s="9"/>
      <c r="D135" s="9"/>
      <c r="E135" s="9"/>
      <c r="F135" s="9"/>
    </row>
    <row r="136" customFormat="false" ht="17.25" hidden="false" customHeight="true" outlineLevel="0" collapsed="false">
      <c r="B136" s="9" t="s">
        <v>4422</v>
      </c>
      <c r="C136" s="9"/>
      <c r="D136" s="9"/>
      <c r="E136" s="9"/>
      <c r="F136" s="9"/>
    </row>
    <row r="137" customFormat="false" ht="17.25" hidden="false" customHeight="true" outlineLevel="0" collapsed="false">
      <c r="B137" s="9" t="s">
        <v>4423</v>
      </c>
      <c r="C137" s="9"/>
      <c r="D137" s="9"/>
      <c r="E137" s="9"/>
      <c r="F137" s="9"/>
    </row>
    <row r="138" customFormat="false" ht="17.25" hidden="false" customHeight="true" outlineLevel="0" collapsed="false">
      <c r="B138" s="9" t="s">
        <v>4424</v>
      </c>
      <c r="C138" s="9"/>
      <c r="D138" s="9"/>
      <c r="E138" s="9"/>
      <c r="F138" s="9"/>
    </row>
    <row r="140" customFormat="false" ht="15.75" hidden="false" customHeight="true" outlineLevel="0" collapsed="false">
      <c r="B140" s="7" t="s">
        <v>1513</v>
      </c>
      <c r="C140" s="8"/>
      <c r="D140" s="8"/>
      <c r="E140" s="8"/>
      <c r="F140" s="8"/>
      <c r="G140" s="8"/>
      <c r="H140" s="8"/>
      <c r="I140" s="8"/>
      <c r="J140" s="8"/>
      <c r="K140" s="8"/>
    </row>
    <row r="141" customFormat="false" ht="17.25" hidden="false" customHeight="true" outlineLevel="0" collapsed="false">
      <c r="B141" s="9" t="s">
        <v>1514</v>
      </c>
      <c r="C141" s="9"/>
      <c r="D141" s="9"/>
      <c r="E141" s="9"/>
      <c r="N141" s="56" t="s">
        <v>1515</v>
      </c>
    </row>
    <row r="142" customFormat="false" ht="17.25" hidden="false" customHeight="true" outlineLevel="0" collapsed="false">
      <c r="B142" s="9" t="s">
        <v>4425</v>
      </c>
      <c r="C142" s="9"/>
      <c r="D142" s="9"/>
      <c r="E142" s="9"/>
      <c r="N142" s="57" t="s">
        <v>4426</v>
      </c>
    </row>
    <row r="143" customFormat="false" ht="17.25" hidden="false" customHeight="true" outlineLevel="0" collapsed="false">
      <c r="B143" s="9" t="s">
        <v>4427</v>
      </c>
      <c r="C143" s="9"/>
      <c r="D143" s="9"/>
      <c r="E143" s="9"/>
      <c r="N143" s="57" t="s">
        <v>4428</v>
      </c>
    </row>
    <row r="144" customFormat="false" ht="17.25" hidden="false" customHeight="true" outlineLevel="0" collapsed="false">
      <c r="B144" s="9" t="s">
        <v>4429</v>
      </c>
      <c r="C144" s="9"/>
      <c r="D144" s="9"/>
      <c r="E144" s="9"/>
      <c r="N144" s="57" t="s">
        <v>4430</v>
      </c>
    </row>
    <row r="146" customFormat="false" ht="15.75" hidden="false" customHeight="true" outlineLevel="0" collapsed="false">
      <c r="B146" s="7" t="s">
        <v>1522</v>
      </c>
      <c r="C146" s="8"/>
      <c r="D146" s="8"/>
      <c r="E146" s="8"/>
      <c r="F146" s="8"/>
      <c r="G146" s="8"/>
      <c r="H146" s="8"/>
      <c r="I146" s="8"/>
      <c r="J146" s="8"/>
      <c r="K146" s="8"/>
    </row>
    <row r="147" customFormat="false" ht="16.5" hidden="false" customHeight="true" outlineLevel="0" collapsed="false">
      <c r="B147" s="11" t="s">
        <v>1523</v>
      </c>
      <c r="C147" s="11" t="s">
        <v>1524</v>
      </c>
      <c r="D147" s="11" t="s">
        <v>1615</v>
      </c>
    </row>
    <row r="148" customFormat="false" ht="30.75" hidden="false" customHeight="true" outlineLevel="0" collapsed="false">
      <c r="B148" s="58" t="s">
        <v>964</v>
      </c>
      <c r="C148" s="58" t="s">
        <v>3375</v>
      </c>
      <c r="D148" s="58" t="s">
        <v>1191</v>
      </c>
    </row>
  </sheetData>
  <mergeCells count="50">
    <mergeCell ref="B2:J2"/>
    <mergeCell ref="D3:F3"/>
    <mergeCell ref="P7:T7"/>
    <mergeCell ref="C8:D8"/>
    <mergeCell ref="B11:C11"/>
    <mergeCell ref="B12:C12"/>
    <mergeCell ref="B13:C13"/>
    <mergeCell ref="B14:C14"/>
    <mergeCell ref="B15:C15"/>
    <mergeCell ref="B16:C16"/>
    <mergeCell ref="B17:C17"/>
    <mergeCell ref="B18:C18"/>
    <mergeCell ref="B19:C19"/>
    <mergeCell ref="B20:C20"/>
    <mergeCell ref="B21:C21"/>
    <mergeCell ref="B24:C24"/>
    <mergeCell ref="E24:F24"/>
    <mergeCell ref="B25:C25"/>
    <mergeCell ref="E25:F25"/>
    <mergeCell ref="B26:C26"/>
    <mergeCell ref="E26:F26"/>
    <mergeCell ref="B27:C27"/>
    <mergeCell ref="E27:F27"/>
    <mergeCell ref="B39:C39"/>
    <mergeCell ref="B40:C40"/>
    <mergeCell ref="B41:C41"/>
    <mergeCell ref="B43:F43"/>
    <mergeCell ref="B44:F46"/>
    <mergeCell ref="B47:F47"/>
    <mergeCell ref="B48:F48"/>
    <mergeCell ref="D51:E51"/>
    <mergeCell ref="D52:E52"/>
    <mergeCell ref="D53:E53"/>
    <mergeCell ref="D54:E54"/>
    <mergeCell ref="D55:E55"/>
    <mergeCell ref="D56:E56"/>
    <mergeCell ref="D57:E57"/>
    <mergeCell ref="B58:F58"/>
    <mergeCell ref="B61:F62"/>
    <mergeCell ref="B101:F101"/>
    <mergeCell ref="C125:F125"/>
    <mergeCell ref="B134:F134"/>
    <mergeCell ref="B135:F135"/>
    <mergeCell ref="B136:F136"/>
    <mergeCell ref="B137:F137"/>
    <mergeCell ref="B138:F138"/>
    <mergeCell ref="B141:E141"/>
    <mergeCell ref="B142:E142"/>
    <mergeCell ref="B143:E143"/>
    <mergeCell ref="B144:E144"/>
  </mergeCells>
  <hyperlinks>
    <hyperlink ref="B3" location="'N-03 Index DMAIC'!A1" display="← Back to Index"/>
    <hyperlink ref="E32" location="'H-09 Stratification'!A1" display="H-09  Stratification"/>
    <hyperlink ref="E33" location="'E-58 Non-Normal Capability'!A1" display="E-58  Non-Normal and Attribute Capability, Z-bench"/>
    <hyperlink ref="D115" location="'H-09 Stratification'!A1" display="H-09  Stratification"/>
    <hyperlink ref="D116" location="'E-47 Common vs Special Cause'!A1" display="E-47  Common Cause vs Special Cause Variation"/>
    <hyperlink ref="D117" location="'E-31 Nonparametric Tests'!A1" display="E-31  Nonparametric Tests"/>
    <hyperlink ref="D118" location="'E-31 Nonparametric Tests'!A1" display="E-31  Nonparametric Tests"/>
    <hyperlink ref="D119" location="'E-24 2-Sample t-Test'!A1" display="E-24  Two-Sample t-Test (Welch and Pooled)"/>
    <hyperlink ref="D120" location="'E-58 Non-Normal Capability'!A1" display="E-58  Non-Normal and Attribute Capability, Z-bench"/>
    <hyperlink ref="D121" location="'E-12 Weibull Expon Lognorm'!A1" display="E-12  Weibull, Exponential and Lognormal"/>
    <hyperlink ref="D122" location="'E-59 Gage R and R'!A1" display="E-59  Gage R&amp;R: ANOVA and Range Methods"/>
    <hyperlink ref="B148" location="'E-32 Normality Testing'!A1" display="E-32  Normality Testing and Probability Plots"/>
    <hyperlink ref="C148" location="'E-34 Correlation'!A1" display="E-34  Scatter Plots and Correlation"/>
    <hyperlink ref="D148" location="'E-31 Nonparametric Tests'!A1" display="E-31  Nonparametric Tes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4431</v>
      </c>
      <c r="C2" s="3"/>
      <c r="D2" s="3"/>
      <c r="E2" s="3"/>
      <c r="F2" s="3"/>
      <c r="G2" s="3"/>
      <c r="H2" s="3"/>
      <c r="I2" s="3"/>
      <c r="J2" s="3"/>
      <c r="K2" s="80" t="s">
        <v>2864</v>
      </c>
    </row>
    <row r="3" customFormat="false" ht="28.5" hidden="false" customHeight="true" outlineLevel="0" collapsed="false">
      <c r="B3" s="5" t="s">
        <v>3</v>
      </c>
      <c r="D3" s="6" t="s">
        <v>4432</v>
      </c>
      <c r="E3" s="6"/>
      <c r="F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4433</v>
      </c>
      <c r="D6" s="9"/>
    </row>
    <row r="7" customFormat="false" ht="17.25" hidden="false" customHeight="true" outlineLevel="0" collapsed="false">
      <c r="B7" s="47" t="s">
        <v>1394</v>
      </c>
      <c r="C7" s="9" t="s">
        <v>4434</v>
      </c>
      <c r="D7" s="9"/>
    </row>
    <row r="8" customFormat="false" ht="31.5" hidden="false" customHeight="true" outlineLevel="0" collapsed="false">
      <c r="B8" s="47" t="s">
        <v>1396</v>
      </c>
      <c r="C8" s="9" t="s">
        <v>4435</v>
      </c>
      <c r="D8" s="9"/>
    </row>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4436</v>
      </c>
      <c r="C11" s="9"/>
      <c r="D11" s="9"/>
      <c r="E11" s="9"/>
      <c r="F11" s="9"/>
    </row>
    <row r="12" customFormat="false" ht="10.5" hidden="false" customHeight="true" outlineLevel="0" collapsed="false">
      <c r="B12" s="9" t="s">
        <v>4437</v>
      </c>
      <c r="C12" s="9"/>
      <c r="D12" s="9"/>
      <c r="E12" s="9"/>
      <c r="F12" s="9"/>
    </row>
    <row r="13" customFormat="false" ht="10.5" hidden="false" customHeight="true" outlineLevel="0" collapsed="false">
      <c r="B13" s="9"/>
      <c r="C13" s="9"/>
      <c r="D13" s="9"/>
      <c r="E13" s="9"/>
      <c r="F13" s="9"/>
    </row>
    <row r="14" customFormat="false" ht="10.5" hidden="false" customHeight="true" outlineLevel="0" collapsed="false">
      <c r="B14" s="9"/>
      <c r="C14" s="9"/>
      <c r="D14" s="9"/>
      <c r="E14" s="9"/>
      <c r="F14" s="9"/>
    </row>
    <row r="15" customFormat="false" ht="15" hidden="false" customHeight="true" outlineLevel="0" collapsed="false">
      <c r="B15" s="9" t="s">
        <v>4438</v>
      </c>
      <c r="C15" s="9"/>
      <c r="D15" s="9"/>
      <c r="E15" s="9"/>
      <c r="F15" s="9"/>
    </row>
    <row r="16" customFormat="false" ht="15" hidden="false" customHeight="true" outlineLevel="0" collapsed="false">
      <c r="B16" s="9"/>
      <c r="C16" s="9"/>
      <c r="D16" s="9"/>
      <c r="E16" s="9"/>
      <c r="F16" s="9"/>
    </row>
    <row r="17" customFormat="false" ht="15" hidden="false" customHeight="true" outlineLevel="0" collapsed="false">
      <c r="B17" s="9"/>
      <c r="C17" s="9"/>
      <c r="D17" s="9"/>
      <c r="E17" s="9"/>
      <c r="F17" s="9"/>
    </row>
    <row r="18" customFormat="false" ht="10.5" hidden="false" customHeight="true" outlineLevel="0" collapsed="false">
      <c r="B18" s="9" t="s">
        <v>4439</v>
      </c>
      <c r="C18" s="9"/>
      <c r="D18" s="9"/>
      <c r="E18" s="9"/>
      <c r="F18" s="9"/>
    </row>
    <row r="19" customFormat="false" ht="10.5" hidden="false" customHeight="true" outlineLevel="0" collapsed="false">
      <c r="B19" s="9"/>
      <c r="C19" s="9"/>
      <c r="D19" s="9"/>
      <c r="E19" s="9"/>
      <c r="F19" s="9"/>
    </row>
    <row r="20" customFormat="false" ht="10.5" hidden="false" customHeight="true" outlineLevel="0" collapsed="false">
      <c r="B20" s="9"/>
      <c r="C20" s="9"/>
      <c r="D20" s="9"/>
      <c r="E20" s="9"/>
      <c r="F20" s="9"/>
    </row>
    <row r="21" customFormat="false" ht="15.75" hidden="false" customHeight="true" outlineLevel="0" collapsed="false">
      <c r="B21" s="9" t="s">
        <v>4440</v>
      </c>
      <c r="C21" s="9"/>
      <c r="D21" s="9"/>
      <c r="E21" s="9"/>
      <c r="F21" s="9"/>
    </row>
    <row r="22" customFormat="false" ht="15.75" hidden="false" customHeight="true" outlineLevel="0" collapsed="false">
      <c r="B22" s="9"/>
      <c r="C22" s="9"/>
      <c r="D22" s="9"/>
      <c r="E22" s="9"/>
      <c r="F22" s="9"/>
    </row>
    <row r="24" customFormat="false" ht="15.75" hidden="false" customHeight="true" outlineLevel="0" collapsed="false">
      <c r="B24" s="7" t="s">
        <v>1406</v>
      </c>
      <c r="C24" s="8"/>
      <c r="D24" s="8"/>
      <c r="E24" s="8"/>
      <c r="F24" s="8"/>
      <c r="G24" s="8"/>
      <c r="H24" s="8"/>
      <c r="I24" s="8"/>
      <c r="J24" s="8"/>
      <c r="K24" s="8"/>
    </row>
    <row r="25" customFormat="false" ht="17.25" hidden="false" customHeight="true" outlineLevel="0" collapsed="false">
      <c r="B25" s="48" t="s">
        <v>1407</v>
      </c>
      <c r="C25" s="48"/>
      <c r="E25" s="55" t="s">
        <v>1408</v>
      </c>
    </row>
    <row r="26" customFormat="false" ht="30.75" hidden="false" customHeight="true" outlineLevel="0" collapsed="false">
      <c r="B26" s="23" t="s">
        <v>4441</v>
      </c>
      <c r="C26" s="23"/>
      <c r="E26" s="82" t="s">
        <v>4442</v>
      </c>
    </row>
    <row r="27" customFormat="false" ht="30.75" hidden="false" customHeight="true" outlineLevel="0" collapsed="false">
      <c r="B27" s="23" t="s">
        <v>4443</v>
      </c>
      <c r="C27" s="23"/>
      <c r="E27" s="82" t="s">
        <v>4444</v>
      </c>
    </row>
    <row r="28" customFormat="false" ht="30.75" hidden="false" customHeight="true" outlineLevel="0" collapsed="false">
      <c r="B28" s="23" t="s">
        <v>4445</v>
      </c>
      <c r="C28" s="23"/>
      <c r="E28" s="82" t="s">
        <v>4446</v>
      </c>
    </row>
    <row r="29" customFormat="false" ht="17.25" hidden="false" customHeight="true" outlineLevel="0" collapsed="false">
      <c r="B29" s="23" t="s">
        <v>4447</v>
      </c>
      <c r="C29" s="23"/>
      <c r="D29" s="23"/>
      <c r="E29" s="23"/>
      <c r="F29" s="23"/>
    </row>
    <row r="31" customFormat="false" ht="16.5" hidden="false" customHeight="true" outlineLevel="0" collapsed="false">
      <c r="B31" s="11" t="s">
        <v>1416</v>
      </c>
      <c r="C31" s="11" t="s">
        <v>1417</v>
      </c>
      <c r="D31" s="11" t="s">
        <v>1418</v>
      </c>
      <c r="E31" s="11" t="s">
        <v>1419</v>
      </c>
    </row>
    <row r="32" customFormat="false" ht="30.75" hidden="false" customHeight="true" outlineLevel="0" collapsed="false">
      <c r="B32" s="12" t="s">
        <v>4448</v>
      </c>
      <c r="C32" s="12" t="s">
        <v>4449</v>
      </c>
      <c r="D32" s="12" t="s">
        <v>4450</v>
      </c>
      <c r="E32" s="50" t="s">
        <v>4451</v>
      </c>
    </row>
    <row r="33" customFormat="false" ht="44.25" hidden="false" customHeight="true" outlineLevel="0" collapsed="false">
      <c r="B33" s="12" t="s">
        <v>4452</v>
      </c>
      <c r="C33" s="12" t="s">
        <v>4453</v>
      </c>
      <c r="D33" s="12" t="s">
        <v>4454</v>
      </c>
      <c r="E33" s="50" t="s">
        <v>1645</v>
      </c>
    </row>
    <row r="34" customFormat="false" ht="30.75" hidden="false" customHeight="true" outlineLevel="0" collapsed="false">
      <c r="B34" s="12" t="s">
        <v>4455</v>
      </c>
      <c r="C34" s="12" t="s">
        <v>4456</v>
      </c>
      <c r="D34" s="12" t="s">
        <v>4457</v>
      </c>
      <c r="E34" s="50" t="s">
        <v>1546</v>
      </c>
    </row>
    <row r="36" customFormat="false" ht="15.75" hidden="false" customHeight="true" outlineLevel="0" collapsed="false">
      <c r="B36" s="7" t="s">
        <v>1429</v>
      </c>
      <c r="C36" s="8"/>
      <c r="D36" s="8"/>
      <c r="E36" s="8"/>
      <c r="F36" s="8"/>
      <c r="G36" s="8"/>
      <c r="H36" s="8"/>
      <c r="I36" s="8"/>
      <c r="J36" s="8"/>
      <c r="K36" s="8"/>
    </row>
    <row r="37" customFormat="false" ht="15" hidden="false" customHeight="true" outlineLevel="0" collapsed="false">
      <c r="B37" s="47" t="s">
        <v>4458</v>
      </c>
    </row>
    <row r="38" customFormat="false" ht="17.25" hidden="false" customHeight="true" outlineLevel="0" collapsed="false">
      <c r="B38" s="52" t="s">
        <v>4459</v>
      </c>
      <c r="C38" s="52"/>
      <c r="D38" s="52"/>
      <c r="E38" s="52"/>
      <c r="F38" s="52"/>
    </row>
    <row r="39" customFormat="false" ht="17.25" hidden="false" customHeight="true" outlineLevel="0" collapsed="false">
      <c r="B39" s="51" t="s">
        <v>4460</v>
      </c>
      <c r="C39" s="51"/>
      <c r="D39" s="51"/>
      <c r="E39" s="51"/>
      <c r="F39" s="51"/>
    </row>
    <row r="40" customFormat="false" ht="8.25" hidden="false" customHeight="true" outlineLevel="0" collapsed="false">
      <c r="B40" s="52" t="s">
        <v>4461</v>
      </c>
      <c r="C40" s="52"/>
      <c r="D40" s="52"/>
      <c r="E40" s="52"/>
      <c r="F40" s="52"/>
    </row>
    <row r="41" customFormat="false" ht="8.25" hidden="false" customHeight="true" outlineLevel="0" collapsed="false">
      <c r="B41" s="52"/>
      <c r="C41" s="52"/>
      <c r="D41" s="52"/>
      <c r="E41" s="52"/>
      <c r="F41" s="52"/>
    </row>
    <row r="42" customFormat="false" ht="17.25" hidden="false" customHeight="true" outlineLevel="0" collapsed="false">
      <c r="B42" s="51" t="s">
        <v>4462</v>
      </c>
      <c r="C42" s="51"/>
      <c r="D42" s="51"/>
      <c r="E42" s="51"/>
      <c r="F42" s="51"/>
    </row>
    <row r="43" customFormat="false" ht="8.25" hidden="false" customHeight="true" outlineLevel="0" collapsed="false">
      <c r="B43" s="52" t="s">
        <v>4463</v>
      </c>
      <c r="C43" s="52"/>
      <c r="D43" s="52"/>
      <c r="E43" s="52"/>
      <c r="F43" s="52"/>
    </row>
    <row r="44" customFormat="false" ht="8.25" hidden="false" customHeight="true" outlineLevel="0" collapsed="false">
      <c r="B44" s="52"/>
      <c r="C44" s="52"/>
      <c r="D44" s="52"/>
      <c r="E44" s="52"/>
      <c r="F44" s="52"/>
    </row>
    <row r="45" customFormat="false" ht="15" hidden="false" customHeight="true" outlineLevel="0" collapsed="false">
      <c r="B45" s="47" t="s">
        <v>4464</v>
      </c>
    </row>
    <row r="46" customFormat="false" ht="17.25" hidden="false" customHeight="true" outlineLevel="0" collapsed="false">
      <c r="B46" s="52" t="s">
        <v>4465</v>
      </c>
      <c r="C46" s="52"/>
      <c r="D46" s="52"/>
      <c r="E46" s="52"/>
      <c r="F46" s="52"/>
    </row>
    <row r="47" customFormat="false" ht="15" hidden="false" customHeight="true" outlineLevel="0" collapsed="false">
      <c r="B47" s="47" t="s">
        <v>4466</v>
      </c>
    </row>
    <row r="48" customFormat="false" ht="17.25" hidden="false" customHeight="true" outlineLevel="0" collapsed="false">
      <c r="B48" s="52" t="s">
        <v>4467</v>
      </c>
      <c r="C48" s="52"/>
      <c r="D48" s="52"/>
      <c r="E48" s="52"/>
      <c r="F48" s="52"/>
    </row>
    <row r="50" customFormat="false" ht="15.75" hidden="false" customHeight="true" outlineLevel="0" collapsed="false">
      <c r="B50" s="7" t="s">
        <v>1437</v>
      </c>
      <c r="C50" s="8"/>
      <c r="D50" s="8"/>
      <c r="E50" s="8"/>
      <c r="F50" s="8"/>
      <c r="G50" s="8"/>
      <c r="H50" s="8"/>
      <c r="I50" s="8"/>
      <c r="J50" s="8"/>
      <c r="K50" s="8"/>
    </row>
    <row r="51" customFormat="false" ht="16.5" hidden="false" customHeight="true" outlineLevel="0" collapsed="false">
      <c r="B51" s="11" t="s">
        <v>1438</v>
      </c>
      <c r="C51" s="11" t="s">
        <v>1439</v>
      </c>
      <c r="D51" s="11" t="s">
        <v>1440</v>
      </c>
    </row>
    <row r="52" customFormat="false" ht="16.5" hidden="false" customHeight="true" outlineLevel="0" collapsed="false">
      <c r="B52" s="12" t="s">
        <v>2502</v>
      </c>
      <c r="C52" s="12" t="s">
        <v>2503</v>
      </c>
      <c r="D52" s="12" t="s">
        <v>4468</v>
      </c>
    </row>
    <row r="53" customFormat="false" ht="30.75" hidden="false" customHeight="true" outlineLevel="0" collapsed="false">
      <c r="B53" s="12" t="s">
        <v>4469</v>
      </c>
      <c r="C53" s="12" t="s">
        <v>4470</v>
      </c>
      <c r="D53" s="12" t="s">
        <v>4471</v>
      </c>
    </row>
    <row r="54" customFormat="false" ht="30.75" hidden="false" customHeight="true" outlineLevel="0" collapsed="false">
      <c r="B54" s="12" t="s">
        <v>2496</v>
      </c>
      <c r="C54" s="12" t="s">
        <v>2497</v>
      </c>
      <c r="D54" s="12" t="s">
        <v>4472</v>
      </c>
    </row>
    <row r="55" customFormat="false" ht="30.75" hidden="false" customHeight="true" outlineLevel="0" collapsed="false">
      <c r="B55" s="12" t="s">
        <v>4473</v>
      </c>
      <c r="C55" s="12" t="s">
        <v>4474</v>
      </c>
      <c r="D55" s="12" t="s">
        <v>4475</v>
      </c>
    </row>
    <row r="56" customFormat="false" ht="30.75" hidden="false" customHeight="true" outlineLevel="0" collapsed="false">
      <c r="B56" s="12" t="s">
        <v>2211</v>
      </c>
      <c r="C56" s="12" t="s">
        <v>4476</v>
      </c>
      <c r="D56" s="12" t="s">
        <v>4477</v>
      </c>
    </row>
    <row r="57" customFormat="false" ht="30.75" hidden="false" customHeight="true" outlineLevel="0" collapsed="false">
      <c r="B57" s="12" t="s">
        <v>1574</v>
      </c>
      <c r="C57" s="12" t="s">
        <v>2810</v>
      </c>
      <c r="D57" s="12" t="s">
        <v>4478</v>
      </c>
    </row>
    <row r="58" customFormat="false" ht="28.5" hidden="false" customHeight="true" outlineLevel="0" collapsed="false">
      <c r="B58" s="16" t="s">
        <v>1453</v>
      </c>
      <c r="C58" s="16"/>
      <c r="D58" s="16"/>
      <c r="E58" s="16"/>
      <c r="F58" s="16"/>
    </row>
    <row r="60" customFormat="false" ht="15.75" hidden="false" customHeight="true" outlineLevel="0" collapsed="false">
      <c r="B60" s="7" t="s">
        <v>1454</v>
      </c>
      <c r="C60" s="8"/>
      <c r="D60" s="8"/>
      <c r="E60" s="8"/>
      <c r="F60" s="8"/>
      <c r="G60" s="8"/>
      <c r="H60" s="8"/>
      <c r="I60" s="8"/>
      <c r="J60" s="8"/>
      <c r="K60" s="8"/>
    </row>
    <row r="61" customFormat="false" ht="15.75" hidden="false" customHeight="true" outlineLevel="0" collapsed="false">
      <c r="B61" s="9" t="s">
        <v>4479</v>
      </c>
      <c r="C61" s="9"/>
      <c r="D61" s="9"/>
      <c r="E61" s="9"/>
      <c r="F61" s="9"/>
    </row>
    <row r="62" customFormat="false" ht="15.75" hidden="false" customHeight="true" outlineLevel="0" collapsed="false">
      <c r="B62" s="9"/>
      <c r="C62" s="9"/>
      <c r="D62" s="9"/>
      <c r="E62" s="9"/>
      <c r="F62" s="9"/>
    </row>
    <row r="63" customFormat="false" ht="15" hidden="false" customHeight="true" outlineLevel="0" collapsed="false">
      <c r="B63" s="19" t="s">
        <v>85</v>
      </c>
      <c r="C63" s="41" t="s">
        <v>86</v>
      </c>
    </row>
    <row r="65" customFormat="false" ht="16.5" hidden="false" customHeight="true" outlineLevel="0" collapsed="false">
      <c r="C65" s="11" t="s">
        <v>4480</v>
      </c>
      <c r="D65" s="11" t="s">
        <v>4481</v>
      </c>
      <c r="E65" s="89" t="s">
        <v>4482</v>
      </c>
      <c r="F65" s="89" t="s">
        <v>4483</v>
      </c>
    </row>
    <row r="66" customFormat="false" ht="15" hidden="false" customHeight="true" outlineLevel="0" collapsed="false">
      <c r="C66" s="75" t="n">
        <v>108</v>
      </c>
      <c r="D66" s="75" t="n">
        <v>0.3285</v>
      </c>
      <c r="E66" s="44" t="n">
        <f aca="false">RANK(C66,$C$66:$C$90,1)</f>
        <v>1</v>
      </c>
      <c r="F66" s="44" t="n">
        <f aca="false">RANK(D66,$D$66:$D$90,1)</f>
        <v>18</v>
      </c>
    </row>
    <row r="67" customFormat="false" ht="15" hidden="false" customHeight="true" outlineLevel="0" collapsed="false">
      <c r="C67" s="75" t="n">
        <v>108.7</v>
      </c>
      <c r="D67" s="75" t="n">
        <v>0.3321</v>
      </c>
      <c r="E67" s="44" t="n">
        <f aca="false">RANK(C67,$C$66:$C$90,1)</f>
        <v>2</v>
      </c>
      <c r="F67" s="44" t="n">
        <f aca="false">RANK(D67,$D$66:$D$90,1)</f>
        <v>21</v>
      </c>
    </row>
    <row r="68" customFormat="false" ht="15" hidden="false" customHeight="true" outlineLevel="0" collapsed="false">
      <c r="C68" s="75" t="n">
        <v>109.3</v>
      </c>
      <c r="D68" s="75" t="n">
        <v>0.3413</v>
      </c>
      <c r="E68" s="44" t="n">
        <f aca="false">RANK(C68,$C$66:$C$90,1)</f>
        <v>3</v>
      </c>
      <c r="F68" s="44" t="n">
        <f aca="false">RANK(D68,$D$66:$D$90,1)</f>
        <v>24</v>
      </c>
    </row>
    <row r="69" customFormat="false" ht="15" hidden="false" customHeight="true" outlineLevel="0" collapsed="false">
      <c r="C69" s="75" t="n">
        <v>110</v>
      </c>
      <c r="D69" s="75" t="n">
        <v>0.3189</v>
      </c>
      <c r="E69" s="44" t="n">
        <f aca="false">RANK(C69,$C$66:$C$90,1)</f>
        <v>4</v>
      </c>
      <c r="F69" s="44" t="n">
        <f aca="false">RANK(D69,$D$66:$D$90,1)</f>
        <v>14</v>
      </c>
    </row>
    <row r="70" customFormat="false" ht="15" hidden="false" customHeight="true" outlineLevel="0" collapsed="false">
      <c r="C70" s="75" t="n">
        <v>110.7</v>
      </c>
      <c r="D70" s="75" t="n">
        <v>0.3356</v>
      </c>
      <c r="E70" s="44" t="n">
        <f aca="false">RANK(C70,$C$66:$C$90,1)</f>
        <v>5</v>
      </c>
      <c r="F70" s="44" t="n">
        <f aca="false">RANK(D70,$D$66:$D$90,1)</f>
        <v>22</v>
      </c>
    </row>
    <row r="71" customFormat="false" ht="15" hidden="false" customHeight="true" outlineLevel="0" collapsed="false">
      <c r="C71" s="75" t="n">
        <v>111.3</v>
      </c>
      <c r="D71" s="75" t="n">
        <v>0.34</v>
      </c>
      <c r="E71" s="44" t="n">
        <f aca="false">RANK(C71,$C$66:$C$90,1)</f>
        <v>6</v>
      </c>
      <c r="F71" s="44" t="n">
        <f aca="false">RANK(D71,$D$66:$D$90,1)</f>
        <v>23</v>
      </c>
    </row>
    <row r="72" customFormat="false" ht="15" hidden="false" customHeight="true" outlineLevel="0" collapsed="false">
      <c r="C72" s="75" t="n">
        <v>112</v>
      </c>
      <c r="D72" s="75" t="n">
        <v>0.3307</v>
      </c>
      <c r="E72" s="44" t="n">
        <f aca="false">RANK(C72,$C$66:$C$90,1)</f>
        <v>7</v>
      </c>
      <c r="F72" s="44" t="n">
        <f aca="false">RANK(D72,$D$66:$D$90,1)</f>
        <v>20</v>
      </c>
    </row>
    <row r="73" customFormat="false" ht="15" hidden="false" customHeight="true" outlineLevel="0" collapsed="false">
      <c r="C73" s="75" t="n">
        <v>112.7</v>
      </c>
      <c r="D73" s="75" t="n">
        <v>0.3297</v>
      </c>
      <c r="E73" s="44" t="n">
        <f aca="false">RANK(C73,$C$66:$C$90,1)</f>
        <v>8</v>
      </c>
      <c r="F73" s="44" t="n">
        <f aca="false">RANK(D73,$D$66:$D$90,1)</f>
        <v>19</v>
      </c>
    </row>
    <row r="74" customFormat="false" ht="15" hidden="false" customHeight="true" outlineLevel="0" collapsed="false">
      <c r="C74" s="75" t="n">
        <v>113.3</v>
      </c>
      <c r="D74" s="75" t="n">
        <v>0.3432</v>
      </c>
      <c r="E74" s="44" t="n">
        <f aca="false">RANK(C74,$C$66:$C$90,1)</f>
        <v>9</v>
      </c>
      <c r="F74" s="44" t="n">
        <f aca="false">RANK(D74,$D$66:$D$90,1)</f>
        <v>25</v>
      </c>
    </row>
    <row r="75" customFormat="false" ht="15" hidden="false" customHeight="true" outlineLevel="0" collapsed="false">
      <c r="C75" s="75" t="n">
        <v>114</v>
      </c>
      <c r="D75" s="75" t="n">
        <v>0.3283</v>
      </c>
      <c r="E75" s="44" t="n">
        <f aca="false">RANK(C75,$C$66:$C$90,1)</f>
        <v>10</v>
      </c>
      <c r="F75" s="44" t="n">
        <f aca="false">RANK(D75,$D$66:$D$90,1)</f>
        <v>17</v>
      </c>
    </row>
    <row r="76" customFormat="false" ht="15" hidden="false" customHeight="true" outlineLevel="0" collapsed="false">
      <c r="C76" s="75" t="n">
        <v>114.7</v>
      </c>
      <c r="D76" s="75" t="n">
        <v>0.3082</v>
      </c>
      <c r="E76" s="44" t="n">
        <f aca="false">RANK(C76,$C$66:$C$90,1)</f>
        <v>11</v>
      </c>
      <c r="F76" s="44" t="n">
        <f aca="false">RANK(D76,$D$66:$D$90,1)</f>
        <v>8</v>
      </c>
    </row>
    <row r="77" customFormat="false" ht="15" hidden="false" customHeight="true" outlineLevel="0" collapsed="false">
      <c r="C77" s="75" t="n">
        <v>115.3</v>
      </c>
      <c r="D77" s="75" t="n">
        <v>0.3118</v>
      </c>
      <c r="E77" s="44" t="n">
        <f aca="false">RANK(C77,$C$66:$C$90,1)</f>
        <v>12</v>
      </c>
      <c r="F77" s="44" t="n">
        <f aca="false">RANK(D77,$D$66:$D$90,1)</f>
        <v>10</v>
      </c>
    </row>
    <row r="78" customFormat="false" ht="15" hidden="false" customHeight="true" outlineLevel="0" collapsed="false">
      <c r="C78" s="75" t="n">
        <v>116</v>
      </c>
      <c r="D78" s="75" t="n">
        <v>0.3201</v>
      </c>
      <c r="E78" s="44" t="n">
        <f aca="false">RANK(C78,$C$66:$C$90,1)</f>
        <v>13</v>
      </c>
      <c r="F78" s="44" t="n">
        <f aca="false">RANK(D78,$D$66:$D$90,1)</f>
        <v>15</v>
      </c>
    </row>
    <row r="79" customFormat="false" ht="15" hidden="false" customHeight="true" outlineLevel="0" collapsed="false">
      <c r="C79" s="75" t="n">
        <v>116.7</v>
      </c>
      <c r="D79" s="75" t="n">
        <v>0.3115</v>
      </c>
      <c r="E79" s="44" t="n">
        <f aca="false">RANK(C79,$C$66:$C$90,1)</f>
        <v>14</v>
      </c>
      <c r="F79" s="44" t="n">
        <f aca="false">RANK(D79,$D$66:$D$90,1)</f>
        <v>9</v>
      </c>
    </row>
    <row r="80" customFormat="false" ht="15" hidden="false" customHeight="true" outlineLevel="0" collapsed="false">
      <c r="C80" s="75" t="n">
        <v>117.3</v>
      </c>
      <c r="D80" s="75" t="n">
        <v>0.321</v>
      </c>
      <c r="E80" s="44" t="n">
        <f aca="false">RANK(C80,$C$66:$C$90,1)</f>
        <v>15</v>
      </c>
      <c r="F80" s="44" t="n">
        <f aca="false">RANK(D80,$D$66:$D$90,1)</f>
        <v>16</v>
      </c>
    </row>
    <row r="81" customFormat="false" ht="15" hidden="false" customHeight="true" outlineLevel="0" collapsed="false">
      <c r="C81" s="75" t="n">
        <v>118</v>
      </c>
      <c r="D81" s="75" t="n">
        <v>0.3151</v>
      </c>
      <c r="E81" s="44" t="n">
        <f aca="false">RANK(C81,$C$66:$C$90,1)</f>
        <v>16</v>
      </c>
      <c r="F81" s="44" t="n">
        <f aca="false">RANK(D81,$D$66:$D$90,1)</f>
        <v>11</v>
      </c>
    </row>
    <row r="82" customFormat="false" ht="15" hidden="false" customHeight="true" outlineLevel="0" collapsed="false">
      <c r="C82" s="75" t="n">
        <v>118.7</v>
      </c>
      <c r="D82" s="75" t="n">
        <v>0.3165</v>
      </c>
      <c r="E82" s="44" t="n">
        <f aca="false">RANK(C82,$C$66:$C$90,1)</f>
        <v>17</v>
      </c>
      <c r="F82" s="44" t="n">
        <f aca="false">RANK(D82,$D$66:$D$90,1)</f>
        <v>12</v>
      </c>
    </row>
    <row r="83" customFormat="false" ht="15" hidden="false" customHeight="true" outlineLevel="0" collapsed="false">
      <c r="C83" s="75" t="n">
        <v>119.3</v>
      </c>
      <c r="D83" s="75" t="n">
        <v>0.3007</v>
      </c>
      <c r="E83" s="44" t="n">
        <f aca="false">RANK(C83,$C$66:$C$90,1)</f>
        <v>18</v>
      </c>
      <c r="F83" s="44" t="n">
        <f aca="false">RANK(D83,$D$66:$D$90,1)</f>
        <v>3</v>
      </c>
    </row>
    <row r="84" customFormat="false" ht="15" hidden="false" customHeight="true" outlineLevel="0" collapsed="false">
      <c r="C84" s="75" t="n">
        <v>120</v>
      </c>
      <c r="D84" s="75" t="n">
        <v>0.3026</v>
      </c>
      <c r="E84" s="44" t="n">
        <f aca="false">RANK(C84,$C$66:$C$90,1)</f>
        <v>19</v>
      </c>
      <c r="F84" s="44" t="n">
        <f aca="false">RANK(D84,$D$66:$D$90,1)</f>
        <v>5</v>
      </c>
    </row>
    <row r="85" customFormat="false" ht="15" hidden="false" customHeight="true" outlineLevel="0" collapsed="false">
      <c r="C85" s="75" t="n">
        <v>120.7</v>
      </c>
      <c r="D85" s="75" t="n">
        <v>0.3058</v>
      </c>
      <c r="E85" s="44" t="n">
        <f aca="false">RANK(C85,$C$66:$C$90,1)</f>
        <v>20</v>
      </c>
      <c r="F85" s="44" t="n">
        <f aca="false">RANK(D85,$D$66:$D$90,1)</f>
        <v>7</v>
      </c>
    </row>
    <row r="86" customFormat="false" ht="15" hidden="false" customHeight="true" outlineLevel="0" collapsed="false">
      <c r="C86" s="75" t="n">
        <v>121.3</v>
      </c>
      <c r="D86" s="75" t="n">
        <v>0.3187</v>
      </c>
      <c r="E86" s="44" t="n">
        <f aca="false">RANK(C86,$C$66:$C$90,1)</f>
        <v>21</v>
      </c>
      <c r="F86" s="44" t="n">
        <f aca="false">RANK(D86,$D$66:$D$90,1)</f>
        <v>13</v>
      </c>
    </row>
    <row r="87" customFormat="false" ht="15" hidden="false" customHeight="true" outlineLevel="0" collapsed="false">
      <c r="C87" s="75" t="n">
        <v>122</v>
      </c>
      <c r="D87" s="75" t="n">
        <v>0.3053</v>
      </c>
      <c r="E87" s="44" t="n">
        <f aca="false">RANK(C87,$C$66:$C$90,1)</f>
        <v>22</v>
      </c>
      <c r="F87" s="44" t="n">
        <f aca="false">RANK(D87,$D$66:$D$90,1)</f>
        <v>6</v>
      </c>
    </row>
    <row r="88" customFormat="false" ht="15" hidden="false" customHeight="true" outlineLevel="0" collapsed="false">
      <c r="C88" s="75" t="n">
        <v>122.7</v>
      </c>
      <c r="D88" s="75" t="n">
        <v>0.301</v>
      </c>
      <c r="E88" s="44" t="n">
        <f aca="false">RANK(C88,$C$66:$C$90,1)</f>
        <v>23</v>
      </c>
      <c r="F88" s="44" t="n">
        <f aca="false">RANK(D88,$D$66:$D$90,1)</f>
        <v>4</v>
      </c>
    </row>
    <row r="89" customFormat="false" ht="15" hidden="false" customHeight="true" outlineLevel="0" collapsed="false">
      <c r="C89" s="75" t="n">
        <v>123.3</v>
      </c>
      <c r="D89" s="75" t="n">
        <v>0.2951</v>
      </c>
      <c r="E89" s="44" t="n">
        <f aca="false">RANK(C89,$C$66:$C$90,1)</f>
        <v>24</v>
      </c>
      <c r="F89" s="44" t="n">
        <f aca="false">RANK(D89,$D$66:$D$90,1)</f>
        <v>1</v>
      </c>
    </row>
    <row r="90" customFormat="false" ht="15" hidden="false" customHeight="true" outlineLevel="0" collapsed="false">
      <c r="C90" s="75" t="n">
        <v>124</v>
      </c>
      <c r="D90" s="75" t="n">
        <v>0.2983</v>
      </c>
      <c r="E90" s="44" t="n">
        <f aca="false">RANK(C90,$C$66:$C$90,1)</f>
        <v>25</v>
      </c>
      <c r="F90" s="44" t="n">
        <f aca="false">RANK(D90,$D$66:$D$90,1)</f>
        <v>2</v>
      </c>
    </row>
    <row r="92" customFormat="false" ht="15" hidden="false" customHeight="true" outlineLevel="0" collapsed="false">
      <c r="B92" s="10" t="s">
        <v>2228</v>
      </c>
      <c r="C92" s="75" t="n">
        <v>0.05</v>
      </c>
    </row>
    <row r="93" customFormat="false" ht="15" hidden="false" customHeight="true" outlineLevel="0" collapsed="false">
      <c r="B93" s="10" t="s">
        <v>1584</v>
      </c>
      <c r="C93" s="62" t="n">
        <v>0.95</v>
      </c>
    </row>
    <row r="95" customFormat="false" ht="15" hidden="false" customHeight="true" outlineLevel="0" collapsed="false">
      <c r="B95" s="10" t="s">
        <v>1769</v>
      </c>
      <c r="C95" s="44" t="n">
        <f aca="false">COUNT($C$66:$C$90)</f>
        <v>25</v>
      </c>
    </row>
    <row r="96" customFormat="false" ht="15" hidden="false" customHeight="true" outlineLevel="0" collapsed="false">
      <c r="B96" s="10" t="s">
        <v>4484</v>
      </c>
      <c r="C96" s="66" t="n">
        <f aca="false">CORREL($C$66:$C$90,$D$66:$D$90)</f>
        <v>-0.831896524190342</v>
      </c>
    </row>
    <row r="97" customFormat="false" ht="15" hidden="false" customHeight="true" outlineLevel="0" collapsed="false">
      <c r="B97" s="10" t="s">
        <v>4485</v>
      </c>
      <c r="C97" s="76" t="n">
        <f aca="false">RSQ($D$66:$D$90,$C$66:$C$90)</f>
        <v>0.692051826959973</v>
      </c>
    </row>
    <row r="98" customFormat="false" ht="15" hidden="false" customHeight="true" outlineLevel="0" collapsed="false">
      <c r="B98" s="10" t="s">
        <v>4486</v>
      </c>
      <c r="C98" s="66" t="n">
        <f aca="false">CORREL($E$66:$E$90,$F$66:$F$90)</f>
        <v>-0.840769230769231</v>
      </c>
    </row>
    <row r="99" customFormat="false" ht="15" hidden="false" customHeight="true" outlineLevel="0" collapsed="false">
      <c r="B99" s="10" t="s">
        <v>4487</v>
      </c>
      <c r="C99" s="63" t="n">
        <f aca="false">ABS(C96-C98)</f>
        <v>0.00887270657888872</v>
      </c>
    </row>
    <row r="100" customFormat="false" ht="15" hidden="false" customHeight="true" outlineLevel="0" collapsed="false">
      <c r="B100" s="10" t="s">
        <v>3257</v>
      </c>
      <c r="C100" s="66" t="n">
        <f aca="false">IFERROR(C96*SQRT((C95-2)/(1-C96^2)),0)</f>
        <v>-7.18942920950381</v>
      </c>
    </row>
    <row r="101" customFormat="false" ht="15" hidden="false" customHeight="true" outlineLevel="0" collapsed="false">
      <c r="B101" s="10" t="s">
        <v>2423</v>
      </c>
      <c r="C101" s="72" t="n">
        <f aca="false">TDIST(ABS(C100),C95-2,2)</f>
        <v>2.5488401216555E-007</v>
      </c>
    </row>
    <row r="102" customFormat="false" ht="15" hidden="false" customHeight="true" outlineLevel="0" collapsed="false">
      <c r="B102" s="10" t="s">
        <v>4488</v>
      </c>
      <c r="C102" s="66" t="n">
        <f aca="false">FISHER(C96)</f>
        <v>-1.19426367198689</v>
      </c>
    </row>
    <row r="103" customFormat="false" ht="15" hidden="false" customHeight="true" outlineLevel="0" collapsed="false">
      <c r="B103" s="10" t="s">
        <v>4489</v>
      </c>
      <c r="C103" s="66" t="n">
        <f aca="false">1/SQRT(C95-3)</f>
        <v>0.21320071635561</v>
      </c>
    </row>
    <row r="104" customFormat="false" ht="15" hidden="false" customHeight="true" outlineLevel="0" collapsed="false">
      <c r="B104" s="10" t="s">
        <v>4490</v>
      </c>
      <c r="C104" s="66" t="n">
        <f aca="false">FISHERINV(C102-NORMSINV(1-(1-C93)/2)*C103)</f>
        <v>-0.923474084073792</v>
      </c>
    </row>
    <row r="105" customFormat="false" ht="15" hidden="false" customHeight="true" outlineLevel="0" collapsed="false">
      <c r="B105" s="10" t="s">
        <v>4491</v>
      </c>
      <c r="C105" s="66" t="n">
        <f aca="false">FISHERINV(C102+NORMSINV(1-(1-C93)/2)*C103)</f>
        <v>-0.650634357734152</v>
      </c>
    </row>
    <row r="106" customFormat="false" ht="15" hidden="false" customHeight="true" outlineLevel="0" collapsed="false">
      <c r="B106" s="10" t="s">
        <v>4492</v>
      </c>
      <c r="C106" s="66" t="n">
        <f aca="false">TINV(C92,C95-2)/SQRT(C95-2+TINV(C92,C95-2)^2)</f>
        <v>0.396069729346972</v>
      </c>
    </row>
    <row r="108" customFormat="false" ht="15.75" hidden="false" customHeight="true" outlineLevel="0" collapsed="false">
      <c r="B108" s="7" t="s">
        <v>1493</v>
      </c>
      <c r="C108" s="8"/>
      <c r="D108" s="8"/>
      <c r="E108" s="8"/>
      <c r="F108" s="8"/>
      <c r="G108" s="8"/>
      <c r="H108" s="8"/>
      <c r="I108" s="8"/>
      <c r="J108" s="8"/>
      <c r="K108" s="8"/>
    </row>
    <row r="109" customFormat="false" ht="49.5" hidden="false" customHeight="true" outlineLevel="0" collapsed="false">
      <c r="B109" s="53" t="s">
        <v>1494</v>
      </c>
      <c r="C109" s="54" t="str">
        <f aca="false">IF(C101&lt;C92,"SIGNIFICANT CORRELATION  r = "&amp;TEXT(C96,"0.000")&amp;" (95% CI "&amp;TEXT(C104,"0.00")&amp;" to "&amp;TEXT(C105,"0.00")&amp;"), explaining "&amp;TEXT(C97,"0.0%")&amp;" of the variation. "&amp;IF(C99&gt;0.1,"WARNING: Pearson and Spearman differ by "&amp;TEXT(C99,"0.00")&amp;" - suspect a curved relationship or an influential outlier. Look at the plot.","Pearson and Spearman agree, so the relationship is monotonic and reasonably linear.")&amp;" Correlation is not causation: go to E-35.","NO SIGNIFICANT CORRELATION (r = "&amp;TEXT(C96,"0.000")&amp;", p = "&amp;TEXT(C101,"0.000")&amp;"). Check the plot for a curved relationship, which Pearson r cannot detect, and check that the range of X was wide enough to reveal one.")</f>
        <v>SIGNIFICANT CORRELATION  r = -0.832 (95% CI -0.92 to -0.65), explaining 69.2% of the variation. Pearson and Spearman agree, so the relationship is monotonic and reasonably linear. Correlation is not causation: go to E-35.</v>
      </c>
      <c r="D109" s="54"/>
      <c r="E109" s="54"/>
      <c r="F109" s="54"/>
    </row>
    <row r="111" customFormat="false" ht="16.5" hidden="false" customHeight="true" outlineLevel="0" collapsed="false">
      <c r="B111" s="11" t="s">
        <v>1495</v>
      </c>
      <c r="C111" s="11" t="s">
        <v>1496</v>
      </c>
      <c r="D111" s="11" t="s">
        <v>1497</v>
      </c>
    </row>
    <row r="112" customFormat="false" ht="30.75" hidden="false" customHeight="true" outlineLevel="0" collapsed="false">
      <c r="B112" s="12" t="s">
        <v>4493</v>
      </c>
      <c r="C112" s="12" t="s">
        <v>4494</v>
      </c>
      <c r="D112" s="12" t="s">
        <v>4495</v>
      </c>
    </row>
    <row r="113" customFormat="false" ht="30.75" hidden="false" customHeight="true" outlineLevel="0" collapsed="false">
      <c r="B113" s="12" t="s">
        <v>4485</v>
      </c>
      <c r="C113" s="12" t="s">
        <v>4496</v>
      </c>
      <c r="D113" s="12" t="s">
        <v>4497</v>
      </c>
    </row>
    <row r="114" customFormat="false" ht="30.75" hidden="false" customHeight="true" outlineLevel="0" collapsed="false">
      <c r="B114" s="12" t="s">
        <v>4487</v>
      </c>
      <c r="C114" s="12" t="s">
        <v>4498</v>
      </c>
      <c r="D114" s="12" t="s">
        <v>4499</v>
      </c>
    </row>
    <row r="115" customFormat="false" ht="16.5" hidden="false" customHeight="true" outlineLevel="0" collapsed="false">
      <c r="B115" s="12" t="s">
        <v>4500</v>
      </c>
      <c r="C115" s="12" t="s">
        <v>3545</v>
      </c>
      <c r="D115" s="12" t="s">
        <v>4022</v>
      </c>
    </row>
    <row r="117" customFormat="false" ht="15" hidden="false" customHeight="true" outlineLevel="0" collapsed="false">
      <c r="B117" s="55" t="s">
        <v>1507</v>
      </c>
    </row>
    <row r="118" customFormat="false" ht="17.25" hidden="false" customHeight="true" outlineLevel="0" collapsed="false">
      <c r="B118" s="9" t="s">
        <v>4501</v>
      </c>
      <c r="C118" s="9"/>
      <c r="D118" s="9"/>
      <c r="E118" s="9"/>
      <c r="F118" s="9"/>
    </row>
    <row r="119" customFormat="false" ht="17.25" hidden="false" customHeight="true" outlineLevel="0" collapsed="false">
      <c r="B119" s="9" t="s">
        <v>4502</v>
      </c>
      <c r="C119" s="9"/>
      <c r="D119" s="9"/>
      <c r="E119" s="9"/>
      <c r="F119" s="9"/>
    </row>
    <row r="120" customFormat="false" ht="17.25" hidden="false" customHeight="true" outlineLevel="0" collapsed="false">
      <c r="B120" s="9" t="s">
        <v>4503</v>
      </c>
      <c r="C120" s="9"/>
      <c r="D120" s="9"/>
      <c r="E120" s="9"/>
      <c r="F120" s="9"/>
    </row>
    <row r="121" customFormat="false" ht="17.25" hidden="false" customHeight="true" outlineLevel="0" collapsed="false">
      <c r="B121" s="9" t="s">
        <v>4504</v>
      </c>
      <c r="C121" s="9"/>
      <c r="D121" s="9"/>
      <c r="E121" s="9"/>
      <c r="F121" s="9"/>
    </row>
    <row r="122" customFormat="false" ht="17.25" hidden="false" customHeight="true" outlineLevel="0" collapsed="false">
      <c r="B122" s="9" t="s">
        <v>4505</v>
      </c>
      <c r="C122" s="9"/>
      <c r="D122" s="9"/>
      <c r="E122" s="9"/>
      <c r="F122" s="9"/>
    </row>
    <row r="124" customFormat="false" ht="15.75" hidden="false" customHeight="true" outlineLevel="0" collapsed="false">
      <c r="B124" s="7" t="s">
        <v>1513</v>
      </c>
      <c r="C124" s="8"/>
      <c r="D124" s="8"/>
      <c r="E124" s="8"/>
      <c r="F124" s="8"/>
      <c r="G124" s="8"/>
      <c r="H124" s="8"/>
      <c r="I124" s="8"/>
      <c r="J124" s="8"/>
      <c r="K124" s="8"/>
    </row>
    <row r="125" customFormat="false" ht="17.25" hidden="false" customHeight="true" outlineLevel="0" collapsed="false">
      <c r="B125" s="9" t="s">
        <v>1514</v>
      </c>
      <c r="C125" s="9"/>
      <c r="D125" s="9"/>
      <c r="E125" s="9"/>
      <c r="F125" s="9"/>
      <c r="N125" s="56" t="s">
        <v>1515</v>
      </c>
    </row>
    <row r="126" customFormat="false" ht="17.25" hidden="false" customHeight="true" outlineLevel="0" collapsed="false">
      <c r="B126" s="9" t="s">
        <v>4506</v>
      </c>
      <c r="C126" s="9"/>
      <c r="D126" s="9"/>
      <c r="E126" s="9"/>
      <c r="F126" s="9"/>
      <c r="N126" s="57" t="s">
        <v>4507</v>
      </c>
    </row>
    <row r="127" customFormat="false" ht="17.25" hidden="false" customHeight="true" outlineLevel="0" collapsed="false">
      <c r="B127" s="9" t="s">
        <v>4508</v>
      </c>
      <c r="C127" s="9"/>
      <c r="D127" s="9"/>
      <c r="E127" s="9"/>
      <c r="F127" s="9"/>
      <c r="N127" s="57" t="s">
        <v>4509</v>
      </c>
    </row>
    <row r="128" customFormat="false" ht="17.25" hidden="false" customHeight="true" outlineLevel="0" collapsed="false">
      <c r="B128" s="9" t="s">
        <v>4510</v>
      </c>
      <c r="C128" s="9"/>
      <c r="D128" s="9"/>
      <c r="E128" s="9"/>
      <c r="F128" s="9"/>
      <c r="N128" s="57" t="s">
        <v>4511</v>
      </c>
    </row>
    <row r="130" customFormat="false" ht="15.75" hidden="false" customHeight="true" outlineLevel="0" collapsed="false">
      <c r="B130" s="7" t="s">
        <v>1522</v>
      </c>
      <c r="C130" s="8"/>
      <c r="D130" s="8"/>
      <c r="E130" s="8"/>
      <c r="F130" s="8"/>
      <c r="G130" s="8"/>
      <c r="H130" s="8"/>
      <c r="I130" s="8"/>
      <c r="J130" s="8"/>
      <c r="K130" s="8"/>
    </row>
    <row r="131" customFormat="false" ht="16.5" hidden="false" customHeight="true" outlineLevel="0" collapsed="false">
      <c r="B131" s="11" t="s">
        <v>1523</v>
      </c>
      <c r="C131" s="11" t="s">
        <v>1524</v>
      </c>
      <c r="D131" s="11" t="s">
        <v>1615</v>
      </c>
    </row>
    <row r="132" customFormat="false" ht="30.75" hidden="false" customHeight="true" outlineLevel="0" collapsed="false">
      <c r="B132" s="58" t="s">
        <v>970</v>
      </c>
      <c r="C132" s="58" t="s">
        <v>4512</v>
      </c>
      <c r="D132" s="58" t="s">
        <v>1134</v>
      </c>
    </row>
  </sheetData>
  <mergeCells count="34">
    <mergeCell ref="B2:J2"/>
    <mergeCell ref="D3:F3"/>
    <mergeCell ref="C6:D6"/>
    <mergeCell ref="C7:D7"/>
    <mergeCell ref="C8:D8"/>
    <mergeCell ref="B11:F11"/>
    <mergeCell ref="B12:F14"/>
    <mergeCell ref="B15:F17"/>
    <mergeCell ref="B18:F20"/>
    <mergeCell ref="B21:F22"/>
    <mergeCell ref="B25:C25"/>
    <mergeCell ref="B26:C26"/>
    <mergeCell ref="B27:C27"/>
    <mergeCell ref="B28:C28"/>
    <mergeCell ref="B29:F29"/>
    <mergeCell ref="B38:F38"/>
    <mergeCell ref="B39:F39"/>
    <mergeCell ref="B40:F41"/>
    <mergeCell ref="B42:F42"/>
    <mergeCell ref="B43:F44"/>
    <mergeCell ref="B46:F46"/>
    <mergeCell ref="B48:F48"/>
    <mergeCell ref="B58:F58"/>
    <mergeCell ref="B61:F62"/>
    <mergeCell ref="C109:F109"/>
    <mergeCell ref="B118:F118"/>
    <mergeCell ref="B119:F119"/>
    <mergeCell ref="B120:F120"/>
    <mergeCell ref="B121:F121"/>
    <mergeCell ref="B122:F122"/>
    <mergeCell ref="B125:F125"/>
    <mergeCell ref="B126:F126"/>
    <mergeCell ref="B127:F127"/>
    <mergeCell ref="B128:F128"/>
  </mergeCells>
  <hyperlinks>
    <hyperlink ref="B3" location="'N-03 Index DMAIC'!A1" display="← Back to Index"/>
    <hyperlink ref="E32" location="'E-46 Response Surface'!A1" display="E-46  Response Surface Methods and Optimisation"/>
    <hyperlink ref="E33" location="'E-47 Common vs Special Cause'!A1" display="E-47  Common Cause vs Special Cause Variation"/>
    <hyperlink ref="E34" location="'E-05 Sampling Subgroups'!A1" display="E-05  Sampling Strategies and Rational Subgrouping"/>
    <hyperlink ref="B132" location="'E-33 When Assumptions Fail'!A1" display="E-33  When Assumptions Fail: Transformations and Alternatives"/>
    <hyperlink ref="C132" location="'E-35 Correlation vs Causation'!A1" display="E-35  Correlation, Causation and Confounding"/>
    <hyperlink ref="D132" location="'E-36 Simple Regression'!A1" display="E-36  Simple Linear Regress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4513</v>
      </c>
      <c r="C2" s="3"/>
      <c r="D2" s="3"/>
      <c r="E2" s="3"/>
      <c r="F2" s="3"/>
      <c r="G2" s="3"/>
      <c r="H2" s="3"/>
      <c r="I2" s="3"/>
      <c r="J2" s="3"/>
      <c r="K2" s="80" t="s">
        <v>2864</v>
      </c>
    </row>
    <row r="3" customFormat="false" ht="28.5" hidden="false" customHeight="true" outlineLevel="0" collapsed="false">
      <c r="B3" s="5" t="s">
        <v>3</v>
      </c>
      <c r="D3" s="6" t="s">
        <v>4514</v>
      </c>
      <c r="E3" s="6"/>
      <c r="F3" s="6"/>
    </row>
    <row r="5" customFormat="false" ht="15.75" hidden="false" customHeight="true" outlineLevel="0" collapsed="false">
      <c r="B5" s="7" t="s">
        <v>1391</v>
      </c>
      <c r="C5" s="8"/>
      <c r="D5" s="8"/>
      <c r="E5" s="8"/>
      <c r="F5" s="8"/>
      <c r="G5" s="8"/>
      <c r="H5" s="8"/>
      <c r="I5" s="8"/>
      <c r="J5" s="8"/>
      <c r="K5" s="8"/>
    </row>
    <row r="6" customFormat="false" ht="15" hidden="false" customHeight="true" outlineLevel="0" collapsed="false">
      <c r="B6" s="47" t="s">
        <v>1392</v>
      </c>
      <c r="C6" s="79" t="s">
        <v>4515</v>
      </c>
    </row>
    <row r="7" customFormat="false" ht="15" hidden="false" customHeight="true" outlineLevel="0" collapsed="false">
      <c r="B7" s="47" t="s">
        <v>1394</v>
      </c>
      <c r="C7" s="79" t="s">
        <v>4516</v>
      </c>
    </row>
    <row r="8" customFormat="false" ht="15" hidden="false" customHeight="true" outlineLevel="0" collapsed="false">
      <c r="B8" s="47" t="s">
        <v>1396</v>
      </c>
      <c r="C8" s="79" t="s">
        <v>4517</v>
      </c>
    </row>
    <row r="10" customFormat="false" ht="15.75" hidden="false" customHeight="true" outlineLevel="0" collapsed="false">
      <c r="B10" s="7" t="s">
        <v>1398</v>
      </c>
      <c r="C10" s="8"/>
      <c r="D10" s="8"/>
      <c r="E10" s="8"/>
      <c r="F10" s="8"/>
      <c r="G10" s="8"/>
      <c r="H10" s="8"/>
      <c r="I10" s="8"/>
      <c r="J10" s="8"/>
      <c r="K10" s="8"/>
    </row>
    <row r="11" customFormat="false" ht="17.25" hidden="false" customHeight="true" outlineLevel="0" collapsed="false">
      <c r="B11" s="9" t="s">
        <v>4518</v>
      </c>
      <c r="C11" s="9"/>
      <c r="D11" s="9"/>
      <c r="E11" s="9"/>
      <c r="F11" s="9"/>
    </row>
    <row r="12" customFormat="false" ht="10.5" hidden="false" customHeight="true" outlineLevel="0" collapsed="false">
      <c r="B12" s="9" t="s">
        <v>4519</v>
      </c>
      <c r="C12" s="9"/>
      <c r="D12" s="9"/>
      <c r="E12" s="9"/>
      <c r="F12" s="9"/>
    </row>
    <row r="13" customFormat="false" ht="10.5" hidden="false" customHeight="true" outlineLevel="0" collapsed="false">
      <c r="B13" s="9"/>
      <c r="C13" s="9"/>
      <c r="D13" s="9"/>
      <c r="E13" s="9"/>
      <c r="F13" s="9"/>
    </row>
    <row r="14" customFormat="false" ht="10.5" hidden="false" customHeight="true" outlineLevel="0" collapsed="false">
      <c r="B14" s="9"/>
      <c r="C14" s="9"/>
      <c r="D14" s="9"/>
      <c r="E14" s="9"/>
      <c r="F14" s="9"/>
    </row>
    <row r="15" customFormat="false" ht="17.25" hidden="false" customHeight="true" outlineLevel="0" collapsed="false">
      <c r="B15" s="9" t="s">
        <v>4520</v>
      </c>
      <c r="C15" s="9"/>
      <c r="D15" s="9"/>
      <c r="E15" s="9"/>
      <c r="F15" s="9"/>
    </row>
    <row r="16" customFormat="false" ht="15.75" hidden="false" customHeight="true" outlineLevel="0" collapsed="false">
      <c r="B16" s="9" t="s">
        <v>4521</v>
      </c>
      <c r="C16" s="9"/>
      <c r="D16" s="9"/>
      <c r="E16" s="9"/>
      <c r="F16" s="9"/>
    </row>
    <row r="17" customFormat="false" ht="15.75" hidden="false" customHeight="true" outlineLevel="0" collapsed="false">
      <c r="B17" s="9"/>
      <c r="C17" s="9"/>
      <c r="D17" s="9"/>
      <c r="E17" s="9"/>
      <c r="F17" s="9"/>
    </row>
    <row r="18" customFormat="false" ht="17.25" hidden="false" customHeight="true" outlineLevel="0" collapsed="false">
      <c r="B18" s="9" t="s">
        <v>4522</v>
      </c>
      <c r="C18" s="9"/>
      <c r="D18" s="9"/>
      <c r="E18" s="9"/>
      <c r="F18" s="9"/>
    </row>
    <row r="19" customFormat="false" ht="10.5" hidden="false" customHeight="true" outlineLevel="0" collapsed="false">
      <c r="B19" s="9" t="s">
        <v>4523</v>
      </c>
      <c r="C19" s="9"/>
      <c r="D19" s="9"/>
      <c r="E19" s="9"/>
      <c r="F19" s="9"/>
    </row>
    <row r="20" customFormat="false" ht="10.5" hidden="false" customHeight="true" outlineLevel="0" collapsed="false">
      <c r="B20" s="9"/>
      <c r="C20" s="9"/>
      <c r="D20" s="9"/>
      <c r="E20" s="9"/>
      <c r="F20" s="9"/>
    </row>
    <row r="21" customFormat="false" ht="10.5" hidden="false" customHeight="true" outlineLevel="0" collapsed="false">
      <c r="B21" s="9"/>
      <c r="C21" s="9"/>
      <c r="D21" s="9"/>
      <c r="E21" s="9"/>
      <c r="F21" s="9"/>
    </row>
    <row r="22" customFormat="false" ht="15.75" hidden="false" customHeight="true" outlineLevel="0" collapsed="false">
      <c r="B22" s="9" t="s">
        <v>4524</v>
      </c>
      <c r="C22" s="9"/>
      <c r="D22" s="9"/>
      <c r="E22" s="9"/>
      <c r="F22" s="9"/>
    </row>
    <row r="23" customFormat="false" ht="15.75" hidden="false" customHeight="true" outlineLevel="0" collapsed="false">
      <c r="B23" s="9"/>
      <c r="C23" s="9"/>
      <c r="D23" s="9"/>
      <c r="E23" s="9"/>
      <c r="F23" s="9"/>
    </row>
    <row r="25" customFormat="false" ht="15.75" hidden="false" customHeight="true" outlineLevel="0" collapsed="false">
      <c r="B25" s="7" t="s">
        <v>1406</v>
      </c>
      <c r="C25" s="8"/>
      <c r="D25" s="8"/>
      <c r="E25" s="8"/>
      <c r="F25" s="8"/>
      <c r="G25" s="8"/>
      <c r="H25" s="8"/>
      <c r="I25" s="8"/>
      <c r="J25" s="8"/>
      <c r="K25" s="8"/>
    </row>
    <row r="26" customFormat="false" ht="17.25" hidden="false" customHeight="true" outlineLevel="0" collapsed="false">
      <c r="B26" s="48" t="s">
        <v>1407</v>
      </c>
      <c r="C26" s="48"/>
      <c r="D26" s="48"/>
      <c r="E26" s="55" t="s">
        <v>1408</v>
      </c>
    </row>
    <row r="27" customFormat="false" ht="30.75" hidden="false" customHeight="true" outlineLevel="0" collapsed="false">
      <c r="B27" s="23" t="s">
        <v>4525</v>
      </c>
      <c r="C27" s="23"/>
      <c r="D27" s="23"/>
      <c r="E27" s="82" t="s">
        <v>4526</v>
      </c>
    </row>
    <row r="28" customFormat="false" ht="30.75" hidden="false" customHeight="true" outlineLevel="0" collapsed="false">
      <c r="B28" s="23" t="s">
        <v>4527</v>
      </c>
      <c r="C28" s="23"/>
      <c r="D28" s="23"/>
      <c r="E28" s="82" t="s">
        <v>4528</v>
      </c>
    </row>
    <row r="29" customFormat="false" ht="30.75" hidden="false" customHeight="true" outlineLevel="0" collapsed="false">
      <c r="B29" s="23" t="s">
        <v>4529</v>
      </c>
      <c r="C29" s="23"/>
      <c r="D29" s="23"/>
      <c r="E29" s="82" t="s">
        <v>4530</v>
      </c>
    </row>
    <row r="30" customFormat="false" ht="17.25" hidden="false" customHeight="true" outlineLevel="0" collapsed="false">
      <c r="B30" s="23" t="s">
        <v>4531</v>
      </c>
      <c r="C30" s="23"/>
      <c r="D30" s="23"/>
      <c r="E30" s="23"/>
      <c r="F30" s="23"/>
    </row>
    <row r="32" customFormat="false" ht="16.5" hidden="false" customHeight="true" outlineLevel="0" collapsed="false">
      <c r="B32" s="11" t="s">
        <v>1416</v>
      </c>
      <c r="C32" s="11" t="s">
        <v>1417</v>
      </c>
      <c r="D32" s="11" t="s">
        <v>1418</v>
      </c>
      <c r="E32" s="11" t="s">
        <v>1419</v>
      </c>
    </row>
    <row r="33" customFormat="false" ht="44.25" hidden="false" customHeight="true" outlineLevel="0" collapsed="false">
      <c r="B33" s="12" t="s">
        <v>4532</v>
      </c>
      <c r="C33" s="12" t="s">
        <v>4533</v>
      </c>
      <c r="D33" s="12" t="s">
        <v>4534</v>
      </c>
      <c r="E33" s="50" t="s">
        <v>1025</v>
      </c>
    </row>
    <row r="34" customFormat="false" ht="30.75" hidden="false" customHeight="true" outlineLevel="0" collapsed="false">
      <c r="B34" s="12" t="s">
        <v>4535</v>
      </c>
      <c r="C34" s="12" t="s">
        <v>4536</v>
      </c>
      <c r="D34" s="12" t="s">
        <v>4537</v>
      </c>
      <c r="E34" s="50" t="s">
        <v>3375</v>
      </c>
    </row>
    <row r="35" customFormat="false" ht="30.75" hidden="false" customHeight="true" outlineLevel="0" collapsed="false">
      <c r="B35" s="12" t="s">
        <v>4538</v>
      </c>
      <c r="C35" s="12" t="s">
        <v>4539</v>
      </c>
      <c r="D35" s="12" t="s">
        <v>4540</v>
      </c>
      <c r="E35" s="50" t="s">
        <v>1078</v>
      </c>
    </row>
    <row r="37" customFormat="false" ht="15.75" hidden="false" customHeight="true" outlineLevel="0" collapsed="false">
      <c r="B37" s="7" t="s">
        <v>1429</v>
      </c>
      <c r="C37" s="8"/>
      <c r="D37" s="8"/>
      <c r="E37" s="8"/>
      <c r="F37" s="8"/>
      <c r="G37" s="8"/>
      <c r="H37" s="8"/>
      <c r="I37" s="8"/>
      <c r="J37" s="8"/>
      <c r="K37" s="8"/>
    </row>
    <row r="38" customFormat="false" ht="17.25" hidden="false" customHeight="true" outlineLevel="0" collapsed="false">
      <c r="B38" s="51" t="s">
        <v>4541</v>
      </c>
      <c r="C38" s="51"/>
      <c r="D38" s="51"/>
      <c r="E38" s="51"/>
      <c r="F38" s="51"/>
    </row>
    <row r="39" customFormat="false" ht="17.25" hidden="false" customHeight="true" outlineLevel="0" collapsed="false">
      <c r="B39" s="52" t="s">
        <v>4542</v>
      </c>
      <c r="C39" s="52"/>
      <c r="D39" s="52"/>
      <c r="E39" s="52"/>
      <c r="F39" s="52"/>
    </row>
    <row r="40" customFormat="false" ht="17.25" hidden="false" customHeight="true" outlineLevel="0" collapsed="false">
      <c r="B40" s="51" t="s">
        <v>4543</v>
      </c>
      <c r="C40" s="51"/>
      <c r="D40" s="51"/>
      <c r="E40" s="51"/>
      <c r="F40" s="51"/>
    </row>
    <row r="41" customFormat="false" ht="17.25" hidden="false" customHeight="true" outlineLevel="0" collapsed="false">
      <c r="B41" s="52" t="s">
        <v>4544</v>
      </c>
      <c r="C41" s="52"/>
      <c r="D41" s="52"/>
      <c r="E41" s="52"/>
      <c r="F41" s="52"/>
    </row>
    <row r="42" customFormat="false" ht="17.25" hidden="false" customHeight="true" outlineLevel="0" collapsed="false">
      <c r="B42" s="51" t="s">
        <v>4545</v>
      </c>
      <c r="C42" s="51"/>
      <c r="D42" s="51"/>
      <c r="E42" s="51"/>
      <c r="F42" s="51"/>
    </row>
    <row r="43" customFormat="false" ht="17.25" hidden="false" customHeight="true" outlineLevel="0" collapsed="false">
      <c r="B43" s="52" t="s">
        <v>4546</v>
      </c>
      <c r="C43" s="52"/>
      <c r="D43" s="52"/>
      <c r="E43" s="52"/>
      <c r="F43" s="52"/>
    </row>
    <row r="44" customFormat="false" ht="17.25" hidden="false" customHeight="true" outlineLevel="0" collapsed="false">
      <c r="B44" s="51" t="s">
        <v>4547</v>
      </c>
      <c r="C44" s="51"/>
      <c r="D44" s="51"/>
      <c r="E44" s="51"/>
      <c r="F44" s="51"/>
    </row>
    <row r="45" customFormat="false" ht="17.25" hidden="false" customHeight="true" outlineLevel="0" collapsed="false">
      <c r="B45" s="52" t="s">
        <v>4548</v>
      </c>
      <c r="C45" s="52"/>
      <c r="D45" s="52"/>
      <c r="E45" s="52"/>
      <c r="F45" s="52"/>
    </row>
    <row r="47" customFormat="false" ht="15.75" hidden="false" customHeight="true" outlineLevel="0" collapsed="false">
      <c r="B47" s="7" t="s">
        <v>1437</v>
      </c>
      <c r="C47" s="8"/>
      <c r="D47" s="8"/>
      <c r="E47" s="8"/>
      <c r="F47" s="8"/>
      <c r="G47" s="8"/>
      <c r="H47" s="8"/>
      <c r="I47" s="8"/>
      <c r="J47" s="8"/>
      <c r="K47" s="8"/>
    </row>
    <row r="48" customFormat="false" ht="16.5" hidden="false" customHeight="true" outlineLevel="0" collapsed="false">
      <c r="B48" s="11" t="s">
        <v>1438</v>
      </c>
      <c r="C48" s="11" t="s">
        <v>1439</v>
      </c>
      <c r="D48" s="11" t="s">
        <v>1440</v>
      </c>
    </row>
    <row r="49" customFormat="false" ht="30.75" hidden="false" customHeight="true" outlineLevel="0" collapsed="false">
      <c r="B49" s="12" t="s">
        <v>2502</v>
      </c>
      <c r="C49" s="12" t="s">
        <v>2503</v>
      </c>
      <c r="D49" s="12" t="s">
        <v>4549</v>
      </c>
    </row>
    <row r="50" customFormat="false" ht="30.75" hidden="false" customHeight="true" outlineLevel="0" collapsed="false">
      <c r="B50" s="12" t="s">
        <v>1571</v>
      </c>
      <c r="C50" s="12" t="s">
        <v>1572</v>
      </c>
      <c r="D50" s="12" t="s">
        <v>4550</v>
      </c>
    </row>
    <row r="51" customFormat="false" ht="30.75" hidden="false" customHeight="true" outlineLevel="0" collapsed="false">
      <c r="B51" s="12" t="s">
        <v>2211</v>
      </c>
      <c r="C51" s="12" t="s">
        <v>4551</v>
      </c>
      <c r="D51" s="12" t="s">
        <v>4552</v>
      </c>
    </row>
    <row r="52" customFormat="false" ht="30.75" hidden="false" customHeight="true" outlineLevel="0" collapsed="false">
      <c r="B52" s="12" t="s">
        <v>1577</v>
      </c>
      <c r="C52" s="12" t="s">
        <v>1578</v>
      </c>
      <c r="D52" s="12" t="s">
        <v>4553</v>
      </c>
    </row>
    <row r="53" customFormat="false" ht="16.5" hidden="false" customHeight="true" outlineLevel="0" collapsed="false">
      <c r="B53" s="12" t="s">
        <v>1920</v>
      </c>
      <c r="C53" s="12" t="s">
        <v>1921</v>
      </c>
      <c r="D53" s="12" t="s">
        <v>4554</v>
      </c>
    </row>
    <row r="54" customFormat="false" ht="28.5" hidden="false" customHeight="true" outlineLevel="0" collapsed="false">
      <c r="B54" s="16" t="s">
        <v>1453</v>
      </c>
      <c r="C54" s="16"/>
      <c r="D54" s="16"/>
      <c r="E54" s="16"/>
      <c r="F54" s="16"/>
    </row>
    <row r="56" customFormat="false" ht="15.75" hidden="false" customHeight="true" outlineLevel="0" collapsed="false">
      <c r="B56" s="7" t="s">
        <v>1454</v>
      </c>
      <c r="C56" s="8"/>
      <c r="D56" s="8"/>
      <c r="E56" s="8"/>
      <c r="F56" s="8"/>
      <c r="G56" s="8"/>
      <c r="H56" s="8"/>
      <c r="I56" s="8"/>
      <c r="J56" s="8"/>
      <c r="K56" s="8"/>
    </row>
    <row r="57" customFormat="false" ht="10.5" hidden="false" customHeight="true" outlineLevel="0" collapsed="false">
      <c r="B57" s="9" t="s">
        <v>4555</v>
      </c>
      <c r="C57" s="9"/>
      <c r="D57" s="9"/>
      <c r="E57" s="9"/>
      <c r="F57" s="9"/>
    </row>
    <row r="58" customFormat="false" ht="10.5" hidden="false" customHeight="true" outlineLevel="0" collapsed="false">
      <c r="B58" s="9"/>
      <c r="C58" s="9"/>
      <c r="D58" s="9"/>
      <c r="E58" s="9"/>
      <c r="F58" s="9"/>
    </row>
    <row r="59" customFormat="false" ht="10.5" hidden="false" customHeight="true" outlineLevel="0" collapsed="false">
      <c r="B59" s="9"/>
      <c r="C59" s="9"/>
      <c r="D59" s="9"/>
      <c r="E59" s="9"/>
      <c r="F59" s="9"/>
    </row>
    <row r="60" customFormat="false" ht="15" hidden="false" customHeight="true" outlineLevel="0" collapsed="false">
      <c r="B60" s="19" t="s">
        <v>85</v>
      </c>
      <c r="C60" s="41" t="s">
        <v>86</v>
      </c>
    </row>
    <row r="62" customFormat="false" ht="15" hidden="false" customHeight="true" outlineLevel="0" collapsed="false">
      <c r="B62" s="10" t="s">
        <v>4556</v>
      </c>
      <c r="C62" s="75" t="n">
        <v>0.68</v>
      </c>
    </row>
    <row r="63" customFormat="false" ht="15" hidden="false" customHeight="true" outlineLevel="0" collapsed="false">
      <c r="B63" s="10" t="s">
        <v>4557</v>
      </c>
      <c r="C63" s="75" t="n">
        <v>0.82</v>
      </c>
    </row>
    <row r="64" customFormat="false" ht="15" hidden="false" customHeight="true" outlineLevel="0" collapsed="false">
      <c r="B64" s="10" t="s">
        <v>4558</v>
      </c>
      <c r="C64" s="75" t="n">
        <v>0.79</v>
      </c>
    </row>
    <row r="65" customFormat="false" ht="15" hidden="false" customHeight="true" outlineLevel="0" collapsed="false">
      <c r="B65" s="10" t="s">
        <v>4559</v>
      </c>
      <c r="C65" s="65" t="n">
        <v>60</v>
      </c>
    </row>
    <row r="66" customFormat="false" ht="15" hidden="false" customHeight="true" outlineLevel="0" collapsed="false">
      <c r="B66" s="10" t="s">
        <v>2228</v>
      </c>
      <c r="C66" s="75" t="n">
        <v>0.05</v>
      </c>
    </row>
    <row r="68" customFormat="false" ht="15" hidden="false" customHeight="true" outlineLevel="0" collapsed="false">
      <c r="B68" s="10" t="s">
        <v>4560</v>
      </c>
      <c r="C68" s="66" t="n">
        <f aca="false">IFERROR((C62-C63*C64)/SQRT((1-C63^2)*(1-C64^2)),0)</f>
        <v>0.0917588078101512</v>
      </c>
    </row>
    <row r="69" customFormat="false" ht="15" hidden="false" customHeight="true" outlineLevel="0" collapsed="false">
      <c r="B69" s="10" t="s">
        <v>4561</v>
      </c>
      <c r="C69" s="66" t="n">
        <f aca="false">IFERROR(C68*SQRT((C65-3)/(1-C68^2)),0)</f>
        <v>0.695698778011811</v>
      </c>
    </row>
    <row r="70" customFormat="false" ht="15" hidden="false" customHeight="true" outlineLevel="0" collapsed="false">
      <c r="B70" s="10" t="s">
        <v>3007</v>
      </c>
      <c r="C70" s="77" t="n">
        <f aca="false">TDIST(ABS(C69),C65-3,2)</f>
        <v>0.489444373949231</v>
      </c>
    </row>
    <row r="71" customFormat="false" ht="15" hidden="false" customHeight="true" outlineLevel="0" collapsed="false">
      <c r="B71" s="10" t="s">
        <v>4562</v>
      </c>
      <c r="C71" s="76" t="n">
        <f aca="false">IFERROR(1-ABS(C68)/ABS(C62),0)</f>
        <v>0.865060576749778</v>
      </c>
    </row>
    <row r="72" customFormat="false" ht="15" hidden="false" customHeight="true" outlineLevel="0" collapsed="false">
      <c r="B72" s="10" t="s">
        <v>4563</v>
      </c>
      <c r="C72" s="76" t="n">
        <f aca="false">C62^2</f>
        <v>0.4624</v>
      </c>
    </row>
    <row r="73" customFormat="false" ht="15" hidden="false" customHeight="true" outlineLevel="0" collapsed="false">
      <c r="B73" s="10" t="s">
        <v>4564</v>
      </c>
      <c r="C73" s="76" t="n">
        <f aca="false">C68^2</f>
        <v>0.00841967881074026</v>
      </c>
    </row>
    <row r="75" customFormat="false" ht="15.75" hidden="false" customHeight="true" outlineLevel="0" collapsed="false">
      <c r="B75" s="7" t="s">
        <v>4565</v>
      </c>
      <c r="C75" s="8"/>
      <c r="D75" s="8"/>
      <c r="E75" s="8"/>
      <c r="F75" s="8"/>
      <c r="G75" s="8"/>
      <c r="H75" s="8"/>
      <c r="I75" s="8"/>
      <c r="J75" s="8"/>
      <c r="K75" s="8"/>
    </row>
    <row r="76" customFormat="false" ht="30.75" hidden="false" customHeight="true" outlineLevel="0" collapsed="false">
      <c r="B76" s="11" t="s">
        <v>1495</v>
      </c>
      <c r="C76" s="11" t="s">
        <v>4566</v>
      </c>
      <c r="D76" s="11" t="s">
        <v>1375</v>
      </c>
    </row>
    <row r="77" customFormat="false" ht="44.25" hidden="false" customHeight="true" outlineLevel="0" collapsed="false">
      <c r="B77" s="12" t="s">
        <v>4567</v>
      </c>
      <c r="C77" s="12" t="s">
        <v>4568</v>
      </c>
      <c r="D77" s="19" t="s">
        <v>98</v>
      </c>
    </row>
    <row r="78" customFormat="false" ht="44.25" hidden="false" customHeight="true" outlineLevel="0" collapsed="false">
      <c r="B78" s="12" t="s">
        <v>4569</v>
      </c>
      <c r="C78" s="12" t="s">
        <v>4570</v>
      </c>
      <c r="D78" s="19" t="s">
        <v>98</v>
      </c>
    </row>
    <row r="79" customFormat="false" ht="30.75" hidden="false" customHeight="true" outlineLevel="0" collapsed="false">
      <c r="B79" s="12" t="s">
        <v>4571</v>
      </c>
      <c r="C79" s="12" t="s">
        <v>4572</v>
      </c>
      <c r="D79" s="19" t="s">
        <v>98</v>
      </c>
    </row>
    <row r="80" customFormat="false" ht="44.25" hidden="false" customHeight="true" outlineLevel="0" collapsed="false">
      <c r="B80" s="12" t="s">
        <v>4573</v>
      </c>
      <c r="C80" s="12" t="s">
        <v>4574</v>
      </c>
      <c r="D80" s="19" t="s">
        <v>98</v>
      </c>
    </row>
    <row r="81" customFormat="false" ht="44.25" hidden="false" customHeight="true" outlineLevel="0" collapsed="false">
      <c r="B81" s="12" t="s">
        <v>4575</v>
      </c>
      <c r="C81" s="12" t="s">
        <v>4576</v>
      </c>
      <c r="D81" s="19" t="s">
        <v>98</v>
      </c>
    </row>
    <row r="82" customFormat="false" ht="44.25" hidden="false" customHeight="true" outlineLevel="0" collapsed="false">
      <c r="B82" s="12" t="s">
        <v>4577</v>
      </c>
      <c r="C82" s="12" t="s">
        <v>4578</v>
      </c>
      <c r="D82" s="19" t="s">
        <v>98</v>
      </c>
    </row>
    <row r="83" customFormat="false" ht="30.75" hidden="false" customHeight="true" outlineLevel="0" collapsed="false">
      <c r="B83" s="12" t="s">
        <v>4579</v>
      </c>
      <c r="C83" s="12" t="s">
        <v>4580</v>
      </c>
      <c r="D83" s="19" t="s">
        <v>98</v>
      </c>
    </row>
    <row r="85" customFormat="false" ht="15" hidden="false" customHeight="true" outlineLevel="0" collapsed="false">
      <c r="B85" s="10" t="s">
        <v>4581</v>
      </c>
      <c r="C85" s="43" t="n">
        <f aca="false">IFERROR(COUNTIF($D$77:$D$83,"Yes")/COUNTA($D$77:$D$83),0)</f>
        <v>0</v>
      </c>
    </row>
    <row r="86" customFormat="false" ht="15" hidden="false" customHeight="true" outlineLevel="0" collapsed="false">
      <c r="B86" s="10" t="s">
        <v>4582</v>
      </c>
      <c r="C86" s="41" t="str">
        <f aca="false">INDEX($D$77:$D$83,6)</f>
        <v>No</v>
      </c>
    </row>
    <row r="88" customFormat="false" ht="15.75" hidden="false" customHeight="true" outlineLevel="0" collapsed="false">
      <c r="B88" s="7" t="s">
        <v>4583</v>
      </c>
      <c r="C88" s="8"/>
      <c r="D88" s="8"/>
      <c r="E88" s="8"/>
      <c r="F88" s="8"/>
      <c r="G88" s="8"/>
      <c r="H88" s="8"/>
      <c r="I88" s="8"/>
      <c r="J88" s="8"/>
      <c r="K88" s="8"/>
    </row>
    <row r="89" customFormat="false" ht="30.75" hidden="false" customHeight="true" outlineLevel="0" collapsed="false">
      <c r="B89" s="11" t="s">
        <v>4584</v>
      </c>
      <c r="C89" s="11" t="s">
        <v>4585</v>
      </c>
      <c r="D89" s="11" t="s">
        <v>4586</v>
      </c>
    </row>
    <row r="90" customFormat="false" ht="16.5" hidden="false" customHeight="true" outlineLevel="0" collapsed="false">
      <c r="B90" s="12" t="s">
        <v>4587</v>
      </c>
      <c r="C90" s="19" t="s">
        <v>98</v>
      </c>
      <c r="D90" s="19"/>
    </row>
    <row r="91" customFormat="false" ht="16.5" hidden="false" customHeight="true" outlineLevel="0" collapsed="false">
      <c r="B91" s="12" t="s">
        <v>4588</v>
      </c>
      <c r="C91" s="19" t="s">
        <v>98</v>
      </c>
      <c r="D91" s="19"/>
    </row>
    <row r="92" customFormat="false" ht="16.5" hidden="false" customHeight="true" outlineLevel="0" collapsed="false">
      <c r="B92" s="12" t="s">
        <v>4589</v>
      </c>
      <c r="C92" s="19" t="s">
        <v>98</v>
      </c>
      <c r="D92" s="19"/>
    </row>
    <row r="93" customFormat="false" ht="16.5" hidden="false" customHeight="true" outlineLevel="0" collapsed="false">
      <c r="B93" s="12" t="s">
        <v>4590</v>
      </c>
      <c r="C93" s="19" t="s">
        <v>98</v>
      </c>
      <c r="D93" s="19"/>
    </row>
    <row r="94" customFormat="false" ht="16.5" hidden="false" customHeight="true" outlineLevel="0" collapsed="false">
      <c r="B94" s="12" t="s">
        <v>4591</v>
      </c>
      <c r="C94" s="19" t="s">
        <v>98</v>
      </c>
      <c r="D94" s="19"/>
    </row>
    <row r="95" customFormat="false" ht="16.5" hidden="false" customHeight="true" outlineLevel="0" collapsed="false">
      <c r="B95" s="12" t="s">
        <v>4592</v>
      </c>
      <c r="C95" s="19" t="s">
        <v>98</v>
      </c>
      <c r="D95" s="19"/>
    </row>
    <row r="96" customFormat="false" ht="16.5" hidden="false" customHeight="true" outlineLevel="0" collapsed="false">
      <c r="B96" s="12" t="s">
        <v>4593</v>
      </c>
      <c r="C96" s="19" t="s">
        <v>98</v>
      </c>
      <c r="D96" s="19"/>
    </row>
    <row r="98" customFormat="false" ht="15.75" hidden="false" customHeight="true" outlineLevel="0" collapsed="false">
      <c r="B98" s="7" t="s">
        <v>1493</v>
      </c>
      <c r="C98" s="8"/>
      <c r="D98" s="8"/>
      <c r="E98" s="8"/>
      <c r="F98" s="8"/>
      <c r="G98" s="8"/>
      <c r="H98" s="8"/>
      <c r="I98" s="8"/>
      <c r="J98" s="8"/>
      <c r="K98" s="8"/>
    </row>
    <row r="99" customFormat="false" ht="33.75" hidden="false" customHeight="true" outlineLevel="0" collapsed="false">
      <c r="B99" s="53" t="s">
        <v>1494</v>
      </c>
      <c r="C99" s="54" t="str">
        <f aca="false">IF(C71&gt;0.5,"CONFOUNDED - controlling for Z removes "&amp;TEXT(C71,"0%")&amp;" of the correlation. The partial correlation is only "&amp;TEXT(C68,"0.00")&amp;", so X is largely a passenger. Do NOT act on X; act on Z, or stratify the data on H-09 and re-analyse.",IF(AND(C70&lt;C66,C86="Yes"),"CAUSATION WELL SUPPORTED - the association survives controlling for Z, and a deliberate experiment moved Y. Proceed to a countermeasure.",IF(C70&lt;C66,"ASSOCIATION SURVIVES the confounder, but no experiment has been run. Treat it as a strong hypothesis and confirm it with a designed experiment on E-42 before spending capital.","ASSOCIATION DOES NOT SURVIVE - once Z is held constant the relationship is no longer significant.")))</f>
        <v>CONFOUNDED - controlling for Z removes 87% of the correlation. The partial correlation is only 0.09, so X is largely a passenger. Do NOT act on X; act on Z, or stratify the data on H-09 and re-analyse.</v>
      </c>
      <c r="D99" s="54"/>
      <c r="E99" s="54"/>
      <c r="F99" s="54"/>
    </row>
    <row r="101" customFormat="false" ht="16.5" hidden="false" customHeight="true" outlineLevel="0" collapsed="false">
      <c r="B101" s="11" t="s">
        <v>1495</v>
      </c>
      <c r="C101" s="11" t="s">
        <v>1496</v>
      </c>
      <c r="D101" s="11" t="s">
        <v>1497</v>
      </c>
    </row>
    <row r="102" customFormat="false" ht="30.75" hidden="false" customHeight="true" outlineLevel="0" collapsed="false">
      <c r="B102" s="12" t="s">
        <v>4594</v>
      </c>
      <c r="C102" s="12" t="s">
        <v>4595</v>
      </c>
      <c r="D102" s="12" t="s">
        <v>4596</v>
      </c>
    </row>
    <row r="103" customFormat="false" ht="30.75" hidden="false" customHeight="true" outlineLevel="0" collapsed="false">
      <c r="B103" s="12" t="s">
        <v>4597</v>
      </c>
      <c r="C103" s="12" t="s">
        <v>3444</v>
      </c>
      <c r="D103" s="12" t="s">
        <v>4598</v>
      </c>
    </row>
    <row r="104" customFormat="false" ht="30.75" hidden="false" customHeight="true" outlineLevel="0" collapsed="false">
      <c r="B104" s="12" t="s">
        <v>4581</v>
      </c>
      <c r="C104" s="12" t="s">
        <v>4599</v>
      </c>
      <c r="D104" s="12" t="s">
        <v>4600</v>
      </c>
    </row>
    <row r="105" customFormat="false" ht="30.75" hidden="false" customHeight="true" outlineLevel="0" collapsed="false">
      <c r="B105" s="12" t="s">
        <v>4601</v>
      </c>
      <c r="C105" s="12" t="s">
        <v>4602</v>
      </c>
      <c r="D105" s="12" t="s">
        <v>4603</v>
      </c>
    </row>
    <row r="107" customFormat="false" ht="15" hidden="false" customHeight="true" outlineLevel="0" collapsed="false">
      <c r="B107" s="55" t="s">
        <v>1507</v>
      </c>
    </row>
    <row r="108" customFormat="false" ht="17.25" hidden="false" customHeight="true" outlineLevel="0" collapsed="false">
      <c r="B108" s="9" t="s">
        <v>4604</v>
      </c>
      <c r="C108" s="9"/>
      <c r="D108" s="9"/>
      <c r="E108" s="9"/>
      <c r="F108" s="9"/>
    </row>
    <row r="109" customFormat="false" ht="17.25" hidden="false" customHeight="true" outlineLevel="0" collapsed="false">
      <c r="B109" s="9" t="s">
        <v>4605</v>
      </c>
      <c r="C109" s="9"/>
      <c r="D109" s="9"/>
      <c r="E109" s="9"/>
      <c r="F109" s="9"/>
    </row>
    <row r="110" customFormat="false" ht="17.25" hidden="false" customHeight="true" outlineLevel="0" collapsed="false">
      <c r="B110" s="9" t="s">
        <v>4606</v>
      </c>
      <c r="C110" s="9"/>
      <c r="D110" s="9"/>
      <c r="E110" s="9"/>
      <c r="F110" s="9"/>
    </row>
    <row r="111" customFormat="false" ht="17.25" hidden="false" customHeight="true" outlineLevel="0" collapsed="false">
      <c r="B111" s="9" t="s">
        <v>4607</v>
      </c>
      <c r="C111" s="9"/>
      <c r="D111" s="9"/>
      <c r="E111" s="9"/>
      <c r="F111" s="9"/>
    </row>
    <row r="112" customFormat="false" ht="17.25" hidden="false" customHeight="true" outlineLevel="0" collapsed="false">
      <c r="B112" s="9" t="s">
        <v>4608</v>
      </c>
      <c r="C112" s="9"/>
      <c r="D112" s="9"/>
      <c r="E112" s="9"/>
      <c r="F112" s="9"/>
    </row>
    <row r="114" customFormat="false" ht="15.75" hidden="false" customHeight="true" outlineLevel="0" collapsed="false">
      <c r="B114" s="7" t="s">
        <v>1513</v>
      </c>
      <c r="C114" s="8"/>
      <c r="D114" s="8"/>
      <c r="E114" s="8"/>
      <c r="F114" s="8"/>
      <c r="G114" s="8"/>
      <c r="H114" s="8"/>
      <c r="I114" s="8"/>
      <c r="J114" s="8"/>
      <c r="K114" s="8"/>
    </row>
    <row r="115" customFormat="false" ht="17.25" hidden="false" customHeight="true" outlineLevel="0" collapsed="false">
      <c r="B115" s="9" t="s">
        <v>1514</v>
      </c>
      <c r="C115" s="9"/>
      <c r="D115" s="9"/>
      <c r="E115" s="9"/>
      <c r="F115" s="9"/>
      <c r="N115" s="56" t="s">
        <v>1515</v>
      </c>
    </row>
    <row r="116" customFormat="false" ht="31.5" hidden="false" customHeight="true" outlineLevel="0" collapsed="false">
      <c r="B116" s="9" t="s">
        <v>4609</v>
      </c>
      <c r="C116" s="9"/>
      <c r="D116" s="9"/>
      <c r="E116" s="9"/>
      <c r="F116" s="9"/>
      <c r="N116" s="57" t="s">
        <v>4610</v>
      </c>
    </row>
    <row r="117" customFormat="false" ht="17.25" hidden="false" customHeight="true" outlineLevel="0" collapsed="false">
      <c r="B117" s="9" t="s">
        <v>4611</v>
      </c>
      <c r="C117" s="9"/>
      <c r="D117" s="9"/>
      <c r="E117" s="9"/>
      <c r="F117" s="9"/>
      <c r="N117" s="57" t="s">
        <v>4612</v>
      </c>
    </row>
    <row r="118" customFormat="false" ht="17.25" hidden="false" customHeight="true" outlineLevel="0" collapsed="false">
      <c r="B118" s="9" t="s">
        <v>4613</v>
      </c>
      <c r="C118" s="9"/>
      <c r="D118" s="9"/>
      <c r="E118" s="9"/>
      <c r="F118" s="9"/>
      <c r="N118" s="57" t="s">
        <v>4614</v>
      </c>
    </row>
    <row r="120" customFormat="false" ht="15.75" hidden="false" customHeight="true" outlineLevel="0" collapsed="false">
      <c r="B120" s="7" t="s">
        <v>1522</v>
      </c>
      <c r="C120" s="8"/>
      <c r="D120" s="8"/>
      <c r="E120" s="8"/>
      <c r="F120" s="8"/>
      <c r="G120" s="8"/>
      <c r="H120" s="8"/>
      <c r="I120" s="8"/>
      <c r="J120" s="8"/>
      <c r="K120" s="8"/>
    </row>
    <row r="121" customFormat="false" ht="16.5" hidden="false" customHeight="true" outlineLevel="0" collapsed="false">
      <c r="B121" s="11" t="s">
        <v>1523</v>
      </c>
      <c r="C121" s="11" t="s">
        <v>1524</v>
      </c>
      <c r="D121" s="11" t="s">
        <v>4615</v>
      </c>
    </row>
    <row r="122" customFormat="false" ht="30.75" hidden="false" customHeight="true" outlineLevel="0" collapsed="false">
      <c r="B122" s="58" t="s">
        <v>3375</v>
      </c>
      <c r="C122" s="58" t="s">
        <v>1134</v>
      </c>
      <c r="D122" s="58" t="s">
        <v>1039</v>
      </c>
    </row>
  </sheetData>
  <mergeCells count="34">
    <mergeCell ref="B2:J2"/>
    <mergeCell ref="D3:F3"/>
    <mergeCell ref="B11:F11"/>
    <mergeCell ref="B12:F14"/>
    <mergeCell ref="B15:F15"/>
    <mergeCell ref="B16:F17"/>
    <mergeCell ref="B18:F18"/>
    <mergeCell ref="B19:F21"/>
    <mergeCell ref="B22:F23"/>
    <mergeCell ref="B26:D26"/>
    <mergeCell ref="B27:D27"/>
    <mergeCell ref="B28:D28"/>
    <mergeCell ref="B29:D29"/>
    <mergeCell ref="B30:F30"/>
    <mergeCell ref="B38:F38"/>
    <mergeCell ref="B39:F39"/>
    <mergeCell ref="B40:F40"/>
    <mergeCell ref="B41:F41"/>
    <mergeCell ref="B42:F42"/>
    <mergeCell ref="B43:F43"/>
    <mergeCell ref="B44:F44"/>
    <mergeCell ref="B45:F45"/>
    <mergeCell ref="B54:F54"/>
    <mergeCell ref="B57:F59"/>
    <mergeCell ref="C99:F99"/>
    <mergeCell ref="B108:F108"/>
    <mergeCell ref="B109:F109"/>
    <mergeCell ref="B110:F110"/>
    <mergeCell ref="B111:F111"/>
    <mergeCell ref="B112:F112"/>
    <mergeCell ref="B115:F115"/>
    <mergeCell ref="B116:F116"/>
    <mergeCell ref="B117:F117"/>
    <mergeCell ref="B118:F118"/>
  </mergeCells>
  <dataValidations count="1">
    <dataValidation allowBlank="false" errorStyle="stop" operator="between" showDropDown="false" showErrorMessage="false" showInputMessage="false" sqref="D77:D83 C90:C96" type="list">
      <formula1>"Yes,No"</formula1>
      <formula2>0</formula2>
    </dataValidation>
  </dataValidations>
  <hyperlinks>
    <hyperlink ref="B3" location="'N-03 Index DMAIC'!A1" display="← Back to Index"/>
    <hyperlink ref="E33" location="'E-06 Data Collection Plan'!A1" display="E-06  Operational Definitions and Data Collection Plan"/>
    <hyperlink ref="E34" location="'E-34 Correlation'!A1" display="E-34  Scatter Plots and Correlation"/>
    <hyperlink ref="E35" location="'H-11 5 Whys'!A1" display="H-11  5 Whys"/>
    <hyperlink ref="B122" location="'E-34 Correlation'!A1" display="E-34  Scatter Plots and Correlation"/>
    <hyperlink ref="C122" location="'E-36 Simple Regression'!A1" display="E-36  Simple Linear Regression"/>
    <hyperlink ref="D122" location="'E-42 Full Factorial'!A1" display="E-42  Full Factorial Designs (2^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4616</v>
      </c>
      <c r="C2" s="3"/>
      <c r="D2" s="3"/>
      <c r="E2" s="3"/>
      <c r="F2" s="3"/>
      <c r="G2" s="3"/>
      <c r="H2" s="3"/>
      <c r="I2" s="3"/>
      <c r="J2" s="3"/>
      <c r="K2" s="80" t="s">
        <v>2864</v>
      </c>
    </row>
    <row r="3" customFormat="false" ht="28.5" hidden="false" customHeight="true" outlineLevel="0" collapsed="false">
      <c r="B3" s="5" t="s">
        <v>3</v>
      </c>
      <c r="D3" s="6" t="s">
        <v>4617</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4618</v>
      </c>
      <c r="D6" s="9"/>
    </row>
    <row r="7" customFormat="false" ht="31.5" hidden="false" customHeight="true" outlineLevel="0" collapsed="false">
      <c r="B7" s="47" t="s">
        <v>1394</v>
      </c>
      <c r="C7" s="9" t="s">
        <v>4619</v>
      </c>
      <c r="D7" s="9"/>
    </row>
    <row r="8" customFormat="false" ht="31.5" hidden="false" customHeight="true" outlineLevel="0" collapsed="false">
      <c r="B8" s="47" t="s">
        <v>1396</v>
      </c>
      <c r="C8" s="9" t="s">
        <v>4620</v>
      </c>
      <c r="D8" s="9"/>
    </row>
    <row r="10" customFormat="false" ht="15.75" hidden="false" customHeight="true" outlineLevel="0" collapsed="false">
      <c r="B10" s="7" t="s">
        <v>1398</v>
      </c>
      <c r="C10" s="8"/>
      <c r="D10" s="8"/>
      <c r="E10" s="8"/>
      <c r="F10" s="8"/>
      <c r="G10" s="8"/>
      <c r="H10" s="8"/>
      <c r="I10" s="8"/>
      <c r="J10" s="8"/>
      <c r="K10" s="8"/>
    </row>
    <row r="11" customFormat="false" ht="10.5" hidden="false" customHeight="true" outlineLevel="0" collapsed="false">
      <c r="B11" s="9" t="s">
        <v>4621</v>
      </c>
      <c r="C11" s="9"/>
      <c r="D11" s="9"/>
      <c r="E11" s="9"/>
      <c r="F11" s="9"/>
    </row>
    <row r="12" customFormat="false" ht="10.5" hidden="false" customHeight="true" outlineLevel="0" collapsed="false">
      <c r="B12" s="9"/>
      <c r="C12" s="9"/>
      <c r="D12" s="9"/>
      <c r="E12" s="9"/>
      <c r="F12" s="9"/>
    </row>
    <row r="13" customFormat="false" ht="10.5" hidden="false" customHeight="true" outlineLevel="0" collapsed="false">
      <c r="B13" s="9"/>
      <c r="C13" s="9"/>
      <c r="D13" s="9"/>
      <c r="E13" s="9"/>
      <c r="F13" s="9"/>
    </row>
    <row r="14" customFormat="false" ht="15" hidden="false" customHeight="true" outlineLevel="0" collapsed="false">
      <c r="B14" s="9" t="s">
        <v>4622</v>
      </c>
      <c r="C14" s="9"/>
      <c r="D14" s="9"/>
      <c r="E14" s="9"/>
      <c r="F14" s="9"/>
    </row>
    <row r="15" customFormat="false" ht="15" hidden="false" customHeight="true" outlineLevel="0" collapsed="false">
      <c r="B15" s="9"/>
      <c r="C15" s="9"/>
      <c r="D15" s="9"/>
      <c r="E15" s="9"/>
      <c r="F15" s="9"/>
    </row>
    <row r="16" customFormat="false" ht="15" hidden="false" customHeight="true" outlineLevel="0" collapsed="false">
      <c r="B16" s="9"/>
      <c r="C16" s="9"/>
      <c r="D16" s="9"/>
      <c r="E16" s="9"/>
      <c r="F16" s="9"/>
    </row>
    <row r="17" customFormat="false" ht="11.25" hidden="false" customHeight="true" outlineLevel="0" collapsed="false">
      <c r="B17" s="9" t="s">
        <v>4623</v>
      </c>
      <c r="C17" s="9"/>
      <c r="D17" s="9"/>
      <c r="E17" s="9"/>
      <c r="F17" s="9"/>
    </row>
    <row r="18" customFormat="false" ht="11.25" hidden="false" customHeight="true" outlineLevel="0" collapsed="false">
      <c r="B18" s="9"/>
      <c r="C18" s="9"/>
      <c r="D18" s="9"/>
      <c r="E18" s="9"/>
      <c r="F18" s="9"/>
    </row>
    <row r="19" customFormat="false" ht="11.25" hidden="false" customHeight="true" outlineLevel="0" collapsed="false">
      <c r="B19" s="9"/>
      <c r="C19" s="9"/>
      <c r="D19" s="9"/>
      <c r="E19" s="9"/>
      <c r="F19" s="9"/>
    </row>
    <row r="20" customFormat="false" ht="11.25" hidden="false" customHeight="true" outlineLevel="0" collapsed="false">
      <c r="B20" s="9"/>
      <c r="C20" s="9"/>
      <c r="D20" s="9"/>
      <c r="E20" s="9"/>
      <c r="F20" s="9"/>
    </row>
    <row r="21" customFormat="false" ht="10.5" hidden="false" customHeight="true" outlineLevel="0" collapsed="false">
      <c r="B21" s="9" t="s">
        <v>4624</v>
      </c>
      <c r="C21" s="9"/>
      <c r="D21" s="9"/>
      <c r="E21" s="9"/>
      <c r="F21" s="9"/>
    </row>
    <row r="22" customFormat="false" ht="10.5" hidden="false" customHeight="true" outlineLevel="0" collapsed="false">
      <c r="B22" s="9"/>
      <c r="C22" s="9"/>
      <c r="D22" s="9"/>
      <c r="E22" s="9"/>
      <c r="F22" s="9"/>
    </row>
    <row r="23" customFormat="false" ht="10.5" hidden="false" customHeight="true" outlineLevel="0" collapsed="false">
      <c r="B23" s="9"/>
      <c r="C23" s="9"/>
      <c r="D23" s="9"/>
      <c r="E23" s="9"/>
      <c r="F23" s="9"/>
    </row>
    <row r="25" customFormat="false" ht="15.75" hidden="false" customHeight="true" outlineLevel="0" collapsed="false">
      <c r="B25" s="7" t="s">
        <v>1406</v>
      </c>
      <c r="C25" s="8"/>
      <c r="D25" s="8"/>
      <c r="E25" s="8"/>
      <c r="F25" s="8"/>
      <c r="G25" s="8"/>
      <c r="H25" s="8"/>
      <c r="I25" s="8"/>
      <c r="J25" s="8"/>
      <c r="K25" s="8"/>
    </row>
    <row r="26" customFormat="false" ht="17.25" hidden="false" customHeight="true" outlineLevel="0" collapsed="false">
      <c r="B26" s="48" t="s">
        <v>1407</v>
      </c>
      <c r="C26" s="48"/>
      <c r="D26" s="48"/>
      <c r="E26" s="55" t="s">
        <v>1408</v>
      </c>
    </row>
    <row r="27" customFormat="false" ht="30.75" hidden="false" customHeight="true" outlineLevel="0" collapsed="false">
      <c r="B27" s="23" t="s">
        <v>4625</v>
      </c>
      <c r="C27" s="23"/>
      <c r="D27" s="23"/>
      <c r="E27" s="82" t="s">
        <v>4626</v>
      </c>
    </row>
    <row r="28" customFormat="false" ht="30.75" hidden="false" customHeight="true" outlineLevel="0" collapsed="false">
      <c r="B28" s="23" t="s">
        <v>4627</v>
      </c>
      <c r="C28" s="23"/>
      <c r="D28" s="23"/>
      <c r="E28" s="82" t="s">
        <v>4628</v>
      </c>
    </row>
    <row r="29" customFormat="false" ht="30.75" hidden="false" customHeight="true" outlineLevel="0" collapsed="false">
      <c r="B29" s="23" t="s">
        <v>4629</v>
      </c>
      <c r="C29" s="23"/>
      <c r="D29" s="23"/>
      <c r="E29" s="82" t="s">
        <v>4630</v>
      </c>
    </row>
    <row r="30" customFormat="false" ht="17.25" hidden="false" customHeight="true" outlineLevel="0" collapsed="false">
      <c r="B30" s="23" t="s">
        <v>4631</v>
      </c>
      <c r="C30" s="23"/>
      <c r="D30" s="23"/>
      <c r="E30" s="23"/>
      <c r="F30" s="23"/>
    </row>
    <row r="32" customFormat="false" ht="16.5" hidden="false" customHeight="true" outlineLevel="0" collapsed="false">
      <c r="B32" s="11" t="s">
        <v>1416</v>
      </c>
      <c r="C32" s="11" t="s">
        <v>1417</v>
      </c>
      <c r="D32" s="11" t="s">
        <v>1418</v>
      </c>
      <c r="E32" s="11" t="s">
        <v>1419</v>
      </c>
    </row>
    <row r="33" customFormat="false" ht="44.25" hidden="false" customHeight="true" outlineLevel="0" collapsed="false">
      <c r="B33" s="12" t="s">
        <v>4448</v>
      </c>
      <c r="C33" s="12" t="s">
        <v>4632</v>
      </c>
      <c r="D33" s="12" t="s">
        <v>4450</v>
      </c>
      <c r="E33" s="50" t="s">
        <v>4633</v>
      </c>
    </row>
    <row r="34" customFormat="false" ht="30.75" hidden="false" customHeight="true" outlineLevel="0" collapsed="false">
      <c r="B34" s="12" t="s">
        <v>4634</v>
      </c>
      <c r="C34" s="12" t="s">
        <v>4635</v>
      </c>
      <c r="D34" s="12" t="s">
        <v>4636</v>
      </c>
      <c r="E34" s="50" t="s">
        <v>970</v>
      </c>
    </row>
    <row r="35" customFormat="false" ht="30.75" hidden="false" customHeight="true" outlineLevel="0" collapsed="false">
      <c r="B35" s="12" t="s">
        <v>4637</v>
      </c>
      <c r="C35" s="12" t="s">
        <v>4638</v>
      </c>
      <c r="D35" s="12" t="s">
        <v>4639</v>
      </c>
      <c r="E35" s="50" t="s">
        <v>4633</v>
      </c>
    </row>
    <row r="37" customFormat="false" ht="15.75" hidden="false" customHeight="true" outlineLevel="0" collapsed="false">
      <c r="B37" s="7" t="s">
        <v>1429</v>
      </c>
      <c r="C37" s="8"/>
      <c r="D37" s="8"/>
      <c r="E37" s="8"/>
      <c r="F37" s="8"/>
      <c r="G37" s="8"/>
      <c r="H37" s="8"/>
      <c r="I37" s="8"/>
      <c r="J37" s="8"/>
      <c r="K37" s="8"/>
    </row>
    <row r="38" customFormat="false" ht="15" hidden="false" customHeight="true" outlineLevel="0" collapsed="false">
      <c r="B38" s="47" t="s">
        <v>4640</v>
      </c>
    </row>
    <row r="39" customFormat="false" ht="15" hidden="false" customHeight="true" outlineLevel="0" collapsed="false">
      <c r="B39" s="59" t="s">
        <v>4641</v>
      </c>
    </row>
    <row r="40" customFormat="false" ht="17.25" hidden="false" customHeight="true" outlineLevel="0" collapsed="false">
      <c r="B40" s="52" t="s">
        <v>4642</v>
      </c>
      <c r="C40" s="52"/>
      <c r="D40" s="52"/>
      <c r="E40" s="52"/>
      <c r="F40" s="52"/>
    </row>
    <row r="41" customFormat="false" ht="15" hidden="false" customHeight="true" outlineLevel="0" collapsed="false">
      <c r="B41" s="47" t="s">
        <v>4643</v>
      </c>
    </row>
    <row r="42" customFormat="false" ht="17.25" hidden="false" customHeight="true" outlineLevel="0" collapsed="false">
      <c r="B42" s="52" t="s">
        <v>4644</v>
      </c>
      <c r="C42" s="52"/>
      <c r="D42" s="52"/>
      <c r="E42" s="52"/>
      <c r="F42" s="52"/>
    </row>
    <row r="43" customFormat="false" ht="15" hidden="false" customHeight="true" outlineLevel="0" collapsed="false">
      <c r="B43" s="47" t="s">
        <v>4645</v>
      </c>
    </row>
    <row r="44" customFormat="false" ht="17.25" hidden="false" customHeight="true" outlineLevel="0" collapsed="false">
      <c r="B44" s="52" t="s">
        <v>4646</v>
      </c>
      <c r="C44" s="52"/>
      <c r="D44" s="52"/>
      <c r="E44" s="52"/>
      <c r="F44" s="52"/>
    </row>
    <row r="45" customFormat="false" ht="17.25" hidden="false" customHeight="true" outlineLevel="0" collapsed="false">
      <c r="B45" s="52" t="s">
        <v>4647</v>
      </c>
      <c r="C45" s="52"/>
      <c r="D45" s="52"/>
      <c r="E45" s="52"/>
      <c r="F45" s="52"/>
    </row>
    <row r="46" customFormat="false" ht="17.25" hidden="false" customHeight="true" outlineLevel="0" collapsed="false">
      <c r="B46" s="51" t="s">
        <v>4648</v>
      </c>
      <c r="C46" s="51"/>
      <c r="D46" s="51"/>
      <c r="E46" s="51"/>
      <c r="F46" s="51"/>
    </row>
    <row r="47" customFormat="false" ht="17.25" hidden="false" customHeight="true" outlineLevel="0" collapsed="false">
      <c r="B47" s="52" t="s">
        <v>4649</v>
      </c>
      <c r="C47" s="52"/>
      <c r="D47" s="52"/>
      <c r="E47" s="52"/>
      <c r="F47" s="52"/>
    </row>
    <row r="48" customFormat="false" ht="17.25" hidden="false" customHeight="true" outlineLevel="0" collapsed="false">
      <c r="B48" s="51" t="s">
        <v>4650</v>
      </c>
      <c r="C48" s="51"/>
      <c r="D48" s="51"/>
      <c r="E48" s="51"/>
      <c r="F48" s="51"/>
    </row>
    <row r="49" customFormat="false" ht="17.25" hidden="false" customHeight="true" outlineLevel="0" collapsed="false">
      <c r="B49" s="52" t="s">
        <v>4651</v>
      </c>
      <c r="C49" s="52"/>
      <c r="D49" s="52"/>
      <c r="E49" s="52"/>
      <c r="F49" s="52"/>
    </row>
    <row r="51" customFormat="false" ht="15.75" hidden="false" customHeight="true" outlineLevel="0" collapsed="false">
      <c r="B51" s="7" t="s">
        <v>1437</v>
      </c>
      <c r="C51" s="8"/>
      <c r="D51" s="8"/>
      <c r="E51" s="8"/>
      <c r="F51" s="8"/>
      <c r="G51" s="8"/>
      <c r="H51" s="8"/>
      <c r="I51" s="8"/>
      <c r="J51" s="8"/>
      <c r="K51" s="8"/>
    </row>
    <row r="52" customFormat="false" ht="17.25" hidden="false" customHeight="true" outlineLevel="0" collapsed="false">
      <c r="B52" s="11" t="s">
        <v>1438</v>
      </c>
      <c r="C52" s="11" t="s">
        <v>1439</v>
      </c>
      <c r="D52" s="11" t="s">
        <v>1440</v>
      </c>
      <c r="E52" s="11"/>
      <c r="F52" s="11"/>
    </row>
    <row r="53" customFormat="false" ht="45.75" hidden="false" customHeight="true" outlineLevel="0" collapsed="false">
      <c r="B53" s="12" t="s">
        <v>4652</v>
      </c>
      <c r="C53" s="12" t="s">
        <v>4653</v>
      </c>
      <c r="D53" s="12" t="s">
        <v>4654</v>
      </c>
      <c r="E53" s="12"/>
      <c r="F53" s="12"/>
    </row>
    <row r="54" customFormat="false" ht="17.25" hidden="false" customHeight="true" outlineLevel="0" collapsed="false">
      <c r="B54" s="12" t="s">
        <v>2499</v>
      </c>
      <c r="C54" s="12" t="s">
        <v>4655</v>
      </c>
      <c r="D54" s="12" t="s">
        <v>4656</v>
      </c>
      <c r="E54" s="12"/>
      <c r="F54" s="12"/>
    </row>
    <row r="55" customFormat="false" ht="17.25" hidden="false" customHeight="true" outlineLevel="0" collapsed="false">
      <c r="B55" s="12" t="s">
        <v>4657</v>
      </c>
      <c r="C55" s="12" t="s">
        <v>4658</v>
      </c>
      <c r="D55" s="12" t="s">
        <v>4659</v>
      </c>
      <c r="E55" s="12"/>
      <c r="F55" s="12"/>
    </row>
    <row r="56" customFormat="false" ht="17.25" hidden="false" customHeight="true" outlineLevel="0" collapsed="false">
      <c r="B56" s="12" t="s">
        <v>3680</v>
      </c>
      <c r="C56" s="12" t="s">
        <v>4660</v>
      </c>
      <c r="D56" s="12" t="s">
        <v>4661</v>
      </c>
      <c r="E56" s="12"/>
      <c r="F56" s="12"/>
    </row>
    <row r="57" customFormat="false" ht="17.25" hidden="false" customHeight="true" outlineLevel="0" collapsed="false">
      <c r="B57" s="12" t="s">
        <v>4662</v>
      </c>
      <c r="C57" s="12" t="s">
        <v>4663</v>
      </c>
      <c r="D57" s="12" t="s">
        <v>4664</v>
      </c>
      <c r="E57" s="12"/>
      <c r="F57" s="12"/>
    </row>
    <row r="58" customFormat="false" ht="17.25" hidden="false" customHeight="true" outlineLevel="0" collapsed="false">
      <c r="B58" s="12" t="s">
        <v>2223</v>
      </c>
      <c r="C58" s="12" t="s">
        <v>4665</v>
      </c>
      <c r="D58" s="12" t="s">
        <v>4666</v>
      </c>
      <c r="E58" s="12"/>
      <c r="F58" s="12"/>
    </row>
    <row r="59" customFormat="false" ht="28.5" hidden="false" customHeight="true" outlineLevel="0" collapsed="false">
      <c r="B59" s="16" t="s">
        <v>1453</v>
      </c>
      <c r="C59" s="16"/>
      <c r="D59" s="16"/>
      <c r="E59" s="16"/>
      <c r="F59" s="16"/>
    </row>
    <row r="61" customFormat="false" ht="15.75" hidden="false" customHeight="true" outlineLevel="0" collapsed="false">
      <c r="B61" s="7" t="s">
        <v>1454</v>
      </c>
      <c r="C61" s="8"/>
      <c r="D61" s="8"/>
      <c r="E61" s="8"/>
      <c r="F61" s="8"/>
      <c r="G61" s="8"/>
      <c r="H61" s="8"/>
      <c r="I61" s="8"/>
      <c r="J61" s="8"/>
      <c r="K61" s="8"/>
    </row>
    <row r="62" customFormat="false" ht="17.25" hidden="false" customHeight="true" outlineLevel="0" collapsed="false">
      <c r="B62" s="9" t="s">
        <v>4667</v>
      </c>
      <c r="C62" s="9"/>
      <c r="D62" s="9"/>
      <c r="E62" s="9"/>
      <c r="F62" s="9"/>
    </row>
    <row r="63" customFormat="false" ht="17.25" hidden="false" customHeight="true" outlineLevel="0" collapsed="false">
      <c r="B63" s="9" t="s">
        <v>4668</v>
      </c>
      <c r="C63" s="9"/>
      <c r="D63" s="9"/>
      <c r="E63" s="9"/>
      <c r="F63" s="9"/>
    </row>
    <row r="64" customFormat="false" ht="15" hidden="false" customHeight="true" outlineLevel="0" collapsed="false">
      <c r="B64" s="19" t="s">
        <v>85</v>
      </c>
      <c r="C64" s="41" t="s">
        <v>86</v>
      </c>
    </row>
    <row r="66" customFormat="false" ht="16.5" hidden="false" customHeight="true" outlineLevel="0" collapsed="false">
      <c r="C66" s="11" t="s">
        <v>4669</v>
      </c>
      <c r="D66" s="11" t="s">
        <v>4670</v>
      </c>
    </row>
    <row r="67" customFormat="false" ht="15" hidden="false" customHeight="true" outlineLevel="0" collapsed="false">
      <c r="C67" s="93" t="n">
        <v>108</v>
      </c>
      <c r="D67" s="93" t="n">
        <v>0.3285</v>
      </c>
    </row>
    <row r="68" customFormat="false" ht="15" hidden="false" customHeight="true" outlineLevel="0" collapsed="false">
      <c r="C68" s="93" t="n">
        <v>108.7</v>
      </c>
      <c r="D68" s="93" t="n">
        <v>0.3321</v>
      </c>
    </row>
    <row r="69" customFormat="false" ht="15" hidden="false" customHeight="true" outlineLevel="0" collapsed="false">
      <c r="C69" s="93" t="n">
        <v>109.3</v>
      </c>
      <c r="D69" s="93" t="n">
        <v>0.3413</v>
      </c>
    </row>
    <row r="70" customFormat="false" ht="15" hidden="false" customHeight="true" outlineLevel="0" collapsed="false">
      <c r="C70" s="93" t="n">
        <v>110</v>
      </c>
      <c r="D70" s="93" t="n">
        <v>0.3189</v>
      </c>
    </row>
    <row r="71" customFormat="false" ht="15" hidden="false" customHeight="true" outlineLevel="0" collapsed="false">
      <c r="C71" s="93" t="n">
        <v>110.7</v>
      </c>
      <c r="D71" s="93" t="n">
        <v>0.3356</v>
      </c>
    </row>
    <row r="72" customFormat="false" ht="15" hidden="false" customHeight="true" outlineLevel="0" collapsed="false">
      <c r="C72" s="93" t="n">
        <v>111.3</v>
      </c>
      <c r="D72" s="93" t="n">
        <v>0.34</v>
      </c>
    </row>
    <row r="73" customFormat="false" ht="15" hidden="false" customHeight="true" outlineLevel="0" collapsed="false">
      <c r="C73" s="93" t="n">
        <v>112</v>
      </c>
      <c r="D73" s="93" t="n">
        <v>0.3307</v>
      </c>
    </row>
    <row r="74" customFormat="false" ht="15" hidden="false" customHeight="true" outlineLevel="0" collapsed="false">
      <c r="C74" s="93" t="n">
        <v>112.7</v>
      </c>
      <c r="D74" s="93" t="n">
        <v>0.3297</v>
      </c>
    </row>
    <row r="75" customFormat="false" ht="15" hidden="false" customHeight="true" outlineLevel="0" collapsed="false">
      <c r="C75" s="93" t="n">
        <v>113.3</v>
      </c>
      <c r="D75" s="93" t="n">
        <v>0.3432</v>
      </c>
    </row>
    <row r="76" customFormat="false" ht="15" hidden="false" customHeight="true" outlineLevel="0" collapsed="false">
      <c r="C76" s="93" t="n">
        <v>114</v>
      </c>
      <c r="D76" s="93" t="n">
        <v>0.3283</v>
      </c>
    </row>
    <row r="77" customFormat="false" ht="15" hidden="false" customHeight="true" outlineLevel="0" collapsed="false">
      <c r="C77" s="93" t="n">
        <v>114.7</v>
      </c>
      <c r="D77" s="93" t="n">
        <v>0.3082</v>
      </c>
    </row>
    <row r="78" customFormat="false" ht="15" hidden="false" customHeight="true" outlineLevel="0" collapsed="false">
      <c r="C78" s="93" t="n">
        <v>115.3</v>
      </c>
      <c r="D78" s="93" t="n">
        <v>0.3118</v>
      </c>
    </row>
    <row r="79" customFormat="false" ht="15" hidden="false" customHeight="true" outlineLevel="0" collapsed="false">
      <c r="C79" s="93" t="n">
        <v>116</v>
      </c>
      <c r="D79" s="93" t="n">
        <v>0.3201</v>
      </c>
    </row>
    <row r="80" customFormat="false" ht="15" hidden="false" customHeight="true" outlineLevel="0" collapsed="false">
      <c r="C80" s="93" t="n">
        <v>116.7</v>
      </c>
      <c r="D80" s="93" t="n">
        <v>0.3115</v>
      </c>
    </row>
    <row r="81" customFormat="false" ht="15" hidden="false" customHeight="true" outlineLevel="0" collapsed="false">
      <c r="C81" s="93" t="n">
        <v>117.3</v>
      </c>
      <c r="D81" s="93" t="n">
        <v>0.321</v>
      </c>
    </row>
    <row r="82" customFormat="false" ht="15" hidden="false" customHeight="true" outlineLevel="0" collapsed="false">
      <c r="C82" s="93" t="n">
        <v>118</v>
      </c>
      <c r="D82" s="93" t="n">
        <v>0.3151</v>
      </c>
    </row>
    <row r="83" customFormat="false" ht="15" hidden="false" customHeight="true" outlineLevel="0" collapsed="false">
      <c r="C83" s="93" t="n">
        <v>118.7</v>
      </c>
      <c r="D83" s="93" t="n">
        <v>0.3165</v>
      </c>
    </row>
    <row r="84" customFormat="false" ht="15" hidden="false" customHeight="true" outlineLevel="0" collapsed="false">
      <c r="C84" s="93" t="n">
        <v>119.3</v>
      </c>
      <c r="D84" s="93" t="n">
        <v>0.3007</v>
      </c>
    </row>
    <row r="85" customFormat="false" ht="15" hidden="false" customHeight="true" outlineLevel="0" collapsed="false">
      <c r="C85" s="93" t="n">
        <v>120</v>
      </c>
      <c r="D85" s="93" t="n">
        <v>0.3026</v>
      </c>
    </row>
    <row r="86" customFormat="false" ht="15" hidden="false" customHeight="true" outlineLevel="0" collapsed="false">
      <c r="C86" s="93" t="n">
        <v>120.7</v>
      </c>
      <c r="D86" s="93" t="n">
        <v>0.3058</v>
      </c>
    </row>
    <row r="87" customFormat="false" ht="15" hidden="false" customHeight="true" outlineLevel="0" collapsed="false">
      <c r="C87" s="93" t="n">
        <v>121.3</v>
      </c>
      <c r="D87" s="93" t="n">
        <v>0.3187</v>
      </c>
    </row>
    <row r="88" customFormat="false" ht="15" hidden="false" customHeight="true" outlineLevel="0" collapsed="false">
      <c r="C88" s="93" t="n">
        <v>122</v>
      </c>
      <c r="D88" s="93" t="n">
        <v>0.3053</v>
      </c>
    </row>
    <row r="89" customFormat="false" ht="15" hidden="false" customHeight="true" outlineLevel="0" collapsed="false">
      <c r="C89" s="93" t="n">
        <v>122.7</v>
      </c>
      <c r="D89" s="93" t="n">
        <v>0.301</v>
      </c>
    </row>
    <row r="90" customFormat="false" ht="15" hidden="false" customHeight="true" outlineLevel="0" collapsed="false">
      <c r="C90" s="93" t="n">
        <v>123.3</v>
      </c>
      <c r="D90" s="93" t="n">
        <v>0.2951</v>
      </c>
    </row>
    <row r="91" customFormat="false" ht="15" hidden="false" customHeight="true" outlineLevel="0" collapsed="false">
      <c r="C91" s="93" t="n">
        <v>124</v>
      </c>
      <c r="D91" s="93" t="n">
        <v>0.2983</v>
      </c>
    </row>
    <row r="93" customFormat="false" ht="15" hidden="false" customHeight="true" outlineLevel="0" collapsed="false">
      <c r="B93" s="10" t="s">
        <v>2228</v>
      </c>
      <c r="C93" s="75" t="n">
        <v>0.05</v>
      </c>
    </row>
    <row r="94" customFormat="false" ht="15" hidden="false" customHeight="true" outlineLevel="0" collapsed="false">
      <c r="B94" s="10" t="s">
        <v>4671</v>
      </c>
      <c r="C94" s="62" t="n">
        <v>0.95</v>
      </c>
    </row>
    <row r="95" customFormat="false" ht="15" hidden="false" customHeight="true" outlineLevel="0" collapsed="false">
      <c r="B95" s="10" t="s">
        <v>4672</v>
      </c>
      <c r="C95" s="60" t="n">
        <v>118</v>
      </c>
    </row>
    <row r="96" customFormat="false" ht="15" hidden="false" customHeight="true" outlineLevel="0" collapsed="false">
      <c r="B96" s="10" t="s">
        <v>4673</v>
      </c>
      <c r="C96" s="93" t="n">
        <v>0.31</v>
      </c>
    </row>
    <row r="98" customFormat="false" ht="15.75" hidden="false" customHeight="true" outlineLevel="0" collapsed="false">
      <c r="B98" s="7" t="s">
        <v>4674</v>
      </c>
      <c r="C98" s="8"/>
      <c r="D98" s="8"/>
      <c r="E98" s="8"/>
      <c r="F98" s="8"/>
      <c r="G98" s="8"/>
      <c r="H98" s="8"/>
      <c r="I98" s="8"/>
      <c r="J98" s="8"/>
      <c r="K98" s="8"/>
    </row>
    <row r="99" customFormat="false" ht="15" hidden="false" customHeight="true" outlineLevel="0" collapsed="false">
      <c r="B99" s="10" t="s">
        <v>1769</v>
      </c>
      <c r="C99" s="44" t="n">
        <f aca="false">COUNT($C$67:$C$91)</f>
        <v>25</v>
      </c>
    </row>
    <row r="100" customFormat="false" ht="15" hidden="false" customHeight="true" outlineLevel="0" collapsed="false">
      <c r="B100" s="10" t="s">
        <v>4675</v>
      </c>
      <c r="C100" s="94" t="n">
        <f aca="false">SLOPE($D$67:$D$91,$C$67:$C$91)</f>
        <v>-0.00243104045441951</v>
      </c>
    </row>
    <row r="101" customFormat="false" ht="15" hidden="false" customHeight="true" outlineLevel="0" collapsed="false">
      <c r="B101" s="10" t="s">
        <v>4676</v>
      </c>
      <c r="C101" s="66" t="n">
        <f aca="false">INTERCEPT($D$67:$D$91,$C$67:$C$91)</f>
        <v>0.600400692712663</v>
      </c>
    </row>
    <row r="102" customFormat="false" ht="15" hidden="false" customHeight="true" outlineLevel="0" collapsed="false">
      <c r="B102" s="10" t="s">
        <v>4677</v>
      </c>
      <c r="C102" s="76" t="n">
        <f aca="false">RSQ($D$67:$D$91,$C$67:$C$91)</f>
        <v>0.692051826959973</v>
      </c>
    </row>
    <row r="103" customFormat="false" ht="15" hidden="false" customHeight="true" outlineLevel="0" collapsed="false">
      <c r="B103" s="10" t="s">
        <v>4678</v>
      </c>
      <c r="C103" s="94" t="n">
        <f aca="false">STEYX($D$67:$D$91,$C$67:$C$91)</f>
        <v>0.00812552080175677</v>
      </c>
    </row>
    <row r="104" customFormat="false" ht="15" hidden="false" customHeight="true" outlineLevel="0" collapsed="false">
      <c r="B104" s="10" t="s">
        <v>4679</v>
      </c>
      <c r="C104" s="66" t="n">
        <f aca="false">DEVSQ($C$67:$C$91)</f>
        <v>577.44</v>
      </c>
    </row>
    <row r="105" customFormat="false" ht="15" hidden="false" customHeight="true" outlineLevel="0" collapsed="false">
      <c r="B105" s="10" t="s">
        <v>4680</v>
      </c>
      <c r="C105" s="72" t="n">
        <f aca="false">IFERROR(C103/SQRT(C104),0)</f>
        <v>0.000338140954389798</v>
      </c>
    </row>
    <row r="106" customFormat="false" ht="15" hidden="false" customHeight="true" outlineLevel="0" collapsed="false">
      <c r="B106" s="10" t="s">
        <v>4681</v>
      </c>
      <c r="C106" s="63" t="n">
        <f aca="false">IFERROR(C100/C105,0)</f>
        <v>-7.18942920950381</v>
      </c>
    </row>
    <row r="107" customFormat="false" ht="15" hidden="false" customHeight="true" outlineLevel="0" collapsed="false">
      <c r="B107" s="10" t="s">
        <v>4682</v>
      </c>
      <c r="C107" s="72" t="n">
        <f aca="false">TDIST(ABS(C106),C99-2,2)</f>
        <v>2.54884012165548E-007</v>
      </c>
    </row>
    <row r="108" customFormat="false" ht="15" hidden="false" customHeight="true" outlineLevel="0" collapsed="false">
      <c r="B108" s="10" t="s">
        <v>4683</v>
      </c>
      <c r="C108" s="64" t="n">
        <f aca="false">C106^2</f>
        <v>51.6878923584666</v>
      </c>
    </row>
    <row r="109" customFormat="false" ht="15" hidden="false" customHeight="true" outlineLevel="0" collapsed="false">
      <c r="B109" s="10" t="s">
        <v>4684</v>
      </c>
      <c r="C109" s="72" t="n">
        <f aca="false">FDIST(C108,1,C99-2)</f>
        <v>2.54884012165548E-007</v>
      </c>
    </row>
    <row r="110" customFormat="false" ht="15" hidden="false" customHeight="true" outlineLevel="0" collapsed="false">
      <c r="B110" s="10" t="s">
        <v>4685</v>
      </c>
      <c r="C110" s="94" t="n">
        <f aca="false">C100-TINV(1-C94,C99-2)*C105</f>
        <v>-0.00313053831311232</v>
      </c>
    </row>
    <row r="111" customFormat="false" ht="15" hidden="false" customHeight="true" outlineLevel="0" collapsed="false">
      <c r="B111" s="10" t="s">
        <v>4686</v>
      </c>
      <c r="C111" s="94" t="n">
        <f aca="false">C100+TINV(1-C94,C99-2)*C105</f>
        <v>-0.00173154259572669</v>
      </c>
    </row>
    <row r="113" customFormat="false" ht="15.75" hidden="false" customHeight="true" outlineLevel="0" collapsed="false">
      <c r="B113" s="7" t="s">
        <v>4687</v>
      </c>
      <c r="C113" s="8"/>
      <c r="D113" s="8"/>
      <c r="E113" s="8"/>
      <c r="F113" s="8"/>
      <c r="G113" s="8"/>
      <c r="H113" s="8"/>
      <c r="I113" s="8"/>
      <c r="J113" s="8"/>
      <c r="K113" s="8"/>
    </row>
    <row r="114" customFormat="false" ht="15.75" hidden="false" customHeight="true" outlineLevel="0" collapsed="false">
      <c r="B114" s="16" t="s">
        <v>4688</v>
      </c>
      <c r="C114" s="16"/>
      <c r="D114" s="16"/>
      <c r="E114" s="16"/>
      <c r="F114" s="16"/>
    </row>
    <row r="115" customFormat="false" ht="15" hidden="false" customHeight="true" outlineLevel="0" collapsed="false">
      <c r="B115" s="38" t="s">
        <v>4689</v>
      </c>
      <c r="C115" s="94" t="n">
        <f aca="false" t="array" ref="C115:D119">LINEST($D$67:$D$91,$C$67:$C$91,TRUE(),TRUE())</f>
        <v>-0.00243104045441951</v>
      </c>
      <c r="D115" s="94" t="n">
        <v>0.600400692712663</v>
      </c>
    </row>
    <row r="116" customFormat="false" ht="15" hidden="false" customHeight="true" outlineLevel="0" collapsed="false">
      <c r="B116" s="38" t="s">
        <v>4690</v>
      </c>
      <c r="C116" s="94" t="n">
        <v>0.000338140954389798</v>
      </c>
      <c r="D116" s="94" t="n">
        <v>0.0392580011219574</v>
      </c>
    </row>
    <row r="117" customFormat="false" ht="15" hidden="false" customHeight="true" outlineLevel="0" collapsed="false">
      <c r="B117" s="38" t="s">
        <v>4691</v>
      </c>
      <c r="C117" s="94" t="n">
        <v>0.692051826959973</v>
      </c>
      <c r="D117" s="94" t="n">
        <v>0.00812552080175677</v>
      </c>
    </row>
    <row r="118" customFormat="false" ht="15" hidden="false" customHeight="true" outlineLevel="0" collapsed="false">
      <c r="B118" s="38" t="s">
        <v>4692</v>
      </c>
      <c r="C118" s="94" t="n">
        <v>51.6878923584666</v>
      </c>
      <c r="D118" s="94" t="n">
        <v>23</v>
      </c>
    </row>
    <row r="119" customFormat="false" ht="15" hidden="false" customHeight="true" outlineLevel="0" collapsed="false">
      <c r="B119" s="38" t="s">
        <v>4693</v>
      </c>
      <c r="C119" s="94" t="n">
        <v>0.00341264596910502</v>
      </c>
      <c r="D119" s="94" t="n">
        <v>0.00151855403089498</v>
      </c>
    </row>
    <row r="121" customFormat="false" ht="15.75" hidden="false" customHeight="true" outlineLevel="0" collapsed="false">
      <c r="B121" s="7" t="s">
        <v>4694</v>
      </c>
      <c r="C121" s="8"/>
      <c r="D121" s="8"/>
      <c r="E121" s="8"/>
      <c r="F121" s="8"/>
      <c r="G121" s="8"/>
      <c r="H121" s="8"/>
      <c r="I121" s="8"/>
      <c r="J121" s="8"/>
      <c r="K121" s="8"/>
    </row>
    <row r="122" customFormat="false" ht="15" hidden="false" customHeight="true" outlineLevel="0" collapsed="false">
      <c r="B122" s="10" t="s">
        <v>4695</v>
      </c>
      <c r="C122" s="63" t="n">
        <f aca="false">AVERAGE($C$67:$C$91)</f>
        <v>116</v>
      </c>
    </row>
    <row r="123" customFormat="false" ht="15" hidden="false" customHeight="true" outlineLevel="0" collapsed="false">
      <c r="B123" s="10" t="s">
        <v>4696</v>
      </c>
      <c r="C123" s="66" t="n">
        <f aca="false">C101+C100*C95</f>
        <v>0.313537919091161</v>
      </c>
    </row>
    <row r="124" customFormat="false" ht="15" hidden="false" customHeight="true" outlineLevel="0" collapsed="false">
      <c r="B124" s="10" t="s">
        <v>2748</v>
      </c>
      <c r="C124" s="66" t="n">
        <f aca="false">TINV(1-C94,C99-2)</f>
        <v>2.06865761041905</v>
      </c>
    </row>
    <row r="125" customFormat="false" ht="15" hidden="false" customHeight="true" outlineLevel="0" collapsed="false">
      <c r="B125" s="10" t="s">
        <v>4697</v>
      </c>
      <c r="C125" s="94" t="n">
        <f aca="false">C124*C103*SQRT(1/C99+(C95-C122)^2/C104)</f>
        <v>0.00364126094623123</v>
      </c>
    </row>
    <row r="126" customFormat="false" ht="15" hidden="false" customHeight="true" outlineLevel="0" collapsed="false">
      <c r="B126" s="10" t="s">
        <v>4698</v>
      </c>
      <c r="C126" s="94" t="n">
        <f aca="false">C124*C103*SQRT(1+1/C99+(C95-C122)^2/C104)</f>
        <v>0.0171987961151554</v>
      </c>
    </row>
    <row r="127" customFormat="false" ht="15" hidden="false" customHeight="true" outlineLevel="0" collapsed="false">
      <c r="B127" s="10" t="s">
        <v>4699</v>
      </c>
      <c r="C127" s="66" t="n">
        <f aca="false">C123-C125</f>
        <v>0.30989665814493</v>
      </c>
    </row>
    <row r="128" customFormat="false" ht="15" hidden="false" customHeight="true" outlineLevel="0" collapsed="false">
      <c r="B128" s="10" t="s">
        <v>4700</v>
      </c>
      <c r="C128" s="66" t="n">
        <f aca="false">C123+C125</f>
        <v>0.317179180037392</v>
      </c>
    </row>
    <row r="129" customFormat="false" ht="15" hidden="false" customHeight="true" outlineLevel="0" collapsed="false">
      <c r="B129" s="10" t="s">
        <v>4701</v>
      </c>
      <c r="C129" s="66" t="n">
        <f aca="false">C123-C126</f>
        <v>0.296339122976006</v>
      </c>
    </row>
    <row r="130" customFormat="false" ht="15" hidden="false" customHeight="true" outlineLevel="0" collapsed="false">
      <c r="B130" s="10" t="s">
        <v>4702</v>
      </c>
      <c r="C130" s="66" t="n">
        <f aca="false">C123+C126</f>
        <v>0.330736715206316</v>
      </c>
    </row>
    <row r="131" customFormat="false" ht="15" hidden="false" customHeight="true" outlineLevel="0" collapsed="false">
      <c r="B131" s="10" t="s">
        <v>4703</v>
      </c>
      <c r="C131" s="67" t="n">
        <f aca="false">IFERROR((C96-C101)/C100,0)</f>
        <v>119.455310661215</v>
      </c>
    </row>
    <row r="132" customFormat="false" ht="15" hidden="false" customHeight="true" outlineLevel="0" collapsed="false">
      <c r="B132" s="10" t="s">
        <v>4704</v>
      </c>
      <c r="C132" s="41" t="str">
        <f aca="false">IF(AND(C131&gt;=MIN($C$67:$C$91),C131&lt;=MAX($C$67:$C$91)),"Yes","NO - that would be extrapolation")</f>
        <v>Yes</v>
      </c>
    </row>
    <row r="134" customFormat="false" ht="15.75" hidden="false" customHeight="true" outlineLevel="0" collapsed="false">
      <c r="B134" s="7" t="s">
        <v>1493</v>
      </c>
      <c r="C134" s="8"/>
      <c r="D134" s="8"/>
      <c r="E134" s="8"/>
      <c r="F134" s="8"/>
      <c r="G134" s="8"/>
      <c r="H134" s="8"/>
      <c r="I134" s="8"/>
      <c r="J134" s="8"/>
      <c r="K134" s="8"/>
    </row>
    <row r="135" customFormat="false" ht="49.5" hidden="false" customHeight="true" outlineLevel="0" collapsed="false">
      <c r="B135" s="53" t="s">
        <v>1494</v>
      </c>
      <c r="C135" s="54" t="str">
        <f aca="false">IF(C107&lt;C93,"SIGNIFICANT RELATIONSHIP: thickness = "&amp;TEXT(C101,"0.0000")&amp;" + ("&amp;TEXT(C100,"0.000000")&amp;") x temperature.  R squared "&amp;TEXT(C102,"0.0%")&amp;", typical miss "&amp;TEXT(C103,"0.0000")&amp;" mm. To hit "&amp;TEXT(C96,"0.0000")&amp;" mm set the oven to "&amp;TEXT(C131,"0.0")&amp;" C - "&amp;C132&amp;". Check the residuals on E-37 before trusting this model.","NO SIGNIFICANT LINEAR RELATIONSHIP (p = "&amp;TEXT(C107,"0.000")&amp;"). Check the scatter plot for a curve, and check that the range of X was wide enough.")</f>
        <v>SIGNIFICANT RELATIONSHIP: thickness = 0.6004 + (-0.002431) x temperature.  R squared 69.2%, typical miss 0.0081 mm. To hit 0.3100 mm set the oven to 119.5 C - Yes. Check the residuals on E-37 before trusting this model.</v>
      </c>
      <c r="D135" s="54"/>
      <c r="E135" s="54"/>
      <c r="F135" s="54"/>
    </row>
    <row r="137" customFormat="false" ht="16.5" hidden="false" customHeight="true" outlineLevel="0" collapsed="false">
      <c r="B137" s="11" t="s">
        <v>1495</v>
      </c>
      <c r="C137" s="11" t="s">
        <v>1496</v>
      </c>
      <c r="D137" s="11" t="s">
        <v>1497</v>
      </c>
    </row>
    <row r="138" customFormat="false" ht="30.75" hidden="false" customHeight="true" outlineLevel="0" collapsed="false">
      <c r="B138" s="12" t="s">
        <v>4682</v>
      </c>
      <c r="C138" s="12" t="s">
        <v>3444</v>
      </c>
      <c r="D138" s="12" t="s">
        <v>4705</v>
      </c>
    </row>
    <row r="139" customFormat="false" ht="30.75" hidden="false" customHeight="true" outlineLevel="0" collapsed="false">
      <c r="B139" s="12" t="s">
        <v>4677</v>
      </c>
      <c r="C139" s="12" t="s">
        <v>4496</v>
      </c>
      <c r="D139" s="12" t="s">
        <v>4706</v>
      </c>
    </row>
    <row r="140" customFormat="false" ht="30.75" hidden="false" customHeight="true" outlineLevel="0" collapsed="false">
      <c r="B140" s="12" t="s">
        <v>4707</v>
      </c>
      <c r="C140" s="12" t="s">
        <v>4708</v>
      </c>
      <c r="D140" s="12" t="s">
        <v>4709</v>
      </c>
    </row>
    <row r="141" customFormat="false" ht="30.75" hidden="false" customHeight="true" outlineLevel="0" collapsed="false">
      <c r="B141" s="12" t="s">
        <v>4710</v>
      </c>
      <c r="C141" s="12" t="s">
        <v>4711</v>
      </c>
      <c r="D141" s="12" t="s">
        <v>4712</v>
      </c>
    </row>
    <row r="143" customFormat="false" ht="15" hidden="false" customHeight="true" outlineLevel="0" collapsed="false">
      <c r="B143" s="55" t="s">
        <v>1507</v>
      </c>
    </row>
    <row r="144" customFormat="false" ht="17.25" hidden="false" customHeight="true" outlineLevel="0" collapsed="false">
      <c r="B144" s="9" t="s">
        <v>4713</v>
      </c>
      <c r="C144" s="9"/>
      <c r="D144" s="9"/>
      <c r="E144" s="9"/>
      <c r="F144" s="9"/>
    </row>
    <row r="145" customFormat="false" ht="17.25" hidden="false" customHeight="true" outlineLevel="0" collapsed="false">
      <c r="B145" s="9" t="s">
        <v>4714</v>
      </c>
      <c r="C145" s="9"/>
      <c r="D145" s="9"/>
      <c r="E145" s="9"/>
      <c r="F145" s="9"/>
    </row>
    <row r="146" customFormat="false" ht="17.25" hidden="false" customHeight="true" outlineLevel="0" collapsed="false">
      <c r="B146" s="9" t="s">
        <v>4715</v>
      </c>
      <c r="C146" s="9"/>
      <c r="D146" s="9"/>
      <c r="E146" s="9"/>
      <c r="F146" s="9"/>
    </row>
    <row r="147" customFormat="false" ht="17.25" hidden="false" customHeight="true" outlineLevel="0" collapsed="false">
      <c r="B147" s="9" t="s">
        <v>4716</v>
      </c>
      <c r="C147" s="9"/>
      <c r="D147" s="9"/>
      <c r="E147" s="9"/>
      <c r="F147" s="9"/>
    </row>
    <row r="148" customFormat="false" ht="17.25" hidden="false" customHeight="true" outlineLevel="0" collapsed="false">
      <c r="B148" s="9" t="s">
        <v>4717</v>
      </c>
      <c r="C148" s="9"/>
      <c r="D148" s="9"/>
      <c r="E148" s="9"/>
      <c r="F148" s="9"/>
    </row>
    <row r="150" customFormat="false" ht="15.75" hidden="false" customHeight="true" outlineLevel="0" collapsed="false">
      <c r="B150" s="7" t="s">
        <v>1513</v>
      </c>
      <c r="C150" s="8"/>
      <c r="D150" s="8"/>
      <c r="E150" s="8"/>
      <c r="F150" s="8"/>
      <c r="G150" s="8"/>
      <c r="H150" s="8"/>
      <c r="I150" s="8"/>
      <c r="J150" s="8"/>
      <c r="K150" s="8"/>
    </row>
    <row r="151" customFormat="false" ht="17.25" hidden="false" customHeight="true" outlineLevel="0" collapsed="false">
      <c r="B151" s="9" t="s">
        <v>1514</v>
      </c>
      <c r="C151" s="9"/>
      <c r="D151" s="9"/>
      <c r="E151" s="9"/>
      <c r="F151" s="9"/>
      <c r="N151" s="56" t="s">
        <v>1515</v>
      </c>
    </row>
    <row r="152" customFormat="false" ht="17.25" hidden="false" customHeight="true" outlineLevel="0" collapsed="false">
      <c r="B152" s="9" t="s">
        <v>4718</v>
      </c>
      <c r="C152" s="9"/>
      <c r="D152" s="9"/>
      <c r="E152" s="9"/>
      <c r="F152" s="9"/>
      <c r="N152" s="57" t="s">
        <v>4719</v>
      </c>
    </row>
    <row r="153" customFormat="false" ht="17.25" hidden="false" customHeight="true" outlineLevel="0" collapsed="false">
      <c r="B153" s="9" t="s">
        <v>4720</v>
      </c>
      <c r="C153" s="9"/>
      <c r="D153" s="9"/>
      <c r="E153" s="9"/>
      <c r="F153" s="9"/>
      <c r="N153" s="57" t="s">
        <v>4721</v>
      </c>
    </row>
    <row r="154" customFormat="false" ht="17.25" hidden="false" customHeight="true" outlineLevel="0" collapsed="false">
      <c r="B154" s="9" t="s">
        <v>4722</v>
      </c>
      <c r="C154" s="9"/>
      <c r="D154" s="9"/>
      <c r="E154" s="9"/>
      <c r="F154" s="9"/>
      <c r="N154" s="57" t="s">
        <v>4723</v>
      </c>
    </row>
    <row r="156" customFormat="false" ht="15.75" hidden="false" customHeight="true" outlineLevel="0" collapsed="false">
      <c r="B156" s="7" t="s">
        <v>1522</v>
      </c>
      <c r="C156" s="8"/>
      <c r="D156" s="8"/>
      <c r="E156" s="8"/>
      <c r="F156" s="8"/>
      <c r="G156" s="8"/>
      <c r="H156" s="8"/>
      <c r="I156" s="8"/>
      <c r="J156" s="8"/>
      <c r="K156" s="8"/>
    </row>
    <row r="157" customFormat="false" ht="16.5" hidden="false" customHeight="true" outlineLevel="0" collapsed="false">
      <c r="B157" s="11" t="s">
        <v>1523</v>
      </c>
      <c r="C157" s="11" t="s">
        <v>1524</v>
      </c>
      <c r="D157" s="11" t="s">
        <v>1615</v>
      </c>
    </row>
    <row r="158" customFormat="false" ht="30.75" hidden="false" customHeight="true" outlineLevel="0" collapsed="false">
      <c r="B158" s="58" t="s">
        <v>4512</v>
      </c>
      <c r="C158" s="58" t="s">
        <v>4633</v>
      </c>
      <c r="D158" s="58" t="s">
        <v>4724</v>
      </c>
    </row>
  </sheetData>
  <mergeCells count="43">
    <mergeCell ref="B2:J2"/>
    <mergeCell ref="D3:F3"/>
    <mergeCell ref="C6:D6"/>
    <mergeCell ref="C7:D7"/>
    <mergeCell ref="C8:D8"/>
    <mergeCell ref="B11:F13"/>
    <mergeCell ref="B14:F16"/>
    <mergeCell ref="B17:F20"/>
    <mergeCell ref="B21:F23"/>
    <mergeCell ref="B26:D26"/>
    <mergeCell ref="B27:D27"/>
    <mergeCell ref="B28:D28"/>
    <mergeCell ref="B29:D29"/>
    <mergeCell ref="B30:F30"/>
    <mergeCell ref="B40:F40"/>
    <mergeCell ref="B42:F42"/>
    <mergeCell ref="B44:F44"/>
    <mergeCell ref="B45:F45"/>
    <mergeCell ref="B46:F46"/>
    <mergeCell ref="B47:F47"/>
    <mergeCell ref="B48:F48"/>
    <mergeCell ref="B49:F49"/>
    <mergeCell ref="D52:F52"/>
    <mergeCell ref="D53:F53"/>
    <mergeCell ref="D54:F54"/>
    <mergeCell ref="D55:F55"/>
    <mergeCell ref="D56:F56"/>
    <mergeCell ref="D57:F57"/>
    <mergeCell ref="D58:F58"/>
    <mergeCell ref="B59:F59"/>
    <mergeCell ref="B62:F62"/>
    <mergeCell ref="B63:F63"/>
    <mergeCell ref="B114:F114"/>
    <mergeCell ref="C135:F135"/>
    <mergeCell ref="B144:F144"/>
    <mergeCell ref="B145:F145"/>
    <mergeCell ref="B146:F146"/>
    <mergeCell ref="B147:F147"/>
    <mergeCell ref="B148:F148"/>
    <mergeCell ref="B151:F151"/>
    <mergeCell ref="B152:F152"/>
    <mergeCell ref="B153:F153"/>
    <mergeCell ref="B154:F154"/>
  </mergeCells>
  <hyperlinks>
    <hyperlink ref="B3" location="'N-03 Index DMAIC'!A1" display="← Back to Index"/>
    <hyperlink ref="E33" location="'E-37 Residual Analysis'!A1" display="E-37  Residual Analysis and Model Diagnostics"/>
    <hyperlink ref="E34" location="'E-33 When Assumptions Fail'!A1" display="E-33  When Assumptions Fail: Transformations and Alternatives"/>
    <hyperlink ref="E35" location="'E-37 Residual Analysis'!A1" display="E-37  Residual Analysis and Model Diagnostics"/>
    <hyperlink ref="B158" location="'E-35 Correlation vs Causation'!A1" display="E-35  Correlation, Causation and Confounding"/>
    <hyperlink ref="C158" location="'E-37 Residual Analysis'!A1" display="E-37  Residual Analysis and Model Diagnostics"/>
    <hyperlink ref="D158" location="'E-38 Multiple Regression'!A1" display="E-38  Multiple Regression and Multicollinearit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4725</v>
      </c>
      <c r="C2" s="3"/>
      <c r="D2" s="3"/>
      <c r="E2" s="3"/>
      <c r="F2" s="3"/>
      <c r="G2" s="3"/>
      <c r="H2" s="3"/>
      <c r="I2" s="3"/>
      <c r="J2" s="3"/>
      <c r="K2" s="80" t="s">
        <v>2864</v>
      </c>
    </row>
    <row r="3" customFormat="false" ht="28.5" hidden="false" customHeight="true" outlineLevel="0" collapsed="false">
      <c r="B3" s="5" t="s">
        <v>3</v>
      </c>
      <c r="D3" s="6" t="s">
        <v>4726</v>
      </c>
      <c r="E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4727</v>
      </c>
      <c r="D6" s="9"/>
    </row>
    <row r="7" customFormat="false" ht="17.25" hidden="false" customHeight="true" outlineLevel="0" collapsed="false">
      <c r="B7" s="47" t="s">
        <v>1394</v>
      </c>
      <c r="C7" s="9" t="s">
        <v>4728</v>
      </c>
      <c r="D7" s="9"/>
    </row>
    <row r="8" customFormat="false" ht="31.5" hidden="false" customHeight="true" outlineLevel="0" collapsed="false">
      <c r="B8" s="47" t="s">
        <v>1396</v>
      </c>
      <c r="C8" s="9" t="s">
        <v>4729</v>
      </c>
      <c r="D8" s="9"/>
    </row>
    <row r="10" customFormat="false" ht="15.75" hidden="false" customHeight="true" outlineLevel="0" collapsed="false">
      <c r="B10" s="7" t="s">
        <v>1398</v>
      </c>
      <c r="C10" s="8"/>
      <c r="D10" s="8"/>
      <c r="E10" s="8"/>
      <c r="F10" s="8"/>
      <c r="G10" s="8"/>
      <c r="H10" s="8"/>
      <c r="I10" s="8"/>
      <c r="J10" s="8"/>
      <c r="K10" s="8"/>
    </row>
    <row r="11" customFormat="false" ht="15.75" hidden="false" customHeight="true" outlineLevel="0" collapsed="false">
      <c r="B11" s="9" t="s">
        <v>4730</v>
      </c>
      <c r="C11" s="9"/>
      <c r="D11" s="9"/>
      <c r="E11" s="9"/>
      <c r="F11" s="9"/>
    </row>
    <row r="12" customFormat="false" ht="15.75" hidden="false" customHeight="true" outlineLevel="0" collapsed="false">
      <c r="B12" s="9"/>
      <c r="C12" s="9"/>
      <c r="D12" s="9"/>
      <c r="E12" s="9"/>
      <c r="F12" s="9"/>
    </row>
    <row r="13" customFormat="false" ht="15.75" hidden="false" customHeight="true" outlineLevel="0" collapsed="false">
      <c r="B13" s="9" t="s">
        <v>4731</v>
      </c>
      <c r="C13" s="9"/>
      <c r="D13" s="9"/>
      <c r="E13" s="9"/>
      <c r="F13" s="9"/>
    </row>
    <row r="14" customFormat="false" ht="15.75" hidden="false" customHeight="true" outlineLevel="0" collapsed="false">
      <c r="B14" s="9"/>
      <c r="C14" s="9"/>
      <c r="D14" s="9"/>
      <c r="E14" s="9"/>
      <c r="F14" s="9"/>
    </row>
    <row r="15" customFormat="false" ht="17.25" hidden="false" customHeight="true" outlineLevel="0" collapsed="false">
      <c r="B15" s="9" t="s">
        <v>4732</v>
      </c>
      <c r="C15" s="9"/>
      <c r="D15" s="9"/>
      <c r="E15" s="9"/>
      <c r="F15" s="9"/>
    </row>
    <row r="16" customFormat="false" ht="15" hidden="false" customHeight="true" outlineLevel="0" collapsed="false">
      <c r="B16" s="9" t="s">
        <v>4733</v>
      </c>
      <c r="C16" s="9"/>
      <c r="D16" s="9"/>
      <c r="E16" s="9"/>
      <c r="F16" s="9"/>
    </row>
    <row r="17" customFormat="false" ht="15" hidden="false" customHeight="true" outlineLevel="0" collapsed="false">
      <c r="B17" s="9"/>
      <c r="C17" s="9"/>
      <c r="D17" s="9"/>
      <c r="E17" s="9"/>
      <c r="F17" s="9"/>
    </row>
    <row r="18" customFormat="false" ht="15" hidden="false" customHeight="true" outlineLevel="0" collapsed="false">
      <c r="B18" s="9"/>
      <c r="C18" s="9"/>
      <c r="D18" s="9"/>
      <c r="E18" s="9"/>
      <c r="F18" s="9"/>
    </row>
    <row r="19" customFormat="false" ht="17.25" hidden="false" customHeight="true" outlineLevel="0" collapsed="false">
      <c r="B19" s="9" t="s">
        <v>4734</v>
      </c>
      <c r="C19" s="9"/>
      <c r="D19" s="9"/>
      <c r="E19" s="9"/>
      <c r="F19" s="9"/>
    </row>
    <row r="20" customFormat="false" ht="17.25" hidden="false" customHeight="true" outlineLevel="0" collapsed="false">
      <c r="B20" s="9" t="s">
        <v>4735</v>
      </c>
      <c r="C20" s="9"/>
      <c r="D20" s="9"/>
      <c r="E20" s="9"/>
      <c r="F20" s="9"/>
    </row>
    <row r="21" customFormat="false" ht="15.75" hidden="false" customHeight="true" outlineLevel="0" collapsed="false">
      <c r="B21" s="9" t="s">
        <v>4736</v>
      </c>
      <c r="C21" s="9"/>
      <c r="D21" s="9"/>
      <c r="E21" s="9"/>
      <c r="F21" s="9"/>
    </row>
    <row r="22" customFormat="false" ht="15.75" hidden="false" customHeight="true" outlineLevel="0" collapsed="false">
      <c r="B22" s="9"/>
      <c r="C22" s="9"/>
      <c r="D22" s="9"/>
      <c r="E22" s="9"/>
      <c r="F22" s="9"/>
    </row>
    <row r="23" customFormat="false" ht="17.25" hidden="false" customHeight="true" outlineLevel="0" collapsed="false">
      <c r="B23" s="9" t="s">
        <v>4737</v>
      </c>
      <c r="C23" s="9"/>
      <c r="D23" s="9"/>
      <c r="E23" s="9"/>
      <c r="F23" s="9"/>
    </row>
    <row r="25" customFormat="false" ht="15.75" hidden="false" customHeight="true" outlineLevel="0" collapsed="false">
      <c r="B25" s="7" t="s">
        <v>1406</v>
      </c>
      <c r="C25" s="8"/>
      <c r="D25" s="8"/>
      <c r="E25" s="8"/>
      <c r="F25" s="8"/>
      <c r="G25" s="8"/>
      <c r="H25" s="8"/>
      <c r="I25" s="8"/>
      <c r="J25" s="8"/>
      <c r="K25" s="8"/>
    </row>
    <row r="26" customFormat="false" ht="17.25" hidden="false" customHeight="true" outlineLevel="0" collapsed="false">
      <c r="B26" s="48" t="s">
        <v>1407</v>
      </c>
      <c r="C26" s="48"/>
      <c r="E26" s="49" t="s">
        <v>1408</v>
      </c>
      <c r="F26" s="49"/>
    </row>
    <row r="27" customFormat="false" ht="31.5" hidden="false" customHeight="true" outlineLevel="0" collapsed="false">
      <c r="B27" s="23" t="s">
        <v>4738</v>
      </c>
      <c r="C27" s="23"/>
      <c r="E27" s="23" t="s">
        <v>4739</v>
      </c>
      <c r="F27" s="23"/>
    </row>
    <row r="28" customFormat="false" ht="45.75" hidden="false" customHeight="true" outlineLevel="0" collapsed="false">
      <c r="B28" s="23" t="s">
        <v>4740</v>
      </c>
      <c r="C28" s="23"/>
      <c r="E28" s="23" t="s">
        <v>4741</v>
      </c>
      <c r="F28" s="23"/>
    </row>
    <row r="29" customFormat="false" ht="31.5" hidden="false" customHeight="true" outlineLevel="0" collapsed="false">
      <c r="B29" s="23" t="s">
        <v>4742</v>
      </c>
      <c r="C29" s="23"/>
      <c r="E29" s="23" t="s">
        <v>4743</v>
      </c>
      <c r="F29" s="23"/>
    </row>
    <row r="30" customFormat="false" ht="17.25" hidden="false" customHeight="true" outlineLevel="0" collapsed="false">
      <c r="B30" s="23" t="s">
        <v>4744</v>
      </c>
      <c r="C30" s="23"/>
      <c r="D30" s="23"/>
      <c r="E30" s="23"/>
      <c r="F30" s="23"/>
    </row>
    <row r="32" customFormat="false" ht="16.5" hidden="false" customHeight="true" outlineLevel="0" collapsed="false">
      <c r="B32" s="11" t="s">
        <v>1416</v>
      </c>
      <c r="C32" s="11" t="s">
        <v>1417</v>
      </c>
      <c r="D32" s="11" t="s">
        <v>1418</v>
      </c>
      <c r="E32" s="11" t="s">
        <v>1419</v>
      </c>
    </row>
    <row r="33" customFormat="false" ht="30.75" hidden="false" customHeight="true" outlineLevel="0" collapsed="false">
      <c r="B33" s="12" t="s">
        <v>4745</v>
      </c>
      <c r="C33" s="12" t="s">
        <v>4746</v>
      </c>
      <c r="D33" s="12" t="s">
        <v>4747</v>
      </c>
      <c r="E33" s="50" t="s">
        <v>970</v>
      </c>
    </row>
    <row r="34" customFormat="false" ht="44.25" hidden="false" customHeight="true" outlineLevel="0" collapsed="false">
      <c r="B34" s="12" t="s">
        <v>3655</v>
      </c>
      <c r="C34" s="12" t="s">
        <v>4748</v>
      </c>
      <c r="D34" s="12" t="s">
        <v>4749</v>
      </c>
      <c r="E34" s="50" t="s">
        <v>964</v>
      </c>
    </row>
    <row r="35" customFormat="false" ht="30.75" hidden="false" customHeight="true" outlineLevel="0" collapsed="false">
      <c r="B35" s="12" t="s">
        <v>4750</v>
      </c>
      <c r="C35" s="12" t="s">
        <v>4751</v>
      </c>
      <c r="D35" s="12" t="s">
        <v>4752</v>
      </c>
      <c r="E35" s="50" t="s">
        <v>4753</v>
      </c>
    </row>
    <row r="37" customFormat="false" ht="15.75" hidden="false" customHeight="true" outlineLevel="0" collapsed="false">
      <c r="B37" s="7" t="s">
        <v>1429</v>
      </c>
      <c r="C37" s="8"/>
      <c r="D37" s="8"/>
      <c r="E37" s="8"/>
      <c r="F37" s="8"/>
      <c r="G37" s="8"/>
      <c r="H37" s="8"/>
      <c r="I37" s="8"/>
      <c r="J37" s="8"/>
      <c r="K37" s="8"/>
    </row>
    <row r="38" customFormat="false" ht="15" hidden="false" customHeight="true" outlineLevel="0" collapsed="false">
      <c r="B38" s="47" t="s">
        <v>4754</v>
      </c>
    </row>
    <row r="39" customFormat="false" ht="17.25" hidden="false" customHeight="true" outlineLevel="0" collapsed="false">
      <c r="B39" s="52" t="s">
        <v>4755</v>
      </c>
      <c r="C39" s="52"/>
      <c r="D39" s="52"/>
      <c r="E39" s="52"/>
      <c r="F39" s="52"/>
    </row>
    <row r="40" customFormat="false" ht="17.25" hidden="false" customHeight="true" outlineLevel="0" collapsed="false">
      <c r="B40" s="51" t="s">
        <v>4756</v>
      </c>
      <c r="C40" s="51"/>
      <c r="D40" s="51"/>
      <c r="E40" s="51"/>
      <c r="F40" s="51"/>
    </row>
    <row r="41" customFormat="false" ht="17.25" hidden="false" customHeight="true" outlineLevel="0" collapsed="false">
      <c r="B41" s="52" t="s">
        <v>4757</v>
      </c>
      <c r="C41" s="52"/>
      <c r="D41" s="52"/>
      <c r="E41" s="52"/>
      <c r="F41" s="52"/>
    </row>
    <row r="42" customFormat="false" ht="17.25" hidden="false" customHeight="true" outlineLevel="0" collapsed="false">
      <c r="B42" s="51" t="s">
        <v>4758</v>
      </c>
      <c r="C42" s="51"/>
      <c r="D42" s="51"/>
      <c r="E42" s="51"/>
      <c r="F42" s="51"/>
    </row>
    <row r="43" customFormat="false" ht="15" hidden="false" customHeight="true" outlineLevel="0" collapsed="false">
      <c r="B43" s="59" t="s">
        <v>4759</v>
      </c>
    </row>
    <row r="44" customFormat="false" ht="15" hidden="false" customHeight="true" outlineLevel="0" collapsed="false">
      <c r="B44" s="59" t="s">
        <v>4760</v>
      </c>
    </row>
    <row r="45" customFormat="false" ht="15.75" hidden="false" customHeight="true" outlineLevel="0" collapsed="false">
      <c r="B45" s="52" t="s">
        <v>4761</v>
      </c>
      <c r="C45" s="52"/>
      <c r="D45" s="52"/>
      <c r="E45" s="52"/>
      <c r="F45" s="52"/>
    </row>
    <row r="46" customFormat="false" ht="15.75" hidden="false" customHeight="true" outlineLevel="0" collapsed="false">
      <c r="B46" s="52"/>
      <c r="C46" s="52"/>
      <c r="D46" s="52"/>
      <c r="E46" s="52"/>
      <c r="F46" s="52"/>
    </row>
    <row r="47" customFormat="false" ht="15" hidden="false" customHeight="true" outlineLevel="0" collapsed="false">
      <c r="B47" s="47" t="s">
        <v>4762</v>
      </c>
    </row>
    <row r="48" customFormat="false" ht="8.25" hidden="false" customHeight="true" outlineLevel="0" collapsed="false">
      <c r="B48" s="52" t="s">
        <v>4763</v>
      </c>
      <c r="C48" s="52"/>
      <c r="D48" s="52"/>
      <c r="E48" s="52"/>
      <c r="F48" s="52"/>
    </row>
    <row r="49" customFormat="false" ht="8.25" hidden="false" customHeight="true" outlineLevel="0" collapsed="false">
      <c r="B49" s="52"/>
      <c r="C49" s="52"/>
      <c r="D49" s="52"/>
      <c r="E49" s="52"/>
      <c r="F49" s="52"/>
    </row>
    <row r="50" customFormat="false" ht="17.25" hidden="false" customHeight="true" outlineLevel="0" collapsed="false">
      <c r="B50" s="52" t="s">
        <v>4764</v>
      </c>
      <c r="C50" s="52"/>
      <c r="D50" s="52"/>
      <c r="E50" s="52"/>
      <c r="F50" s="52"/>
    </row>
    <row r="51" customFormat="false" ht="17.25" hidden="false" customHeight="true" outlineLevel="0" collapsed="false">
      <c r="B51" s="52" t="s">
        <v>4765</v>
      </c>
      <c r="C51" s="52"/>
      <c r="D51" s="52"/>
      <c r="E51" s="52"/>
      <c r="F51" s="52"/>
    </row>
    <row r="53" customFormat="false" ht="15.75" hidden="false" customHeight="true" outlineLevel="0" collapsed="false">
      <c r="B53" s="7" t="s">
        <v>1437</v>
      </c>
      <c r="C53" s="8"/>
      <c r="D53" s="8"/>
      <c r="E53" s="8"/>
      <c r="F53" s="8"/>
      <c r="G53" s="8"/>
      <c r="H53" s="8"/>
      <c r="I53" s="8"/>
      <c r="J53" s="8"/>
      <c r="K53" s="8"/>
    </row>
    <row r="54" customFormat="false" ht="16.5" hidden="false" customHeight="true" outlineLevel="0" collapsed="false">
      <c r="B54" s="11" t="s">
        <v>1438</v>
      </c>
      <c r="C54" s="11" t="s">
        <v>1439</v>
      </c>
      <c r="D54" s="11" t="s">
        <v>1440</v>
      </c>
    </row>
    <row r="55" customFormat="false" ht="30.75" hidden="false" customHeight="true" outlineLevel="0" collapsed="false">
      <c r="B55" s="12" t="s">
        <v>2499</v>
      </c>
      <c r="C55" s="12" t="s">
        <v>4655</v>
      </c>
      <c r="D55" s="12" t="s">
        <v>4766</v>
      </c>
    </row>
    <row r="56" customFormat="false" ht="30.75" hidden="false" customHeight="true" outlineLevel="0" collapsed="false">
      <c r="B56" s="12" t="s">
        <v>4767</v>
      </c>
      <c r="C56" s="12" t="s">
        <v>4658</v>
      </c>
      <c r="D56" s="12" t="s">
        <v>4768</v>
      </c>
    </row>
    <row r="57" customFormat="false" ht="30.75" hidden="false" customHeight="true" outlineLevel="0" collapsed="false">
      <c r="B57" s="12" t="s">
        <v>4769</v>
      </c>
      <c r="C57" s="12" t="s">
        <v>4770</v>
      </c>
      <c r="D57" s="12" t="s">
        <v>4771</v>
      </c>
    </row>
    <row r="58" customFormat="false" ht="30.75" hidden="false" customHeight="true" outlineLevel="0" collapsed="false">
      <c r="B58" s="12" t="s">
        <v>4772</v>
      </c>
      <c r="C58" s="12" t="s">
        <v>4773</v>
      </c>
      <c r="D58" s="12" t="s">
        <v>4774</v>
      </c>
    </row>
    <row r="59" customFormat="false" ht="30.75" hidden="false" customHeight="true" outlineLevel="0" collapsed="false">
      <c r="B59" s="12" t="s">
        <v>4275</v>
      </c>
      <c r="C59" s="12" t="s">
        <v>4276</v>
      </c>
      <c r="D59" s="12" t="s">
        <v>4775</v>
      </c>
    </row>
    <row r="60" customFormat="false" ht="30.75" hidden="false" customHeight="true" outlineLevel="0" collapsed="false">
      <c r="B60" s="12" t="s">
        <v>1668</v>
      </c>
      <c r="C60" s="12" t="s">
        <v>4776</v>
      </c>
      <c r="D60" s="12" t="s">
        <v>4777</v>
      </c>
    </row>
    <row r="61" customFormat="false" ht="28.5" hidden="false" customHeight="true" outlineLevel="0" collapsed="false">
      <c r="B61" s="16" t="s">
        <v>1453</v>
      </c>
      <c r="C61" s="16"/>
      <c r="D61" s="16"/>
      <c r="E61" s="16"/>
      <c r="F61" s="16"/>
    </row>
    <row r="63" customFormat="false" ht="15.75" hidden="false" customHeight="true" outlineLevel="0" collapsed="false">
      <c r="B63" s="7" t="s">
        <v>1454</v>
      </c>
      <c r="C63" s="8"/>
      <c r="D63" s="8"/>
      <c r="E63" s="8"/>
      <c r="F63" s="8"/>
      <c r="G63" s="8"/>
      <c r="H63" s="8"/>
      <c r="I63" s="8"/>
      <c r="J63" s="8"/>
      <c r="K63" s="8"/>
    </row>
    <row r="64" customFormat="false" ht="15.75" hidden="false" customHeight="true" outlineLevel="0" collapsed="false">
      <c r="B64" s="9" t="s">
        <v>4778</v>
      </c>
      <c r="C64" s="9"/>
      <c r="D64" s="9"/>
      <c r="E64" s="9"/>
      <c r="F64" s="9"/>
    </row>
    <row r="65" customFormat="false" ht="15.75" hidden="false" customHeight="true" outlineLevel="0" collapsed="false">
      <c r="B65" s="9"/>
      <c r="C65" s="9"/>
      <c r="D65" s="9"/>
      <c r="E65" s="9"/>
      <c r="F65" s="9"/>
    </row>
    <row r="66" customFormat="false" ht="15" hidden="false" customHeight="true" outlineLevel="0" collapsed="false">
      <c r="B66" s="97" t="s">
        <v>4779</v>
      </c>
      <c r="C66" s="41" t="s">
        <v>86</v>
      </c>
      <c r="D66" s="94" t="n">
        <f aca="false">SLOPE($D$69:$D$93,$C$69:$C$93)</f>
        <v>-0.00243104045441951</v>
      </c>
    </row>
    <row r="67" customFormat="false" ht="15" hidden="false" customHeight="true" outlineLevel="0" collapsed="false">
      <c r="B67" s="10" t="s">
        <v>4780</v>
      </c>
      <c r="D67" s="66" t="n">
        <f aca="false">INTERCEPT($D$69:$D$93,$C$69:$C$93)</f>
        <v>0.600400692712663</v>
      </c>
    </row>
    <row r="68" customFormat="false" ht="30.75" hidden="false" customHeight="true" outlineLevel="0" collapsed="false">
      <c r="C68" s="11" t="s">
        <v>4781</v>
      </c>
      <c r="D68" s="11" t="s">
        <v>4782</v>
      </c>
      <c r="E68" s="11" t="s">
        <v>4783</v>
      </c>
      <c r="F68" s="11" t="s">
        <v>4784</v>
      </c>
      <c r="G68" s="11" t="s">
        <v>4785</v>
      </c>
      <c r="H68" s="11" t="s">
        <v>4786</v>
      </c>
      <c r="I68" s="11" t="s">
        <v>4787</v>
      </c>
      <c r="J68" s="11" t="s">
        <v>4788</v>
      </c>
      <c r="K68" s="11" t="s">
        <v>2596</v>
      </c>
    </row>
    <row r="69" customFormat="false" ht="15" hidden="false" customHeight="true" outlineLevel="0" collapsed="false">
      <c r="C69" s="93" t="n">
        <v>108</v>
      </c>
      <c r="D69" s="93" t="n">
        <v>0.3285</v>
      </c>
      <c r="E69" s="27" t="n">
        <v>1</v>
      </c>
      <c r="F69" s="66" t="n">
        <f aca="false">D67+D66*C69</f>
        <v>0.337848323635356</v>
      </c>
      <c r="G69" s="77" t="n">
        <f aca="false">D69-F69</f>
        <v>-0.00934832363535609</v>
      </c>
      <c r="H69" s="63" t="n">
        <f aca="false">IFERROR(G69/STEYX($D$69:$D$93,$C$69:$C$93),0)</f>
        <v>-1.15048916413271</v>
      </c>
      <c r="I69" s="66" t="n">
        <f aca="false">1/25+(C69-AVERAGE($C$69:$C$93))^2/DEVSQ($C$69:$C$93)</f>
        <v>0.150834026045996</v>
      </c>
      <c r="J69" s="77" t="n">
        <f aca="false">SMALL($G$69:$G$93,E69)</f>
        <v>-0.014086242726517</v>
      </c>
      <c r="K69" s="66" t="n">
        <f aca="false">NORMSINV((E69-0.375)/(25+0.25))</f>
        <v>-1.96421684194863</v>
      </c>
    </row>
    <row r="70" customFormat="false" ht="15" hidden="false" customHeight="true" outlineLevel="0" collapsed="false">
      <c r="C70" s="93" t="n">
        <v>108.7</v>
      </c>
      <c r="D70" s="93" t="n">
        <v>0.3321</v>
      </c>
      <c r="E70" s="27" t="n">
        <v>2</v>
      </c>
      <c r="F70" s="66" t="n">
        <f aca="false">D67+D66*C70</f>
        <v>0.336146595317262</v>
      </c>
      <c r="G70" s="77" t="n">
        <f aca="false">D70-F70</f>
        <v>-0.00404659531726243</v>
      </c>
      <c r="H70" s="63" t="n">
        <f aca="false">IFERROR(G70/STEYX($D$69:$D$93,$C$69:$C$93),0)</f>
        <v>-0.498010578766537</v>
      </c>
      <c r="I70" s="66" t="n">
        <f aca="false">1/25+(C70-AVERAGE($C$69:$C$93))^2/DEVSQ($C$69:$C$93)</f>
        <v>0.132286644499861</v>
      </c>
      <c r="J70" s="77" t="n">
        <f aca="false">SMALL($G$69:$G$93,E70)</f>
        <v>-0.0133603525907454</v>
      </c>
      <c r="K70" s="66" t="n">
        <f aca="false">NORMSINV((E70-0.375)/(25+0.25))</f>
        <v>-1.51919717863482</v>
      </c>
    </row>
    <row r="71" customFormat="false" ht="15" hidden="false" customHeight="true" outlineLevel="0" collapsed="false">
      <c r="C71" s="93" t="n">
        <v>109.3</v>
      </c>
      <c r="D71" s="93" t="n">
        <v>0.3413</v>
      </c>
      <c r="E71" s="27" t="n">
        <v>3</v>
      </c>
      <c r="F71" s="66" t="n">
        <f aca="false">D67+D66*C71</f>
        <v>0.334687971044611</v>
      </c>
      <c r="G71" s="77" t="n">
        <f aca="false">D71-F71</f>
        <v>0.00661202895538926</v>
      </c>
      <c r="H71" s="63" t="n">
        <f aca="false">IFERROR(G71/STEYX($D$69:$D$93,$C$69:$C$93),0)</f>
        <v>0.813736019721926</v>
      </c>
      <c r="I71" s="66" t="n">
        <f aca="false">1/25+(C71-AVERAGE($C$69:$C$93))^2/DEVSQ($C$69:$C$93)</f>
        <v>0.117739678581325</v>
      </c>
      <c r="J71" s="77" t="n">
        <f aca="false">SMALL($G$69:$G$93,E71)</f>
        <v>-0.00967756650041562</v>
      </c>
      <c r="K71" s="66" t="n">
        <f aca="false">NORMSINV((E71-0.375)/(25+0.25))</f>
        <v>-1.25930332677631</v>
      </c>
    </row>
    <row r="72" customFormat="false" ht="15" hidden="false" customHeight="true" outlineLevel="0" collapsed="false">
      <c r="C72" s="93" t="n">
        <v>110</v>
      </c>
      <c r="D72" s="93" t="n">
        <v>0.3189</v>
      </c>
      <c r="E72" s="27" t="n">
        <v>4</v>
      </c>
      <c r="F72" s="66" t="n">
        <f aca="false">D67+D66*C72</f>
        <v>0.332986242726517</v>
      </c>
      <c r="G72" s="77" t="n">
        <f aca="false">D72-F72</f>
        <v>-0.014086242726517</v>
      </c>
      <c r="H72" s="63" t="n">
        <f aca="false">IFERROR(G72/STEYX($D$69:$D$93,$C$69:$C$93),0)</f>
        <v>-1.73358029228989</v>
      </c>
      <c r="I72" s="66" t="n">
        <f aca="false">1/25+(C72-AVERAGE($C$69:$C$93))^2/DEVSQ($C$69:$C$93)</f>
        <v>0.102344139650873</v>
      </c>
      <c r="J72" s="77" t="n">
        <f aca="false">SMALL($G$69:$G$93,E72)</f>
        <v>-0.00934832363535609</v>
      </c>
      <c r="K72" s="66" t="n">
        <f aca="false">NORMSINV((E72-0.375)/(25+0.25))</f>
        <v>-1.06444156490296</v>
      </c>
    </row>
    <row r="73" customFormat="false" ht="15" hidden="false" customHeight="true" outlineLevel="0" collapsed="false">
      <c r="C73" s="93" t="n">
        <v>110.7</v>
      </c>
      <c r="D73" s="93" t="n">
        <v>0.3356</v>
      </c>
      <c r="E73" s="27" t="n">
        <v>5</v>
      </c>
      <c r="F73" s="66" t="n">
        <f aca="false">D67+D66*C73</f>
        <v>0.331284514408423</v>
      </c>
      <c r="G73" s="77" t="n">
        <f aca="false">D73-F73</f>
        <v>0.00431548559157657</v>
      </c>
      <c r="H73" s="63" t="n">
        <f aca="false">IFERROR(G73/STEYX($D$69:$D$93,$C$69:$C$93),0)</f>
        <v>0.531102645216729</v>
      </c>
      <c r="I73" s="66" t="n">
        <f aca="false">1/25+(C73-AVERAGE($C$69:$C$93))^2/DEVSQ($C$69:$C$93)</f>
        <v>0.0886457467442504</v>
      </c>
      <c r="J73" s="77" t="n">
        <f aca="false">SMALL($G$69:$G$93,E73)</f>
        <v>-0.00830172831809367</v>
      </c>
      <c r="K73" s="66" t="n">
        <f aca="false">NORMSINV((E73-0.375)/(25+0.25))</f>
        <v>-0.903356660859843</v>
      </c>
    </row>
    <row r="74" customFormat="false" ht="15" hidden="false" customHeight="true" outlineLevel="0" collapsed="false">
      <c r="C74" s="93" t="n">
        <v>111.3</v>
      </c>
      <c r="D74" s="93" t="n">
        <v>0.34</v>
      </c>
      <c r="E74" s="27" t="n">
        <v>6</v>
      </c>
      <c r="F74" s="66" t="n">
        <f aca="false">D67+D66*C74</f>
        <v>0.329825890135772</v>
      </c>
      <c r="G74" s="77" t="n">
        <f aca="false">D74-F74</f>
        <v>0.0101741098642283</v>
      </c>
      <c r="H74" s="63" t="n">
        <f aca="false">IFERROR(G74/STEYX($D$69:$D$93,$C$69:$C$93),0)</f>
        <v>1.25211787803541</v>
      </c>
      <c r="I74" s="66" t="n">
        <f aca="false">1/25+(C74-AVERAGE($C$69:$C$93))^2/DEVSQ($C$69:$C$93)</f>
        <v>0.0782550568024384</v>
      </c>
      <c r="J74" s="77" t="n">
        <f aca="false">SMALL($G$69:$G$93,E74)</f>
        <v>-0.00607583818232205</v>
      </c>
      <c r="K74" s="66" t="n">
        <f aca="false">NORMSINV((E74-0.375)/(25+0.25))</f>
        <v>-0.762863921878057</v>
      </c>
    </row>
    <row r="75" customFormat="false" ht="15" hidden="false" customHeight="true" outlineLevel="0" collapsed="false">
      <c r="C75" s="93" t="n">
        <v>112</v>
      </c>
      <c r="D75" s="93" t="n">
        <v>0.3307</v>
      </c>
      <c r="E75" s="27" t="n">
        <v>7</v>
      </c>
      <c r="F75" s="66" t="n">
        <f aca="false">D67+D66*C75</f>
        <v>0.328124161817678</v>
      </c>
      <c r="G75" s="77" t="n">
        <f aca="false">D75-F75</f>
        <v>0.00257583818232193</v>
      </c>
      <c r="H75" s="63" t="n">
        <f aca="false">IFERROR(G75/STEYX($D$69:$D$93,$C$69:$C$93),0)</f>
        <v>0.317005918164043</v>
      </c>
      <c r="I75" s="66" t="n">
        <f aca="false">1/25+(C75-AVERAGE($C$69:$C$93))^2/DEVSQ($C$69:$C$93)</f>
        <v>0.067708506511499</v>
      </c>
      <c r="J75" s="77" t="n">
        <f aca="false">SMALL($G$69:$G$93,E75)</f>
        <v>-0.00555340468273768</v>
      </c>
      <c r="K75" s="66" t="n">
        <f aca="false">NORMSINV((E75-0.375)/(25+0.25))</f>
        <v>-0.636036740695826</v>
      </c>
    </row>
    <row r="76" customFormat="false" ht="15" hidden="false" customHeight="true" outlineLevel="0" collapsed="false">
      <c r="C76" s="93" t="n">
        <v>112.7</v>
      </c>
      <c r="D76" s="93" t="n">
        <v>0.3297</v>
      </c>
      <c r="E76" s="27" t="n">
        <v>8</v>
      </c>
      <c r="F76" s="66" t="n">
        <f aca="false">D67+D66*C76</f>
        <v>0.326422433499584</v>
      </c>
      <c r="G76" s="77" t="n">
        <f aca="false">D76-F76</f>
        <v>0.00327756650041561</v>
      </c>
      <c r="H76" s="63" t="n">
        <f aca="false">IFERROR(G76/STEYX($D$69:$D$93,$C$69:$C$93),0)</f>
        <v>0.403366944763342</v>
      </c>
      <c r="I76" s="66" t="n">
        <f aca="false">1/25+(C76-AVERAGE($C$69:$C$93))^2/DEVSQ($C$69:$C$93)</f>
        <v>0.058859102244389</v>
      </c>
      <c r="J76" s="77" t="n">
        <f aca="false">SMALL($G$69:$G$93,E76)</f>
        <v>-0.00519827168190634</v>
      </c>
      <c r="K76" s="66" t="n">
        <f aca="false">NORMSINV((E76-0.375)/(25+0.25))</f>
        <v>-0.518713715121463</v>
      </c>
    </row>
    <row r="77" customFormat="false" ht="15" hidden="false" customHeight="true" outlineLevel="0" collapsed="false">
      <c r="C77" s="93" t="n">
        <v>113.3</v>
      </c>
      <c r="D77" s="93" t="n">
        <v>0.3432</v>
      </c>
      <c r="E77" s="27" t="n">
        <v>9</v>
      </c>
      <c r="F77" s="66" t="n">
        <f aca="false">D67+D66*C77</f>
        <v>0.324963809226933</v>
      </c>
      <c r="G77" s="77" t="n">
        <f aca="false">D77-F77</f>
        <v>0.0182361907730673</v>
      </c>
      <c r="H77" s="63" t="n">
        <f aca="false">IFERROR(G77/STEYX($D$69:$D$93,$C$69:$C$93),0)</f>
        <v>2.24431039166432</v>
      </c>
      <c r="I77" s="66" t="n">
        <f aca="false">1/25+(C77-AVERAGE($C$69:$C$93))^2/DEVSQ($C$69:$C$93)</f>
        <v>0.0526246882793018</v>
      </c>
      <c r="J77" s="77" t="n">
        <f aca="false">SMALL($G$69:$G$93,E77)</f>
        <v>-0.00404659531726243</v>
      </c>
      <c r="K77" s="66" t="n">
        <f aca="false">NORMSINV((E77-0.375)/(25+0.25))</f>
        <v>-0.408143511816288</v>
      </c>
    </row>
    <row r="78" customFormat="false" ht="15" hidden="false" customHeight="true" outlineLevel="0" collapsed="false">
      <c r="C78" s="93" t="n">
        <v>114</v>
      </c>
      <c r="D78" s="93" t="n">
        <v>0.3283</v>
      </c>
      <c r="E78" s="27" t="n">
        <v>10</v>
      </c>
      <c r="F78" s="66" t="n">
        <f aca="false">D67+D66*C78</f>
        <v>0.323262080908839</v>
      </c>
      <c r="G78" s="77" t="n">
        <f aca="false">D78-F78</f>
        <v>0.00503791909116091</v>
      </c>
      <c r="H78" s="63" t="n">
        <f aca="false">IFERROR(G78/STEYX($D$69:$D$93,$C$69:$C$93),0)</f>
        <v>0.620011838511533</v>
      </c>
      <c r="I78" s="66" t="n">
        <f aca="false">1/25+(C78-AVERAGE($C$69:$C$93))^2/DEVSQ($C$69:$C$93)</f>
        <v>0.0469271266278748</v>
      </c>
      <c r="J78" s="77" t="n">
        <f aca="false">SMALL($G$69:$G$93,E78)</f>
        <v>-0.00117410986422833</v>
      </c>
      <c r="K78" s="66" t="n">
        <f aca="false">NORMSINV((E78-0.375)/(25+0.25))</f>
        <v>-0.30236184494975</v>
      </c>
    </row>
    <row r="79" customFormat="false" ht="15" hidden="false" customHeight="true" outlineLevel="0" collapsed="false">
      <c r="C79" s="93" t="n">
        <v>114.7</v>
      </c>
      <c r="D79" s="93" t="n">
        <v>0.3082</v>
      </c>
      <c r="E79" s="27" t="n">
        <v>11</v>
      </c>
      <c r="F79" s="66" t="n">
        <f aca="false">D67+D66*C79</f>
        <v>0.321560352590745</v>
      </c>
      <c r="G79" s="77" t="n">
        <f aca="false">D79-F79</f>
        <v>-0.0133603525907454</v>
      </c>
      <c r="H79" s="63" t="n">
        <f aca="false">IFERROR(G79/STEYX($D$69:$D$93,$C$69:$C$93),0)</f>
        <v>-1.64424569411685</v>
      </c>
      <c r="I79" s="66" t="n">
        <f aca="false">1/25+(C79-AVERAGE($C$69:$C$93))^2/DEVSQ($C$69:$C$93)</f>
        <v>0.0429267110002771</v>
      </c>
      <c r="J79" s="77" t="n">
        <f aca="false">SMALL($G$69:$G$93,E79)</f>
        <v>-0.00111202895538931</v>
      </c>
      <c r="K79" s="66" t="n">
        <f aca="false">NORMSINV((E79-0.375)/(25+0.25))</f>
        <v>-0.19986756443194</v>
      </c>
    </row>
    <row r="80" customFormat="false" ht="15" hidden="false" customHeight="true" outlineLevel="0" collapsed="false">
      <c r="C80" s="93" t="n">
        <v>115.3</v>
      </c>
      <c r="D80" s="93" t="n">
        <v>0.3118</v>
      </c>
      <c r="E80" s="27" t="n">
        <v>12</v>
      </c>
      <c r="F80" s="66" t="n">
        <f aca="false">D67+D66*C80</f>
        <v>0.320101728318094</v>
      </c>
      <c r="G80" s="77" t="n">
        <f aca="false">D80-F80</f>
        <v>-0.00830172831809367</v>
      </c>
      <c r="H80" s="63" t="n">
        <f aca="false">IFERROR(G80/STEYX($D$69:$D$93,$C$69:$C$93),0)</f>
        <v>-1.02168568890979</v>
      </c>
      <c r="I80" s="66" t="n">
        <f aca="false">1/25+(C80-AVERAGE($C$69:$C$93))^2/DEVSQ($C$69:$C$93)</f>
        <v>0.0408485730119147</v>
      </c>
      <c r="J80" s="77" t="n">
        <f aca="false">SMALL($G$69:$G$93,E80)</f>
        <v>-0.000651676364643972</v>
      </c>
      <c r="K80" s="66" t="n">
        <f aca="false">NORMSINV((E80-0.375)/(25+0.25))</f>
        <v>-0.0994360268467557</v>
      </c>
    </row>
    <row r="81" customFormat="false" ht="15" hidden="false" customHeight="true" outlineLevel="0" collapsed="false">
      <c r="C81" s="93" t="n">
        <v>116</v>
      </c>
      <c r="D81" s="93" t="n">
        <v>0.3201</v>
      </c>
      <c r="E81" s="27" t="n">
        <v>13</v>
      </c>
      <c r="F81" s="66" t="n">
        <f aca="false">D67+D66*C81</f>
        <v>0.3184</v>
      </c>
      <c r="G81" s="77" t="n">
        <f aca="false">D81-F81</f>
        <v>0.00169999999999998</v>
      </c>
      <c r="H81" s="63" t="n">
        <f aca="false">IFERROR(G81/STEYX($D$69:$D$93,$C$69:$C$93),0)</f>
        <v>0.209217358674712</v>
      </c>
      <c r="I81" s="66" t="n">
        <f aca="false">1/25+(C81-AVERAGE($C$69:$C$93))^2/DEVSQ($C$69:$C$93)</f>
        <v>0.04</v>
      </c>
      <c r="J81" s="77" t="n">
        <f aca="false">SMALL($G$69:$G$93,E81)</f>
        <v>0.00148624272651704</v>
      </c>
      <c r="K81" s="66" t="n">
        <f aca="false">NORMSINV((E81-0.375)/(25+0.25))</f>
        <v>0</v>
      </c>
    </row>
    <row r="82" customFormat="false" ht="15" hidden="false" customHeight="true" outlineLevel="0" collapsed="false">
      <c r="C82" s="93" t="n">
        <v>116.7</v>
      </c>
      <c r="D82" s="93" t="n">
        <v>0.3115</v>
      </c>
      <c r="E82" s="27" t="n">
        <v>14</v>
      </c>
      <c r="F82" s="66" t="n">
        <f aca="false">D67+D66*C82</f>
        <v>0.316698271681906</v>
      </c>
      <c r="G82" s="77" t="n">
        <f aca="false">D82-F82</f>
        <v>-0.00519827168190634</v>
      </c>
      <c r="H82" s="63" t="n">
        <f aca="false">IFERROR(G82/STEYX($D$69:$D$93,$C$69:$C$93),0)</f>
        <v>-0.639746277036477</v>
      </c>
      <c r="I82" s="66" t="n">
        <f aca="false">1/25+(C82-AVERAGE($C$69:$C$93))^2/DEVSQ($C$69:$C$93)</f>
        <v>0.0408485730119147</v>
      </c>
      <c r="J82" s="77" t="n">
        <f aca="false">SMALL($G$69:$G$93,E82)</f>
        <v>0.00156208090883897</v>
      </c>
      <c r="K82" s="66" t="n">
        <f aca="false">NORMSINV((E82-0.375)/(25+0.25))</f>
        <v>0.0994360268467558</v>
      </c>
    </row>
    <row r="83" customFormat="false" ht="15" hidden="false" customHeight="true" outlineLevel="0" collapsed="false">
      <c r="C83" s="93" t="n">
        <v>117.3</v>
      </c>
      <c r="D83" s="93" t="n">
        <v>0.321</v>
      </c>
      <c r="E83" s="27" t="n">
        <v>15</v>
      </c>
      <c r="F83" s="66" t="n">
        <f aca="false">D67+D66*C83</f>
        <v>0.315239647409255</v>
      </c>
      <c r="G83" s="77" t="n">
        <f aca="false">D83-F83</f>
        <v>0.00576035259074531</v>
      </c>
      <c r="H83" s="63" t="n">
        <f aca="false">IFERROR(G83/STEYX($D$69:$D$93,$C$69:$C$93),0)</f>
        <v>0.708921031806343</v>
      </c>
      <c r="I83" s="66" t="n">
        <f aca="false">1/25+(C83-AVERAGE($C$69:$C$93))^2/DEVSQ($C$69:$C$93)</f>
        <v>0.0429267110002771</v>
      </c>
      <c r="J83" s="77" t="n">
        <f aca="false">SMALL($G$69:$G$93,E83)</f>
        <v>0.00169999999999998</v>
      </c>
      <c r="K83" s="66" t="n">
        <f aca="false">NORMSINV((E83-0.375)/(25+0.25))</f>
        <v>0.19986756443194</v>
      </c>
    </row>
    <row r="84" customFormat="false" ht="15" hidden="false" customHeight="true" outlineLevel="0" collapsed="false">
      <c r="C84" s="93" t="n">
        <v>118</v>
      </c>
      <c r="D84" s="93" t="n">
        <v>0.3151</v>
      </c>
      <c r="E84" s="27" t="n">
        <v>16</v>
      </c>
      <c r="F84" s="66" t="n">
        <f aca="false">D67+D66*C84</f>
        <v>0.313537919091161</v>
      </c>
      <c r="G84" s="77" t="n">
        <f aca="false">D84-F84</f>
        <v>0.00156208090883897</v>
      </c>
      <c r="H84" s="63" t="n">
        <f aca="false">IFERROR(G84/STEYX($D$69:$D$93,$C$69:$C$93),0)</f>
        <v>0.192243789284404</v>
      </c>
      <c r="I84" s="66" t="n">
        <f aca="false">1/25+(C84-AVERAGE($C$69:$C$93))^2/DEVSQ($C$69:$C$93)</f>
        <v>0.0469271266278748</v>
      </c>
      <c r="J84" s="77" t="n">
        <f aca="false">SMALL($G$69:$G$93,E84)</f>
        <v>0.00257583818232193</v>
      </c>
      <c r="K84" s="66" t="n">
        <f aca="false">NORMSINV((E84-0.375)/(25+0.25))</f>
        <v>0.30236184494975</v>
      </c>
    </row>
    <row r="85" customFormat="false" ht="15" hidden="false" customHeight="true" outlineLevel="0" collapsed="false">
      <c r="C85" s="93" t="n">
        <v>118.7</v>
      </c>
      <c r="D85" s="93" t="n">
        <v>0.3165</v>
      </c>
      <c r="E85" s="27" t="n">
        <v>17</v>
      </c>
      <c r="F85" s="66" t="n">
        <f aca="false">D67+D66*C85</f>
        <v>0.311836190773067</v>
      </c>
      <c r="G85" s="77" t="n">
        <f aca="false">D85-F85</f>
        <v>0.00466380922693266</v>
      </c>
      <c r="H85" s="63" t="n">
        <f aca="false">IFERROR(G85/STEYX($D$69:$D$93,$C$69:$C$93),0)</f>
        <v>0.573970498718596</v>
      </c>
      <c r="I85" s="66" t="n">
        <f aca="false">1/25+(C85-AVERAGE($C$69:$C$93))^2/DEVSQ($C$69:$C$93)</f>
        <v>0.0526246882793018</v>
      </c>
      <c r="J85" s="77" t="n">
        <f aca="false">SMALL($G$69:$G$93,E85)</f>
        <v>0.00327756650041561</v>
      </c>
      <c r="K85" s="66" t="n">
        <f aca="false">NORMSINV((E85-0.375)/(25+0.25))</f>
        <v>0.408143511816288</v>
      </c>
    </row>
    <row r="86" customFormat="false" ht="15" hidden="false" customHeight="true" outlineLevel="0" collapsed="false">
      <c r="C86" s="93" t="n">
        <v>119.3</v>
      </c>
      <c r="D86" s="93" t="n">
        <v>0.3007</v>
      </c>
      <c r="E86" s="27" t="n">
        <v>18</v>
      </c>
      <c r="F86" s="66" t="n">
        <f aca="false">D67+D66*C86</f>
        <v>0.310377566500416</v>
      </c>
      <c r="G86" s="77" t="n">
        <f aca="false">D86-F86</f>
        <v>-0.00967756650041562</v>
      </c>
      <c r="H86" s="63" t="n">
        <f aca="false">IFERROR(G86/STEYX($D$69:$D$93,$C$69:$C$93),0)</f>
        <v>-1.19100876565639</v>
      </c>
      <c r="I86" s="66" t="n">
        <f aca="false">1/25+(C86-AVERAGE($C$69:$C$93))^2/DEVSQ($C$69:$C$93)</f>
        <v>0.058859102244389</v>
      </c>
      <c r="J86" s="77" t="n">
        <f aca="false">SMALL($G$69:$G$93,E86)</f>
        <v>0.00431548559157657</v>
      </c>
      <c r="K86" s="66" t="n">
        <f aca="false">NORMSINV((E86-0.375)/(25+0.25))</f>
        <v>0.518713715121463</v>
      </c>
    </row>
    <row r="87" customFormat="false" ht="15" hidden="false" customHeight="true" outlineLevel="0" collapsed="false">
      <c r="C87" s="93" t="n">
        <v>120</v>
      </c>
      <c r="D87" s="93" t="n">
        <v>0.3026</v>
      </c>
      <c r="E87" s="27" t="n">
        <v>19</v>
      </c>
      <c r="F87" s="66" t="n">
        <f aca="false">D67+D66*C87</f>
        <v>0.308675838182322</v>
      </c>
      <c r="G87" s="77" t="n">
        <f aca="false">D87-F87</f>
        <v>-0.00607583818232205</v>
      </c>
      <c r="H87" s="63" t="n">
        <f aca="false">IFERROR(G87/STEYX($D$69:$D$93,$C$69:$C$93),0)</f>
        <v>-0.74774753896494</v>
      </c>
      <c r="I87" s="66" t="n">
        <f aca="false">1/25+(C87-AVERAGE($C$69:$C$93))^2/DEVSQ($C$69:$C$93)</f>
        <v>0.067708506511499</v>
      </c>
      <c r="J87" s="77" t="n">
        <f aca="false">SMALL($G$69:$G$93,E87)</f>
        <v>0.00466380922693266</v>
      </c>
      <c r="K87" s="66" t="n">
        <f aca="false">NORMSINV((E87-0.375)/(25+0.25))</f>
        <v>0.636036740695826</v>
      </c>
    </row>
    <row r="88" customFormat="false" ht="15" hidden="false" customHeight="true" outlineLevel="0" collapsed="false">
      <c r="C88" s="93" t="n">
        <v>120.7</v>
      </c>
      <c r="D88" s="93" t="n">
        <v>0.3058</v>
      </c>
      <c r="E88" s="27" t="n">
        <v>20</v>
      </c>
      <c r="F88" s="66" t="n">
        <f aca="false">D67+D66*C88</f>
        <v>0.306974109864228</v>
      </c>
      <c r="G88" s="77" t="n">
        <f aca="false">D88-F88</f>
        <v>-0.00117410986422833</v>
      </c>
      <c r="H88" s="63" t="n">
        <f aca="false">IFERROR(G88/STEYX($D$69:$D$93,$C$69:$C$93),0)</f>
        <v>-0.144496567404576</v>
      </c>
      <c r="I88" s="66" t="n">
        <f aca="false">1/25+(C88-AVERAGE($C$69:$C$93))^2/DEVSQ($C$69:$C$93)</f>
        <v>0.0782550568024384</v>
      </c>
      <c r="J88" s="77" t="n">
        <f aca="false">SMALL($G$69:$G$93,E88)</f>
        <v>0.00503791909116091</v>
      </c>
      <c r="K88" s="66" t="n">
        <f aca="false">NORMSINV((E88-0.375)/(25+0.25))</f>
        <v>0.762863921878057</v>
      </c>
    </row>
    <row r="89" customFormat="false" ht="15" hidden="false" customHeight="true" outlineLevel="0" collapsed="false">
      <c r="C89" s="93" t="n">
        <v>121.3</v>
      </c>
      <c r="D89" s="93" t="n">
        <v>0.3187</v>
      </c>
      <c r="E89" s="27" t="n">
        <v>21</v>
      </c>
      <c r="F89" s="66" t="n">
        <f aca="false">D67+D66*C89</f>
        <v>0.305515485591577</v>
      </c>
      <c r="G89" s="77" t="n">
        <f aca="false">D89-F89</f>
        <v>0.0131845144084233</v>
      </c>
      <c r="H89" s="63" t="n">
        <f aca="false">IFERROR(G89/STEYX($D$69:$D$93,$C$69:$C$93),0)</f>
        <v>1.62260545878767</v>
      </c>
      <c r="I89" s="66" t="n">
        <f aca="false">1/25+(C89-AVERAGE($C$69:$C$93))^2/DEVSQ($C$69:$C$93)</f>
        <v>0.0886457467442504</v>
      </c>
      <c r="J89" s="77" t="n">
        <f aca="false">SMALL($G$69:$G$93,E89)</f>
        <v>0.00576035259074531</v>
      </c>
      <c r="K89" s="66" t="n">
        <f aca="false">NORMSINV((E89-0.375)/(25+0.25))</f>
        <v>0.903356660859843</v>
      </c>
    </row>
    <row r="90" customFormat="false" ht="15" hidden="false" customHeight="true" outlineLevel="0" collapsed="false">
      <c r="C90" s="93" t="n">
        <v>122</v>
      </c>
      <c r="D90" s="93" t="n">
        <v>0.3053</v>
      </c>
      <c r="E90" s="27" t="n">
        <v>22</v>
      </c>
      <c r="F90" s="66" t="n">
        <f aca="false">D67+D66*C90</f>
        <v>0.303813757273483</v>
      </c>
      <c r="G90" s="77" t="n">
        <f aca="false">D90-F90</f>
        <v>0.00148624272651704</v>
      </c>
      <c r="H90" s="63" t="n">
        <f aca="false">IFERROR(G90/STEYX($D$69:$D$93,$C$69:$C$93),0)</f>
        <v>0.182910457406707</v>
      </c>
      <c r="I90" s="66" t="n">
        <f aca="false">1/25+(C90-AVERAGE($C$69:$C$93))^2/DEVSQ($C$69:$C$93)</f>
        <v>0.102344139650873</v>
      </c>
      <c r="J90" s="77" t="n">
        <f aca="false">SMALL($G$69:$G$93,E90)</f>
        <v>0.00661202895538926</v>
      </c>
      <c r="K90" s="66" t="n">
        <f aca="false">NORMSINV((E90-0.375)/(25+0.25))</f>
        <v>1.06444156490296</v>
      </c>
    </row>
    <row r="91" customFormat="false" ht="15" hidden="false" customHeight="true" outlineLevel="0" collapsed="false">
      <c r="C91" s="93" t="n">
        <v>122.7</v>
      </c>
      <c r="D91" s="93" t="n">
        <v>0.301</v>
      </c>
      <c r="E91" s="27" t="n">
        <v>23</v>
      </c>
      <c r="F91" s="66" t="n">
        <f aca="false">D67+D66*C91</f>
        <v>0.302112028955389</v>
      </c>
      <c r="G91" s="77" t="n">
        <f aca="false">D91-F91</f>
        <v>-0.00111202895538931</v>
      </c>
      <c r="H91" s="63" t="n">
        <f aca="false">IFERROR(G91/STEYX($D$69:$D$93,$C$69:$C$93),0)</f>
        <v>-0.136856329891973</v>
      </c>
      <c r="I91" s="66" t="n">
        <f aca="false">1/25+(C91-AVERAGE($C$69:$C$93))^2/DEVSQ($C$69:$C$93)</f>
        <v>0.117739678581325</v>
      </c>
      <c r="J91" s="77" t="n">
        <f aca="false">SMALL($G$69:$G$93,E91)</f>
        <v>0.0101741098642283</v>
      </c>
      <c r="K91" s="66" t="n">
        <f aca="false">NORMSINV((E91-0.375)/(25+0.25))</f>
        <v>1.25930332677631</v>
      </c>
    </row>
    <row r="92" customFormat="false" ht="15" hidden="false" customHeight="true" outlineLevel="0" collapsed="false">
      <c r="C92" s="93" t="n">
        <v>123.3</v>
      </c>
      <c r="D92" s="93" t="n">
        <v>0.2951</v>
      </c>
      <c r="E92" s="27" t="n">
        <v>24</v>
      </c>
      <c r="F92" s="66" t="n">
        <f aca="false">D67+D66*C92</f>
        <v>0.300653404682738</v>
      </c>
      <c r="G92" s="77" t="n">
        <f aca="false">D92-F92</f>
        <v>-0.00555340468273768</v>
      </c>
      <c r="H92" s="63" t="n">
        <f aca="false">IFERROR(G92/STEYX($D$69:$D$93,$C$69:$C$93),0)</f>
        <v>-0.683452152573041</v>
      </c>
      <c r="I92" s="66" t="n">
        <f aca="false">1/25+(C92-AVERAGE($C$69:$C$93))^2/DEVSQ($C$69:$C$93)</f>
        <v>0.132286644499861</v>
      </c>
      <c r="J92" s="77" t="n">
        <f aca="false">SMALL($G$69:$G$93,E92)</f>
        <v>0.0131845144084233</v>
      </c>
      <c r="K92" s="66" t="n">
        <f aca="false">NORMSINV((E92-0.375)/(25+0.25))</f>
        <v>1.51919717863482</v>
      </c>
    </row>
    <row r="93" customFormat="false" ht="15" hidden="false" customHeight="true" outlineLevel="0" collapsed="false">
      <c r="C93" s="93" t="n">
        <v>124</v>
      </c>
      <c r="D93" s="93" t="n">
        <v>0.2983</v>
      </c>
      <c r="E93" s="27" t="n">
        <v>25</v>
      </c>
      <c r="F93" s="66" t="n">
        <f aca="false">D67+D66*C93</f>
        <v>0.298951676364644</v>
      </c>
      <c r="G93" s="77" t="n">
        <f aca="false">D93-F93</f>
        <v>-0.000651676364643972</v>
      </c>
      <c r="H93" s="63" t="n">
        <f aca="false">IFERROR(G93/STEYX($D$69:$D$93,$C$69:$C$93),0)</f>
        <v>-0.0802011810126776</v>
      </c>
      <c r="I93" s="66" t="n">
        <f aca="false">1/25+(C93-AVERAGE($C$69:$C$93))^2/DEVSQ($C$69:$C$93)</f>
        <v>0.150834026045996</v>
      </c>
      <c r="J93" s="77" t="n">
        <f aca="false">SMALL($G$69:$G$93,E93)</f>
        <v>0.0182361907730673</v>
      </c>
      <c r="K93" s="66" t="n">
        <f aca="false">NORMSINV((E93-0.375)/(25+0.25))</f>
        <v>1.96421684194863</v>
      </c>
    </row>
    <row r="96" customFormat="false" ht="15.75" hidden="false" customHeight="true" outlineLevel="0" collapsed="false">
      <c r="B96" s="7" t="s">
        <v>4789</v>
      </c>
      <c r="C96" s="8"/>
      <c r="D96" s="8"/>
      <c r="E96" s="8"/>
      <c r="F96" s="8"/>
      <c r="G96" s="8"/>
      <c r="H96" s="8"/>
      <c r="I96" s="8"/>
      <c r="J96" s="8"/>
      <c r="K96" s="8"/>
    </row>
    <row r="97" customFormat="false" ht="16.5" hidden="false" customHeight="true" outlineLevel="0" collapsed="false">
      <c r="B97" s="11" t="s">
        <v>1697</v>
      </c>
      <c r="C97" s="11" t="s">
        <v>1698</v>
      </c>
      <c r="D97" s="11" t="s">
        <v>1699</v>
      </c>
      <c r="E97" s="11" t="s">
        <v>1700</v>
      </c>
    </row>
    <row r="98" customFormat="false" ht="15" hidden="false" customHeight="true" outlineLevel="0" collapsed="false">
      <c r="B98" s="41" t="str">
        <f aca="false">TEXT(C98,"0.000")&amp;" to "&amp;TEXT(D98,"0.000")</f>
        <v>-0.014 to -0.010</v>
      </c>
      <c r="C98" s="66" t="n">
        <f aca="false">MIN($G$69:$G$93)+(0)*(MAX($G$69:$G$93)-MIN($G$69:$G$93))/8</f>
        <v>-0.014086242726517</v>
      </c>
      <c r="D98" s="66" t="n">
        <f aca="false">MIN($G$69:$G$93)+(1)*(MAX($G$69:$G$93)-MIN($G$69:$G$93))/8</f>
        <v>-0.010045938539069</v>
      </c>
      <c r="E98" s="44" t="n">
        <f aca="false">COUNTIFS($G$69:$G$93,"&gt;="&amp;C98,$G$69:$G$93,"&lt;"&amp;D98)</f>
        <v>2</v>
      </c>
    </row>
    <row r="99" customFormat="false" ht="15" hidden="false" customHeight="true" outlineLevel="0" collapsed="false">
      <c r="B99" s="41" t="str">
        <f aca="false">TEXT(C99,"0.000")&amp;" to "&amp;TEXT(D99,"0.000")</f>
        <v>-0.010 to -0.006</v>
      </c>
      <c r="C99" s="66" t="n">
        <f aca="false">MIN($G$69:$G$93)+(1)*(MAX($G$69:$G$93)-MIN($G$69:$G$93))/8</f>
        <v>-0.010045938539069</v>
      </c>
      <c r="D99" s="66" t="n">
        <f aca="false">MIN($G$69:$G$93)+(2)*(MAX($G$69:$G$93)-MIN($G$69:$G$93))/8</f>
        <v>-0.00600563435162095</v>
      </c>
      <c r="E99" s="44" t="n">
        <f aca="false">COUNTIFS($G$69:$G$93,"&gt;="&amp;C99,$G$69:$G$93,"&lt;"&amp;D99)</f>
        <v>4</v>
      </c>
    </row>
    <row r="100" customFormat="false" ht="15" hidden="false" customHeight="true" outlineLevel="0" collapsed="false">
      <c r="B100" s="41" t="str">
        <f aca="false">TEXT(C100,"0.000")&amp;" to "&amp;TEXT(D100,"0.000")</f>
        <v>-0.006 to -0.002</v>
      </c>
      <c r="C100" s="66" t="n">
        <f aca="false">MIN($G$69:$G$93)+(2)*(MAX($G$69:$G$93)-MIN($G$69:$G$93))/8</f>
        <v>-0.00600563435162095</v>
      </c>
      <c r="D100" s="66" t="n">
        <f aca="false">MIN($G$69:$G$93)+(3)*(MAX($G$69:$G$93)-MIN($G$69:$G$93))/8</f>
        <v>-0.00196533016417291</v>
      </c>
      <c r="E100" s="44" t="n">
        <f aca="false">COUNTIFS($G$69:$G$93,"&gt;="&amp;C100,$G$69:$G$93,"&lt;"&amp;D100)</f>
        <v>3</v>
      </c>
    </row>
    <row r="101" customFormat="false" ht="15" hidden="false" customHeight="true" outlineLevel="0" collapsed="false">
      <c r="B101" s="41" t="str">
        <f aca="false">TEXT(C101,"0.000")&amp;" to "&amp;TEXT(D101,"0.000")</f>
        <v>-0.002 to 0.002</v>
      </c>
      <c r="C101" s="66" t="n">
        <f aca="false">MIN($G$69:$G$93)+(3)*(MAX($G$69:$G$93)-MIN($G$69:$G$93))/8</f>
        <v>-0.00196533016417291</v>
      </c>
      <c r="D101" s="66" t="n">
        <f aca="false">MIN($G$69:$G$93)+(4)*(MAX($G$69:$G$93)-MIN($G$69:$G$93))/8</f>
        <v>0.00207497402327514</v>
      </c>
      <c r="E101" s="44" t="n">
        <f aca="false">COUNTIFS($G$69:$G$93,"&gt;="&amp;C101,$G$69:$G$93,"&lt;"&amp;D101)</f>
        <v>6</v>
      </c>
    </row>
    <row r="102" customFormat="false" ht="15" hidden="false" customHeight="true" outlineLevel="0" collapsed="false">
      <c r="B102" s="41" t="str">
        <f aca="false">TEXT(C102,"0.000")&amp;" to "&amp;TEXT(D102,"0.000")</f>
        <v>0.002 to 0.006</v>
      </c>
      <c r="C102" s="66" t="n">
        <f aca="false">MIN($G$69:$G$93)+(4)*(MAX($G$69:$G$93)-MIN($G$69:$G$93))/8</f>
        <v>0.00207497402327514</v>
      </c>
      <c r="D102" s="66" t="n">
        <f aca="false">MIN($G$69:$G$93)+(5)*(MAX($G$69:$G$93)-MIN($G$69:$G$93))/8</f>
        <v>0.00611527821072318</v>
      </c>
      <c r="E102" s="44" t="n">
        <f aca="false">COUNTIFS($G$69:$G$93,"&gt;="&amp;C102,$G$69:$G$93,"&lt;"&amp;D102)</f>
        <v>6</v>
      </c>
    </row>
    <row r="103" customFormat="false" ht="15" hidden="false" customHeight="true" outlineLevel="0" collapsed="false">
      <c r="B103" s="41" t="str">
        <f aca="false">TEXT(C103,"0.000")&amp;" to "&amp;TEXT(D103,"0.000")</f>
        <v>0.006 to 0.010</v>
      </c>
      <c r="C103" s="66" t="n">
        <f aca="false">MIN($G$69:$G$93)+(5)*(MAX($G$69:$G$93)-MIN($G$69:$G$93))/8</f>
        <v>0.00611527821072318</v>
      </c>
      <c r="D103" s="66" t="n">
        <f aca="false">MIN($G$69:$G$93)+(6)*(MAX($G$69:$G$93)-MIN($G$69:$G$93))/8</f>
        <v>0.0101555823981712</v>
      </c>
      <c r="E103" s="44" t="n">
        <f aca="false">COUNTIFS($G$69:$G$93,"&gt;="&amp;C103,$G$69:$G$93,"&lt;"&amp;D103)</f>
        <v>1</v>
      </c>
    </row>
    <row r="104" customFormat="false" ht="15" hidden="false" customHeight="true" outlineLevel="0" collapsed="false">
      <c r="B104" s="41" t="str">
        <f aca="false">TEXT(C104,"0.000")&amp;" to "&amp;TEXT(D104,"0.000")</f>
        <v>0.010 to 0.014</v>
      </c>
      <c r="C104" s="66" t="n">
        <f aca="false">MIN($G$69:$G$93)+(6)*(MAX($G$69:$G$93)-MIN($G$69:$G$93))/8</f>
        <v>0.0101555823981712</v>
      </c>
      <c r="D104" s="66" t="n">
        <f aca="false">MIN($G$69:$G$93)+(7)*(MAX($G$69:$G$93)-MIN($G$69:$G$93))/8</f>
        <v>0.0141958865856193</v>
      </c>
      <c r="E104" s="44" t="n">
        <f aca="false">COUNTIFS($G$69:$G$93,"&gt;="&amp;C104,$G$69:$G$93,"&lt;"&amp;D104)</f>
        <v>2</v>
      </c>
    </row>
    <row r="105" customFormat="false" ht="15" hidden="false" customHeight="true" outlineLevel="0" collapsed="false">
      <c r="B105" s="41" t="str">
        <f aca="false">TEXT(C105,"0.000")&amp;" to "&amp;TEXT(D105,"0.000")</f>
        <v>0.014 to 0.018</v>
      </c>
      <c r="C105" s="66" t="n">
        <f aca="false">MIN($G$69:$G$93)+(7)*(MAX($G$69:$G$93)-MIN($G$69:$G$93))/8</f>
        <v>0.0141958865856193</v>
      </c>
      <c r="D105" s="66" t="n">
        <f aca="false">MIN($G$69:$G$93)+(8)*(MAX($G$69:$G$93)-MIN($G$69:$G$93))/8</f>
        <v>0.0182361907730673</v>
      </c>
      <c r="E105" s="44" t="n">
        <f aca="false">COUNTIFS($G$69:$G$93,"&gt;="&amp;C105,$G$69:$G$93,"&lt;="&amp;D105)</f>
        <v>1</v>
      </c>
    </row>
    <row r="107" customFormat="false" ht="15.75" hidden="false" customHeight="true" outlineLevel="0" collapsed="false">
      <c r="B107" s="7" t="s">
        <v>4790</v>
      </c>
      <c r="C107" s="8"/>
      <c r="D107" s="8"/>
      <c r="E107" s="8"/>
      <c r="F107" s="8"/>
      <c r="G107" s="8"/>
      <c r="H107" s="8"/>
      <c r="I107" s="8"/>
      <c r="J107" s="8"/>
      <c r="K107" s="8"/>
    </row>
    <row r="108" customFormat="false" ht="15" hidden="false" customHeight="true" outlineLevel="0" collapsed="false">
      <c r="B108" s="10" t="s">
        <v>4791</v>
      </c>
      <c r="C108" s="72" t="n">
        <f aca="false">AVERAGE($G$69:$G$93)</f>
        <v>-3.10862446895044E-017</v>
      </c>
    </row>
    <row r="109" customFormat="false" ht="15" hidden="false" customHeight="true" outlineLevel="0" collapsed="false">
      <c r="B109" s="10" t="s">
        <v>4792</v>
      </c>
      <c r="C109" s="94" t="n">
        <f aca="false">STEYX($D$69:$D$93,$C$69:$C$93)</f>
        <v>0.00812552080175677</v>
      </c>
    </row>
    <row r="110" customFormat="false" ht="15" hidden="false" customHeight="true" outlineLevel="0" collapsed="false">
      <c r="B110" s="10" t="s">
        <v>4793</v>
      </c>
      <c r="C110" s="63" t="n">
        <f aca="false">IFERROR(SUMXMY2($G$70:$G$93,$G$69:$G$92)/SUMSQ($G$69:$G$93),0)</f>
        <v>1.77438758658664</v>
      </c>
    </row>
    <row r="111" customFormat="false" ht="15" hidden="false" customHeight="true" outlineLevel="0" collapsed="false">
      <c r="B111" s="10" t="s">
        <v>4794</v>
      </c>
      <c r="C111" s="63" t="n">
        <f aca="false">SKEW($G$69:$G$93)</f>
        <v>0.196435521545526</v>
      </c>
    </row>
    <row r="112" customFormat="false" ht="15" hidden="false" customHeight="true" outlineLevel="0" collapsed="false">
      <c r="B112" s="10" t="s">
        <v>4795</v>
      </c>
      <c r="C112" s="63" t="n">
        <f aca="false">KURT($G$69:$G$93)</f>
        <v>-0.0473887714340815</v>
      </c>
    </row>
    <row r="113" customFormat="false" ht="15" hidden="false" customHeight="true" outlineLevel="0" collapsed="false">
      <c r="B113" s="10" t="s">
        <v>4796</v>
      </c>
      <c r="C113" s="77" t="n">
        <f aca="false">CORREL($J$69:$J$93,$K$69:$K$93)</f>
        <v>0.991135067533817</v>
      </c>
    </row>
    <row r="114" customFormat="false" ht="15" hidden="false" customHeight="true" outlineLevel="0" collapsed="false">
      <c r="B114" s="10" t="s">
        <v>4797</v>
      </c>
      <c r="C114" s="66" t="n">
        <f aca="false">CORREL($G$69:$G$93,$F$69:$F$93)</f>
        <v>1.94599289218219E-016</v>
      </c>
    </row>
    <row r="115" customFormat="false" ht="15" hidden="false" customHeight="true" outlineLevel="0" collapsed="false">
      <c r="B115" s="10" t="s">
        <v>4798</v>
      </c>
      <c r="C115" s="66" t="n">
        <f aca="false">IFERROR(SUMPRODUCT((ABS($G$69:$G$93)-AVERAGE(ABS($G$69:$G$93)))*($F$69:$F$93-AVERAGE($F$69:$F$93)))/SQRT(SUMPRODUCT((ABS($G$69:$G$93)-AVERAGE(ABS($G$69:$G$93)))^2)*DEVSQ($F$69:$F$93)),0)</f>
        <v>0.337613173959239</v>
      </c>
    </row>
    <row r="116" customFormat="false" ht="15" hidden="false" customHeight="true" outlineLevel="0" collapsed="false">
      <c r="B116" s="10" t="s">
        <v>4799</v>
      </c>
      <c r="C116" s="66" t="n">
        <f aca="false">MAX($I$69:$I$93)</f>
        <v>0.150834026045996</v>
      </c>
    </row>
    <row r="117" customFormat="false" ht="15" hidden="false" customHeight="true" outlineLevel="0" collapsed="false">
      <c r="B117" s="10" t="s">
        <v>4800</v>
      </c>
      <c r="C117" s="66" t="n">
        <f aca="false">4/25</f>
        <v>0.16</v>
      </c>
    </row>
    <row r="118" customFormat="false" ht="15" hidden="false" customHeight="true" outlineLevel="0" collapsed="false">
      <c r="B118" s="10" t="s">
        <v>4801</v>
      </c>
      <c r="C118" s="44" t="n">
        <f aca="false">COUNTIF($H$69:$H$93,"&gt;2")+COUNTIF($H$69:$H$93,"&lt;-2")</f>
        <v>1</v>
      </c>
    </row>
    <row r="120" customFormat="false" ht="15.75" hidden="false" customHeight="true" outlineLevel="0" collapsed="false">
      <c r="B120" s="7" t="s">
        <v>1493</v>
      </c>
      <c r="C120" s="8"/>
      <c r="D120" s="8"/>
      <c r="E120" s="8"/>
      <c r="F120" s="8"/>
      <c r="G120" s="8"/>
      <c r="H120" s="8"/>
      <c r="I120" s="8"/>
      <c r="J120" s="8"/>
      <c r="K120" s="8"/>
    </row>
    <row r="121" customFormat="false" ht="33.75" hidden="false" customHeight="true" outlineLevel="0" collapsed="false">
      <c r="B121" s="53" t="s">
        <v>1494</v>
      </c>
      <c r="C121" s="54" t="str">
        <f aca="false">IF(ABS(C115)&gt;0.4,"NON-CONSTANT VARIANCE - the spread of the residuals grows with the fitted value (funnel correlation "&amp;TEXT(C115,"0.00")&amp;"). Every standard error and interval on E-36 is unreliable. Transform Y on E-33.",IF(OR(C110&lt;1.5,C110&gt;2.5),"AUTOCORRELATED RESIDUALS (Durbin-Watson = "&amp;TEXT(C110,"0.00")&amp;") - something changed over time that the model does not contain. The standard errors are too small.",IF(C113&lt;0.97,"NON-NORMAL RESIDUALS (plot correlation "&amp;TEXT(C113,"0.000")&amp;") - check plot 2 and the histogram for skew or outliers before trusting the p-values.",IF(C118&gt;0,"MODEL BROADLY SOUND but "&amp;TEXT(C118,"0")&amp;" observation(s) have a standardised residual beyond +/- 2. Investigate them before publishing the model.","MODEL DIAGNOSTICS ARE CLEAN - no curvature, no funnel, residuals independent and approximately normal. The coefficients and intervals on E-36 can be trusted."))))</f>
        <v>MODEL BROADLY SOUND but 1 observation(s) have a standardised residual beyond +/- 2. Investigate them before publishing the model.</v>
      </c>
      <c r="D121" s="54"/>
      <c r="E121" s="54"/>
    </row>
    <row r="123" customFormat="false" ht="16.5" hidden="false" customHeight="true" outlineLevel="0" collapsed="false">
      <c r="B123" s="11" t="s">
        <v>1495</v>
      </c>
      <c r="C123" s="11" t="s">
        <v>1496</v>
      </c>
      <c r="D123" s="11" t="s">
        <v>1497</v>
      </c>
    </row>
    <row r="124" customFormat="false" ht="30.75" hidden="false" customHeight="true" outlineLevel="0" collapsed="false">
      <c r="B124" s="12" t="s">
        <v>4802</v>
      </c>
      <c r="C124" s="12" t="s">
        <v>4803</v>
      </c>
      <c r="D124" s="12" t="s">
        <v>4804</v>
      </c>
    </row>
    <row r="125" customFormat="false" ht="16.5" hidden="false" customHeight="true" outlineLevel="0" collapsed="false">
      <c r="B125" s="12" t="s">
        <v>4805</v>
      </c>
      <c r="C125" s="12" t="s">
        <v>4806</v>
      </c>
      <c r="D125" s="12" t="s">
        <v>4750</v>
      </c>
    </row>
    <row r="126" customFormat="false" ht="16.5" hidden="false" customHeight="true" outlineLevel="0" collapsed="false">
      <c r="B126" s="12" t="s">
        <v>4807</v>
      </c>
      <c r="C126" s="12" t="s">
        <v>4808</v>
      </c>
      <c r="D126" s="12" t="s">
        <v>4809</v>
      </c>
    </row>
    <row r="127" customFormat="false" ht="30.75" hidden="false" customHeight="true" outlineLevel="0" collapsed="false">
      <c r="B127" s="12" t="s">
        <v>4810</v>
      </c>
      <c r="C127" s="12" t="s">
        <v>4811</v>
      </c>
      <c r="D127" s="12" t="s">
        <v>4812</v>
      </c>
    </row>
    <row r="128" customFormat="false" ht="30.75" hidden="false" customHeight="true" outlineLevel="0" collapsed="false">
      <c r="B128" s="12" t="s">
        <v>4787</v>
      </c>
      <c r="C128" s="12" t="s">
        <v>4813</v>
      </c>
      <c r="D128" s="12" t="s">
        <v>4814</v>
      </c>
    </row>
    <row r="130" customFormat="false" ht="15" hidden="false" customHeight="true" outlineLevel="0" collapsed="false">
      <c r="B130" s="55" t="s">
        <v>1507</v>
      </c>
    </row>
    <row r="131" customFormat="false" ht="17.25" hidden="false" customHeight="true" outlineLevel="0" collapsed="false">
      <c r="B131" s="9" t="s">
        <v>4815</v>
      </c>
      <c r="C131" s="9"/>
      <c r="D131" s="9"/>
      <c r="E131" s="9"/>
      <c r="F131" s="9"/>
    </row>
    <row r="132" customFormat="false" ht="17.25" hidden="false" customHeight="true" outlineLevel="0" collapsed="false">
      <c r="B132" s="9" t="s">
        <v>4816</v>
      </c>
      <c r="C132" s="9"/>
      <c r="D132" s="9"/>
      <c r="E132" s="9"/>
      <c r="F132" s="9"/>
    </row>
    <row r="133" customFormat="false" ht="17.25" hidden="false" customHeight="true" outlineLevel="0" collapsed="false">
      <c r="B133" s="9" t="s">
        <v>4817</v>
      </c>
      <c r="C133" s="9"/>
      <c r="D133" s="9"/>
      <c r="E133" s="9"/>
      <c r="F133" s="9"/>
    </row>
    <row r="134" customFormat="false" ht="31.5" hidden="false" customHeight="true" outlineLevel="0" collapsed="false">
      <c r="B134" s="9" t="s">
        <v>4818</v>
      </c>
      <c r="C134" s="9"/>
      <c r="D134" s="9"/>
      <c r="E134" s="9"/>
      <c r="F134" s="9"/>
    </row>
    <row r="135" customFormat="false" ht="17.25" hidden="false" customHeight="true" outlineLevel="0" collapsed="false">
      <c r="B135" s="9" t="s">
        <v>4819</v>
      </c>
      <c r="C135" s="9"/>
      <c r="D135" s="9"/>
      <c r="E135" s="9"/>
      <c r="F135" s="9"/>
    </row>
    <row r="137" customFormat="false" ht="15.75" hidden="false" customHeight="true" outlineLevel="0" collapsed="false">
      <c r="B137" s="7" t="s">
        <v>1513</v>
      </c>
      <c r="C137" s="8"/>
      <c r="D137" s="8"/>
      <c r="E137" s="8"/>
      <c r="F137" s="8"/>
      <c r="G137" s="8"/>
      <c r="H137" s="8"/>
      <c r="I137" s="8"/>
      <c r="J137" s="8"/>
      <c r="K137" s="8"/>
    </row>
    <row r="138" customFormat="false" ht="17.25" hidden="false" customHeight="true" outlineLevel="0" collapsed="false">
      <c r="B138" s="9" t="s">
        <v>1514</v>
      </c>
      <c r="C138" s="9"/>
      <c r="D138" s="9"/>
      <c r="E138" s="9"/>
      <c r="N138" s="56" t="s">
        <v>1515</v>
      </c>
    </row>
    <row r="139" customFormat="false" ht="17.25" hidden="false" customHeight="true" outlineLevel="0" collapsed="false">
      <c r="B139" s="9" t="s">
        <v>4820</v>
      </c>
      <c r="C139" s="9"/>
      <c r="D139" s="9"/>
      <c r="E139" s="9"/>
      <c r="N139" s="57" t="s">
        <v>4821</v>
      </c>
    </row>
    <row r="140" customFormat="false" ht="17.25" hidden="false" customHeight="true" outlineLevel="0" collapsed="false">
      <c r="B140" s="9" t="s">
        <v>4822</v>
      </c>
      <c r="C140" s="9"/>
      <c r="D140" s="9"/>
      <c r="E140" s="9"/>
      <c r="N140" s="57" t="s">
        <v>4823</v>
      </c>
    </row>
    <row r="141" customFormat="false" ht="17.25" hidden="false" customHeight="true" outlineLevel="0" collapsed="false">
      <c r="B141" s="9" t="s">
        <v>4824</v>
      </c>
      <c r="C141" s="9"/>
      <c r="D141" s="9"/>
      <c r="E141" s="9"/>
      <c r="N141" s="57" t="s">
        <v>4825</v>
      </c>
    </row>
    <row r="143" customFormat="false" ht="15.75" hidden="false" customHeight="true" outlineLevel="0" collapsed="false">
      <c r="B143" s="7" t="s">
        <v>1522</v>
      </c>
      <c r="C143" s="8"/>
      <c r="D143" s="8"/>
      <c r="E143" s="8"/>
      <c r="F143" s="8"/>
      <c r="G143" s="8"/>
      <c r="H143" s="8"/>
      <c r="I143" s="8"/>
      <c r="J143" s="8"/>
      <c r="K143" s="8"/>
    </row>
    <row r="144" customFormat="false" ht="16.5" hidden="false" customHeight="true" outlineLevel="0" collapsed="false">
      <c r="B144" s="11" t="s">
        <v>1523</v>
      </c>
      <c r="C144" s="11" t="s">
        <v>1524</v>
      </c>
      <c r="D144" s="11" t="s">
        <v>1615</v>
      </c>
    </row>
    <row r="145" customFormat="false" ht="30.75" hidden="false" customHeight="true" outlineLevel="0" collapsed="false">
      <c r="B145" s="58" t="s">
        <v>1134</v>
      </c>
      <c r="C145" s="58" t="s">
        <v>4724</v>
      </c>
      <c r="D145" s="58" t="s">
        <v>970</v>
      </c>
    </row>
  </sheetData>
  <mergeCells count="42">
    <mergeCell ref="B2:J2"/>
    <mergeCell ref="D3:E3"/>
    <mergeCell ref="C6:D6"/>
    <mergeCell ref="C7:D7"/>
    <mergeCell ref="C8:D8"/>
    <mergeCell ref="B11:F12"/>
    <mergeCell ref="B13:F14"/>
    <mergeCell ref="B15:F15"/>
    <mergeCell ref="B16:F18"/>
    <mergeCell ref="B19:F19"/>
    <mergeCell ref="B20:F20"/>
    <mergeCell ref="B21:F22"/>
    <mergeCell ref="B23:F23"/>
    <mergeCell ref="B26:C26"/>
    <mergeCell ref="E26:F26"/>
    <mergeCell ref="B27:C27"/>
    <mergeCell ref="E27:F27"/>
    <mergeCell ref="B28:C28"/>
    <mergeCell ref="E28:F28"/>
    <mergeCell ref="B29:C29"/>
    <mergeCell ref="E29:F29"/>
    <mergeCell ref="B30:F30"/>
    <mergeCell ref="B39:F39"/>
    <mergeCell ref="B40:F40"/>
    <mergeCell ref="B41:F41"/>
    <mergeCell ref="B42:F42"/>
    <mergeCell ref="B45:F46"/>
    <mergeCell ref="B48:F49"/>
    <mergeCell ref="B50:F50"/>
    <mergeCell ref="B51:F51"/>
    <mergeCell ref="B61:F61"/>
    <mergeCell ref="B64:F65"/>
    <mergeCell ref="C121:E121"/>
    <mergeCell ref="B131:F131"/>
    <mergeCell ref="B132:F132"/>
    <mergeCell ref="B133:F133"/>
    <mergeCell ref="B134:F134"/>
    <mergeCell ref="B135:F135"/>
    <mergeCell ref="B138:E138"/>
    <mergeCell ref="B139:E139"/>
    <mergeCell ref="B140:E140"/>
    <mergeCell ref="B141:E141"/>
  </mergeCells>
  <hyperlinks>
    <hyperlink ref="B3" location="'N-03 Index DMAIC'!A1" display="← Back to Index"/>
    <hyperlink ref="E33" location="'E-33 When Assumptions Fail'!A1" display="E-33  When Assumptions Fail: Transformations and Alternatives"/>
    <hyperlink ref="E34" location="'E-32 Normality Testing'!A1" display="E-32  Normality Testing and Probability Plots"/>
    <hyperlink ref="E35" location="'E-55 CUSUM and EWMA'!A1" display="E-55  CUSUM and EWMA Charts"/>
    <hyperlink ref="B145" location="'E-36 Simple Regression'!A1" display="E-36  Simple Linear Regression"/>
    <hyperlink ref="C145" location="'E-38 Multiple Regression'!A1" display="E-38  Multiple Regression and Multicollinearity"/>
    <hyperlink ref="D145" location="'E-33 When Assumptions Fail'!A1" display="E-33  When Assumptions Fail: Transformations and Alternativ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4826</v>
      </c>
      <c r="C2" s="3"/>
      <c r="D2" s="3"/>
      <c r="E2" s="3"/>
      <c r="F2" s="3"/>
      <c r="G2" s="3"/>
      <c r="H2" s="3"/>
      <c r="I2" s="3"/>
      <c r="J2" s="3"/>
      <c r="K2" s="80" t="s">
        <v>2864</v>
      </c>
    </row>
    <row r="3" customFormat="false" ht="28.5" hidden="false" customHeight="true" outlineLevel="0" collapsed="false">
      <c r="B3" s="5" t="s">
        <v>3</v>
      </c>
      <c r="D3" s="6" t="s">
        <v>4827</v>
      </c>
      <c r="E3" s="6"/>
      <c r="F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4828</v>
      </c>
      <c r="D6" s="9"/>
    </row>
    <row r="7" customFormat="false" ht="17.25" hidden="false" customHeight="true" outlineLevel="0" collapsed="false">
      <c r="B7" s="47" t="s">
        <v>1394</v>
      </c>
      <c r="C7" s="9" t="s">
        <v>4829</v>
      </c>
      <c r="D7" s="9"/>
    </row>
    <row r="8" customFormat="false" ht="31.5" hidden="false" customHeight="true" outlineLevel="0" collapsed="false">
      <c r="B8" s="47" t="s">
        <v>1396</v>
      </c>
      <c r="C8" s="9" t="s">
        <v>4830</v>
      </c>
      <c r="D8" s="9"/>
    </row>
    <row r="10" customFormat="false" ht="15.75" hidden="false" customHeight="true" outlineLevel="0" collapsed="false">
      <c r="B10" s="7" t="s">
        <v>1398</v>
      </c>
      <c r="C10" s="8"/>
      <c r="D10" s="8"/>
      <c r="E10" s="8"/>
      <c r="F10" s="8"/>
      <c r="G10" s="8"/>
      <c r="H10" s="8"/>
      <c r="I10" s="8"/>
      <c r="J10" s="8"/>
      <c r="K10" s="8"/>
    </row>
    <row r="11" customFormat="false" ht="15.75" hidden="false" customHeight="true" outlineLevel="0" collapsed="false">
      <c r="B11" s="9" t="s">
        <v>4831</v>
      </c>
      <c r="C11" s="9"/>
      <c r="D11" s="9"/>
      <c r="E11" s="9"/>
      <c r="F11" s="9"/>
    </row>
    <row r="12" customFormat="false" ht="15.75" hidden="false" customHeight="true" outlineLevel="0" collapsed="false">
      <c r="B12" s="9"/>
      <c r="C12" s="9"/>
      <c r="D12" s="9"/>
      <c r="E12" s="9"/>
      <c r="F12" s="9"/>
    </row>
    <row r="13" customFormat="false" ht="15" hidden="false" customHeight="true" outlineLevel="0" collapsed="false">
      <c r="B13" s="9" t="s">
        <v>4832</v>
      </c>
      <c r="C13" s="9"/>
      <c r="D13" s="9"/>
      <c r="E13" s="9"/>
      <c r="F13" s="9"/>
    </row>
    <row r="14" customFormat="false" ht="15" hidden="false" customHeight="true" outlineLevel="0" collapsed="false">
      <c r="B14" s="9"/>
      <c r="C14" s="9"/>
      <c r="D14" s="9"/>
      <c r="E14" s="9"/>
      <c r="F14" s="9"/>
    </row>
    <row r="15" customFormat="false" ht="15" hidden="false" customHeight="true" outlineLevel="0" collapsed="false">
      <c r="B15" s="9"/>
      <c r="C15" s="9"/>
      <c r="D15" s="9"/>
      <c r="E15" s="9"/>
      <c r="F15" s="9"/>
    </row>
    <row r="16" customFormat="false" ht="15" hidden="false" customHeight="true" outlineLevel="0" collapsed="false">
      <c r="B16" s="9" t="s">
        <v>4833</v>
      </c>
      <c r="C16" s="9"/>
      <c r="D16" s="9"/>
      <c r="E16" s="9"/>
      <c r="F16" s="9"/>
    </row>
    <row r="17" customFormat="false" ht="15" hidden="false" customHeight="true" outlineLevel="0" collapsed="false">
      <c r="B17" s="9"/>
      <c r="C17" s="9"/>
      <c r="D17" s="9"/>
      <c r="E17" s="9"/>
      <c r="F17" s="9"/>
    </row>
    <row r="18" customFormat="false" ht="15" hidden="false" customHeight="true" outlineLevel="0" collapsed="false">
      <c r="B18" s="9"/>
      <c r="C18" s="9"/>
      <c r="D18" s="9"/>
      <c r="E18" s="9"/>
      <c r="F18" s="9"/>
    </row>
    <row r="19" customFormat="false" ht="10.5" hidden="false" customHeight="true" outlineLevel="0" collapsed="false">
      <c r="B19" s="9" t="s">
        <v>4834</v>
      </c>
      <c r="C19" s="9"/>
      <c r="D19" s="9"/>
      <c r="E19" s="9"/>
      <c r="F19" s="9"/>
    </row>
    <row r="20" customFormat="false" ht="10.5" hidden="false" customHeight="true" outlineLevel="0" collapsed="false">
      <c r="B20" s="9"/>
      <c r="C20" s="9"/>
      <c r="D20" s="9"/>
      <c r="E20" s="9"/>
      <c r="F20" s="9"/>
    </row>
    <row r="21" customFormat="false" ht="10.5" hidden="false" customHeight="true" outlineLevel="0" collapsed="false">
      <c r="B21" s="9"/>
      <c r="C21" s="9"/>
      <c r="D21" s="9"/>
      <c r="E21" s="9"/>
      <c r="F21" s="9"/>
    </row>
    <row r="22" customFormat="false" ht="10.5" hidden="false" customHeight="true" outlineLevel="0" collapsed="false">
      <c r="B22" s="9" t="s">
        <v>4835</v>
      </c>
      <c r="C22" s="9"/>
      <c r="D22" s="9"/>
      <c r="E22" s="9"/>
      <c r="F22" s="9"/>
    </row>
    <row r="23" customFormat="false" ht="10.5" hidden="false" customHeight="true" outlineLevel="0" collapsed="false">
      <c r="B23" s="9"/>
      <c r="C23" s="9"/>
      <c r="D23" s="9"/>
      <c r="E23" s="9"/>
      <c r="F23" s="9"/>
    </row>
    <row r="24" customFormat="false" ht="10.5" hidden="false" customHeight="true" outlineLevel="0" collapsed="false">
      <c r="B24" s="9"/>
      <c r="C24" s="9"/>
      <c r="D24" s="9"/>
      <c r="E24" s="9"/>
      <c r="F24" s="9"/>
    </row>
    <row r="26" customFormat="false" ht="15.75" hidden="false" customHeight="true" outlineLevel="0" collapsed="false">
      <c r="B26" s="7" t="s">
        <v>1406</v>
      </c>
      <c r="C26" s="8"/>
      <c r="D26" s="8"/>
      <c r="E26" s="8"/>
      <c r="F26" s="8"/>
      <c r="G26" s="8"/>
      <c r="H26" s="8"/>
      <c r="I26" s="8"/>
      <c r="J26" s="8"/>
      <c r="K26" s="8"/>
    </row>
    <row r="27" customFormat="false" ht="17.25" hidden="false" customHeight="true" outlineLevel="0" collapsed="false">
      <c r="B27" s="48" t="s">
        <v>1407</v>
      </c>
      <c r="C27" s="48"/>
      <c r="D27" s="48"/>
      <c r="E27" s="55" t="s">
        <v>1408</v>
      </c>
    </row>
    <row r="28" customFormat="false" ht="30.75" hidden="false" customHeight="true" outlineLevel="0" collapsed="false">
      <c r="B28" s="23" t="s">
        <v>4836</v>
      </c>
      <c r="C28" s="23"/>
      <c r="D28" s="23"/>
      <c r="E28" s="82" t="s">
        <v>4837</v>
      </c>
    </row>
    <row r="29" customFormat="false" ht="30.75" hidden="false" customHeight="true" outlineLevel="0" collapsed="false">
      <c r="B29" s="23" t="s">
        <v>4838</v>
      </c>
      <c r="C29" s="23"/>
      <c r="D29" s="23"/>
      <c r="E29" s="82" t="s">
        <v>4839</v>
      </c>
    </row>
    <row r="30" customFormat="false" ht="30.75" hidden="false" customHeight="true" outlineLevel="0" collapsed="false">
      <c r="B30" s="23" t="s">
        <v>4840</v>
      </c>
      <c r="C30" s="23"/>
      <c r="D30" s="23"/>
      <c r="E30" s="82" t="s">
        <v>4841</v>
      </c>
    </row>
    <row r="31" customFormat="false" ht="17.25" hidden="false" customHeight="true" outlineLevel="0" collapsed="false">
      <c r="B31" s="23" t="s">
        <v>4842</v>
      </c>
      <c r="C31" s="23"/>
      <c r="D31" s="23"/>
      <c r="E31" s="23"/>
      <c r="F31" s="23"/>
    </row>
    <row r="33" customFormat="false" ht="16.5" hidden="false" customHeight="true" outlineLevel="0" collapsed="false">
      <c r="B33" s="11" t="s">
        <v>1416</v>
      </c>
      <c r="C33" s="11" t="s">
        <v>1417</v>
      </c>
      <c r="D33" s="11" t="s">
        <v>1418</v>
      </c>
      <c r="E33" s="11" t="s">
        <v>1419</v>
      </c>
    </row>
    <row r="34" customFormat="false" ht="30.75" hidden="false" customHeight="true" outlineLevel="0" collapsed="false">
      <c r="B34" s="12" t="s">
        <v>4843</v>
      </c>
      <c r="C34" s="12" t="s">
        <v>4844</v>
      </c>
      <c r="D34" s="12" t="s">
        <v>4845</v>
      </c>
      <c r="E34" s="50" t="s">
        <v>1039</v>
      </c>
    </row>
    <row r="35" customFormat="false" ht="30.75" hidden="false" customHeight="true" outlineLevel="0" collapsed="false">
      <c r="B35" s="12" t="s">
        <v>4846</v>
      </c>
      <c r="C35" s="12" t="s">
        <v>4847</v>
      </c>
      <c r="D35" s="12" t="s">
        <v>4848</v>
      </c>
      <c r="E35" s="50" t="s">
        <v>1288</v>
      </c>
    </row>
    <row r="36" customFormat="false" ht="30.75" hidden="false" customHeight="true" outlineLevel="0" collapsed="false">
      <c r="B36" s="12" t="s">
        <v>4849</v>
      </c>
      <c r="C36" s="12" t="s">
        <v>4850</v>
      </c>
      <c r="D36" s="12" t="s">
        <v>4851</v>
      </c>
      <c r="E36" s="50" t="s">
        <v>4633</v>
      </c>
    </row>
    <row r="38" customFormat="false" ht="15.75" hidden="false" customHeight="true" outlineLevel="0" collapsed="false">
      <c r="B38" s="7" t="s">
        <v>1429</v>
      </c>
      <c r="C38" s="8"/>
      <c r="D38" s="8"/>
      <c r="E38" s="8"/>
      <c r="F38" s="8"/>
      <c r="G38" s="8"/>
      <c r="H38" s="8"/>
      <c r="I38" s="8"/>
      <c r="J38" s="8"/>
      <c r="K38" s="8"/>
    </row>
    <row r="39" customFormat="false" ht="15" hidden="false" customHeight="true" outlineLevel="0" collapsed="false">
      <c r="B39" s="47" t="s">
        <v>4852</v>
      </c>
    </row>
    <row r="40" customFormat="false" ht="17.25" hidden="false" customHeight="true" outlineLevel="0" collapsed="false">
      <c r="B40" s="52" t="s">
        <v>4853</v>
      </c>
      <c r="C40" s="52"/>
      <c r="D40" s="52"/>
      <c r="E40" s="52"/>
      <c r="F40" s="52"/>
    </row>
    <row r="41" customFormat="false" ht="17.25" hidden="false" customHeight="true" outlineLevel="0" collapsed="false">
      <c r="B41" s="51" t="s">
        <v>4854</v>
      </c>
      <c r="C41" s="51"/>
      <c r="D41" s="51"/>
      <c r="E41" s="51"/>
      <c r="F41" s="51"/>
    </row>
    <row r="42" customFormat="false" ht="17.25" hidden="false" customHeight="true" outlineLevel="0" collapsed="false">
      <c r="B42" s="52" t="s">
        <v>4855</v>
      </c>
      <c r="C42" s="52"/>
      <c r="D42" s="52"/>
      <c r="E42" s="52"/>
      <c r="F42" s="52"/>
    </row>
    <row r="43" customFormat="false" ht="17.25" hidden="false" customHeight="true" outlineLevel="0" collapsed="false">
      <c r="B43" s="51" t="s">
        <v>4856</v>
      </c>
      <c r="C43" s="51"/>
      <c r="D43" s="51"/>
      <c r="E43" s="51"/>
      <c r="F43" s="51"/>
    </row>
    <row r="44" customFormat="false" ht="17.25" hidden="false" customHeight="true" outlineLevel="0" collapsed="false">
      <c r="B44" s="52" t="s">
        <v>4857</v>
      </c>
      <c r="C44" s="52"/>
      <c r="D44" s="52"/>
      <c r="E44" s="52"/>
      <c r="F44" s="52"/>
    </row>
    <row r="45" customFormat="false" ht="17.25" hidden="false" customHeight="true" outlineLevel="0" collapsed="false">
      <c r="B45" s="51" t="s">
        <v>4858</v>
      </c>
      <c r="C45" s="51"/>
      <c r="D45" s="51"/>
      <c r="E45" s="51"/>
      <c r="F45" s="51"/>
    </row>
    <row r="46" customFormat="false" ht="15.75" hidden="false" customHeight="true" outlineLevel="0" collapsed="false">
      <c r="B46" s="52" t="s">
        <v>4859</v>
      </c>
      <c r="C46" s="52"/>
      <c r="D46" s="52"/>
      <c r="E46" s="52"/>
      <c r="F46" s="52"/>
    </row>
    <row r="47" customFormat="false" ht="15.75" hidden="false" customHeight="true" outlineLevel="0" collapsed="false">
      <c r="B47" s="52"/>
      <c r="C47" s="52"/>
      <c r="D47" s="52"/>
      <c r="E47" s="52"/>
      <c r="F47" s="52"/>
    </row>
    <row r="48" customFormat="false" ht="17.25" hidden="false" customHeight="true" outlineLevel="0" collapsed="false">
      <c r="B48" s="52" t="s">
        <v>4860</v>
      </c>
      <c r="C48" s="52"/>
      <c r="D48" s="52"/>
      <c r="E48" s="52"/>
      <c r="F48" s="52"/>
    </row>
    <row r="49" customFormat="false" ht="15" hidden="false" customHeight="true" outlineLevel="0" collapsed="false">
      <c r="B49" s="47" t="s">
        <v>4861</v>
      </c>
    </row>
    <row r="50" customFormat="false" ht="17.25" hidden="false" customHeight="true" outlineLevel="0" collapsed="false">
      <c r="B50" s="52" t="s">
        <v>4862</v>
      </c>
      <c r="C50" s="52"/>
      <c r="D50" s="52"/>
      <c r="E50" s="52"/>
      <c r="F50" s="52"/>
    </row>
    <row r="52" customFormat="false" ht="15.75" hidden="false" customHeight="true" outlineLevel="0" collapsed="false">
      <c r="B52" s="7" t="s">
        <v>1437</v>
      </c>
      <c r="C52" s="8"/>
      <c r="D52" s="8"/>
      <c r="E52" s="8"/>
      <c r="F52" s="8"/>
      <c r="G52" s="8"/>
      <c r="H52" s="8"/>
      <c r="I52" s="8"/>
      <c r="J52" s="8"/>
      <c r="K52" s="8"/>
    </row>
    <row r="53" customFormat="false" ht="17.25" hidden="false" customHeight="true" outlineLevel="0" collapsed="false">
      <c r="B53" s="11" t="s">
        <v>1438</v>
      </c>
      <c r="C53" s="11" t="s">
        <v>1439</v>
      </c>
      <c r="D53" s="11" t="s">
        <v>1440</v>
      </c>
      <c r="E53" s="11"/>
    </row>
    <row r="54" customFormat="false" ht="31.5" hidden="false" customHeight="true" outlineLevel="0" collapsed="false">
      <c r="B54" s="12" t="s">
        <v>4652</v>
      </c>
      <c r="C54" s="12" t="s">
        <v>4863</v>
      </c>
      <c r="D54" s="12" t="s">
        <v>4864</v>
      </c>
      <c r="E54" s="12"/>
    </row>
    <row r="55" customFormat="false" ht="30.75" hidden="false" customHeight="true" outlineLevel="0" collapsed="false">
      <c r="B55" s="12" t="s">
        <v>1441</v>
      </c>
      <c r="C55" s="12" t="s">
        <v>4865</v>
      </c>
      <c r="D55" s="12" t="s">
        <v>4866</v>
      </c>
      <c r="E55" s="12"/>
    </row>
    <row r="56" customFormat="false" ht="17.25" hidden="false" customHeight="true" outlineLevel="0" collapsed="false">
      <c r="B56" s="12" t="s">
        <v>2502</v>
      </c>
      <c r="C56" s="12" t="s">
        <v>4867</v>
      </c>
      <c r="D56" s="12" t="s">
        <v>4868</v>
      </c>
      <c r="E56" s="12"/>
    </row>
    <row r="57" customFormat="false" ht="17.25" hidden="false" customHeight="true" outlineLevel="0" collapsed="false">
      <c r="B57" s="12" t="s">
        <v>2211</v>
      </c>
      <c r="C57" s="12" t="s">
        <v>4869</v>
      </c>
      <c r="D57" s="12" t="s">
        <v>4870</v>
      </c>
      <c r="E57" s="12"/>
    </row>
    <row r="58" customFormat="false" ht="17.25" hidden="false" customHeight="true" outlineLevel="0" collapsed="false">
      <c r="B58" s="12" t="s">
        <v>2223</v>
      </c>
      <c r="C58" s="12" t="s">
        <v>4871</v>
      </c>
      <c r="D58" s="12" t="s">
        <v>4872</v>
      </c>
      <c r="E58" s="12"/>
    </row>
    <row r="59" customFormat="false" ht="28.5" hidden="false" customHeight="true" outlineLevel="0" collapsed="false">
      <c r="B59" s="16" t="s">
        <v>1453</v>
      </c>
      <c r="C59" s="16"/>
      <c r="D59" s="16"/>
      <c r="E59" s="16"/>
      <c r="F59" s="16"/>
    </row>
    <row r="61" customFormat="false" ht="15.75" hidden="false" customHeight="true" outlineLevel="0" collapsed="false">
      <c r="B61" s="7" t="s">
        <v>1454</v>
      </c>
      <c r="C61" s="8"/>
      <c r="D61" s="8"/>
      <c r="E61" s="8"/>
      <c r="F61" s="8"/>
      <c r="G61" s="8"/>
      <c r="H61" s="8"/>
      <c r="I61" s="8"/>
      <c r="J61" s="8"/>
      <c r="K61" s="8"/>
    </row>
    <row r="62" customFormat="false" ht="17.25" hidden="false" customHeight="true" outlineLevel="0" collapsed="false">
      <c r="B62" s="9" t="s">
        <v>4873</v>
      </c>
      <c r="C62" s="9"/>
      <c r="D62" s="9"/>
      <c r="E62" s="9"/>
      <c r="F62" s="9"/>
    </row>
    <row r="63" customFormat="false" ht="17.25" hidden="false" customHeight="true" outlineLevel="0" collapsed="false">
      <c r="B63" s="9" t="s">
        <v>4874</v>
      </c>
      <c r="C63" s="9"/>
      <c r="D63" s="9"/>
      <c r="E63" s="9"/>
      <c r="F63" s="9"/>
    </row>
    <row r="64" customFormat="false" ht="15" hidden="false" customHeight="true" outlineLevel="0" collapsed="false">
      <c r="B64" s="19" t="s">
        <v>85</v>
      </c>
      <c r="C64" s="41" t="s">
        <v>86</v>
      </c>
    </row>
    <row r="66" customFormat="false" ht="17.25" hidden="false" customHeight="true" outlineLevel="0" collapsed="false">
      <c r="C66" s="11" t="s">
        <v>4875</v>
      </c>
      <c r="D66" s="11" t="s">
        <v>4876</v>
      </c>
      <c r="E66" s="11" t="s">
        <v>4877</v>
      </c>
      <c r="F66" s="11" t="s">
        <v>4878</v>
      </c>
      <c r="G66" s="11"/>
      <c r="H66" s="11"/>
    </row>
    <row r="67" customFormat="false" ht="17.25" hidden="false" customHeight="true" outlineLevel="0" collapsed="false">
      <c r="C67" s="93" t="n">
        <v>0.4054</v>
      </c>
      <c r="D67" s="93" t="n">
        <v>108</v>
      </c>
      <c r="E67" s="93" t="n">
        <v>37.08</v>
      </c>
      <c r="F67" s="98" t="n">
        <v>15627</v>
      </c>
      <c r="G67" s="98"/>
      <c r="H67" s="98"/>
    </row>
    <row r="68" customFormat="false" ht="17.25" hidden="false" customHeight="true" outlineLevel="0" collapsed="false">
      <c r="C68" s="93" t="n">
        <v>0.4062</v>
      </c>
      <c r="D68" s="93" t="n">
        <v>108.6</v>
      </c>
      <c r="E68" s="93" t="n">
        <v>37.29</v>
      </c>
      <c r="F68" s="98" t="n">
        <v>15138</v>
      </c>
      <c r="G68" s="98"/>
      <c r="H68" s="98"/>
    </row>
    <row r="69" customFormat="false" ht="17.25" hidden="false" customHeight="true" outlineLevel="0" collapsed="false">
      <c r="C69" s="93" t="n">
        <v>0.3972</v>
      </c>
      <c r="D69" s="93" t="n">
        <v>109.1</v>
      </c>
      <c r="E69" s="93" t="n">
        <v>32.05</v>
      </c>
      <c r="F69" s="98" t="n">
        <v>14693</v>
      </c>
      <c r="G69" s="98"/>
      <c r="H69" s="98"/>
    </row>
    <row r="70" customFormat="false" ht="17.25" hidden="false" customHeight="true" outlineLevel="0" collapsed="false">
      <c r="C70" s="93" t="n">
        <v>0.4002</v>
      </c>
      <c r="D70" s="93" t="n">
        <v>109.7</v>
      </c>
      <c r="E70" s="93" t="n">
        <v>34.44</v>
      </c>
      <c r="F70" s="98" t="n">
        <v>15241</v>
      </c>
      <c r="G70" s="98"/>
      <c r="H70" s="98"/>
    </row>
    <row r="71" customFormat="false" ht="17.25" hidden="false" customHeight="true" outlineLevel="0" collapsed="false">
      <c r="C71" s="93" t="n">
        <v>0.4104</v>
      </c>
      <c r="D71" s="93" t="n">
        <v>110.2</v>
      </c>
      <c r="E71" s="93" t="n">
        <v>38.15</v>
      </c>
      <c r="F71" s="98" t="n">
        <v>15660</v>
      </c>
      <c r="G71" s="98"/>
      <c r="H71" s="98"/>
    </row>
    <row r="72" customFormat="false" ht="17.25" hidden="false" customHeight="true" outlineLevel="0" collapsed="false">
      <c r="C72" s="93" t="n">
        <v>0.3988</v>
      </c>
      <c r="D72" s="93" t="n">
        <v>110.8</v>
      </c>
      <c r="E72" s="93" t="n">
        <v>34.29</v>
      </c>
      <c r="F72" s="98" t="n">
        <v>15759</v>
      </c>
      <c r="G72" s="98"/>
      <c r="H72" s="98"/>
    </row>
    <row r="73" customFormat="false" ht="17.25" hidden="false" customHeight="true" outlineLevel="0" collapsed="false">
      <c r="C73" s="93" t="n">
        <v>0.3999</v>
      </c>
      <c r="D73" s="93" t="n">
        <v>111.3</v>
      </c>
      <c r="E73" s="93" t="n">
        <v>35.85</v>
      </c>
      <c r="F73" s="98" t="n">
        <v>15681</v>
      </c>
      <c r="G73" s="98"/>
      <c r="H73" s="98"/>
    </row>
    <row r="74" customFormat="false" ht="17.25" hidden="false" customHeight="true" outlineLevel="0" collapsed="false">
      <c r="C74" s="93" t="n">
        <v>0.3898</v>
      </c>
      <c r="D74" s="93" t="n">
        <v>111.9</v>
      </c>
      <c r="E74" s="93" t="n">
        <v>33.99</v>
      </c>
      <c r="F74" s="98" t="n">
        <v>15628</v>
      </c>
      <c r="G74" s="98"/>
      <c r="H74" s="98"/>
    </row>
    <row r="75" customFormat="false" ht="17.25" hidden="false" customHeight="true" outlineLevel="0" collapsed="false">
      <c r="C75" s="93" t="n">
        <v>0.3903</v>
      </c>
      <c r="D75" s="93" t="n">
        <v>112.4</v>
      </c>
      <c r="E75" s="93" t="n">
        <v>32.94</v>
      </c>
      <c r="F75" s="98" t="n">
        <v>15796</v>
      </c>
      <c r="G75" s="98"/>
      <c r="H75" s="98"/>
    </row>
    <row r="76" customFormat="false" ht="17.25" hidden="false" customHeight="true" outlineLevel="0" collapsed="false">
      <c r="C76" s="93" t="n">
        <v>0.3933</v>
      </c>
      <c r="D76" s="93" t="n">
        <v>113</v>
      </c>
      <c r="E76" s="93" t="n">
        <v>36.87</v>
      </c>
      <c r="F76" s="98" t="n">
        <v>16227</v>
      </c>
      <c r="G76" s="98"/>
      <c r="H76" s="98"/>
    </row>
    <row r="77" customFormat="false" ht="17.25" hidden="false" customHeight="true" outlineLevel="0" collapsed="false">
      <c r="C77" s="93" t="n">
        <v>0.3775</v>
      </c>
      <c r="D77" s="93" t="n">
        <v>113.5</v>
      </c>
      <c r="E77" s="93" t="n">
        <v>34.06</v>
      </c>
      <c r="F77" s="98" t="n">
        <v>16317</v>
      </c>
      <c r="G77" s="98"/>
      <c r="H77" s="98"/>
    </row>
    <row r="78" customFormat="false" ht="17.25" hidden="false" customHeight="true" outlineLevel="0" collapsed="false">
      <c r="C78" s="93" t="n">
        <v>0.4005</v>
      </c>
      <c r="D78" s="93" t="n">
        <v>114.1</v>
      </c>
      <c r="E78" s="93" t="n">
        <v>38.3</v>
      </c>
      <c r="F78" s="98" t="n">
        <v>16151</v>
      </c>
      <c r="G78" s="98"/>
      <c r="H78" s="98"/>
    </row>
    <row r="79" customFormat="false" ht="17.25" hidden="false" customHeight="true" outlineLevel="0" collapsed="false">
      <c r="C79" s="93" t="n">
        <v>0.409</v>
      </c>
      <c r="D79" s="93" t="n">
        <v>114.6</v>
      </c>
      <c r="E79" s="93" t="n">
        <v>35.11</v>
      </c>
      <c r="F79" s="98" t="n">
        <v>16253</v>
      </c>
      <c r="G79" s="98"/>
      <c r="H79" s="98"/>
    </row>
    <row r="80" customFormat="false" ht="17.25" hidden="false" customHeight="true" outlineLevel="0" collapsed="false">
      <c r="C80" s="93" t="n">
        <v>0.3903</v>
      </c>
      <c r="D80" s="93" t="n">
        <v>115.2</v>
      </c>
      <c r="E80" s="93" t="n">
        <v>34.02</v>
      </c>
      <c r="F80" s="98" t="n">
        <v>16628</v>
      </c>
      <c r="G80" s="98"/>
      <c r="H80" s="98"/>
    </row>
    <row r="81" customFormat="false" ht="17.25" hidden="false" customHeight="true" outlineLevel="0" collapsed="false">
      <c r="C81" s="93" t="n">
        <v>0.3869</v>
      </c>
      <c r="D81" s="93" t="n">
        <v>115.7</v>
      </c>
      <c r="E81" s="93" t="n">
        <v>35.45</v>
      </c>
      <c r="F81" s="98" t="n">
        <v>16104</v>
      </c>
      <c r="G81" s="98"/>
      <c r="H81" s="98"/>
    </row>
    <row r="82" customFormat="false" ht="17.25" hidden="false" customHeight="true" outlineLevel="0" collapsed="false">
      <c r="C82" s="93" t="n">
        <v>0.3809</v>
      </c>
      <c r="D82" s="93" t="n">
        <v>116.3</v>
      </c>
      <c r="E82" s="93" t="n">
        <v>35.1</v>
      </c>
      <c r="F82" s="98" t="n">
        <v>16503</v>
      </c>
      <c r="G82" s="98"/>
      <c r="H82" s="98"/>
    </row>
    <row r="83" customFormat="false" ht="17.25" hidden="false" customHeight="true" outlineLevel="0" collapsed="false">
      <c r="C83" s="93" t="n">
        <v>0.3913</v>
      </c>
      <c r="D83" s="93" t="n">
        <v>116.8</v>
      </c>
      <c r="E83" s="93" t="n">
        <v>37.39</v>
      </c>
      <c r="F83" s="98" t="n">
        <v>16669</v>
      </c>
      <c r="G83" s="98"/>
      <c r="H83" s="98"/>
    </row>
    <row r="84" customFormat="false" ht="17.25" hidden="false" customHeight="true" outlineLevel="0" collapsed="false">
      <c r="C84" s="93" t="n">
        <v>0.3771</v>
      </c>
      <c r="D84" s="93" t="n">
        <v>117.4</v>
      </c>
      <c r="E84" s="93" t="n">
        <v>34.18</v>
      </c>
      <c r="F84" s="98" t="n">
        <v>16421</v>
      </c>
      <c r="G84" s="98"/>
      <c r="H84" s="98"/>
    </row>
    <row r="85" customFormat="false" ht="17.25" hidden="false" customHeight="true" outlineLevel="0" collapsed="false">
      <c r="C85" s="93" t="n">
        <v>0.3811</v>
      </c>
      <c r="D85" s="93" t="n">
        <v>117.9</v>
      </c>
      <c r="E85" s="93" t="n">
        <v>36.67</v>
      </c>
      <c r="F85" s="98" t="n">
        <v>16678</v>
      </c>
      <c r="G85" s="98"/>
      <c r="H85" s="98"/>
    </row>
    <row r="86" customFormat="false" ht="17.25" hidden="false" customHeight="true" outlineLevel="0" collapsed="false">
      <c r="C86" s="93" t="n">
        <v>0.3784</v>
      </c>
      <c r="D86" s="93" t="n">
        <v>118.5</v>
      </c>
      <c r="E86" s="93" t="n">
        <v>38.08</v>
      </c>
      <c r="F86" s="98" t="n">
        <v>17329</v>
      </c>
      <c r="G86" s="98"/>
      <c r="H86" s="98"/>
    </row>
    <row r="87" customFormat="false" ht="17.25" hidden="false" customHeight="true" outlineLevel="0" collapsed="false">
      <c r="C87" s="93" t="n">
        <v>0.3779</v>
      </c>
      <c r="D87" s="93" t="n">
        <v>119</v>
      </c>
      <c r="E87" s="93" t="n">
        <v>36.09</v>
      </c>
      <c r="F87" s="98" t="n">
        <v>16746</v>
      </c>
      <c r="G87" s="98"/>
      <c r="H87" s="98"/>
    </row>
    <row r="88" customFormat="false" ht="17.25" hidden="false" customHeight="true" outlineLevel="0" collapsed="false">
      <c r="C88" s="93" t="n">
        <v>0.3784</v>
      </c>
      <c r="D88" s="93" t="n">
        <v>119.6</v>
      </c>
      <c r="E88" s="93" t="n">
        <v>39.14</v>
      </c>
      <c r="F88" s="98" t="n">
        <v>16931</v>
      </c>
      <c r="G88" s="98"/>
      <c r="H88" s="98"/>
    </row>
    <row r="89" customFormat="false" ht="17.25" hidden="false" customHeight="true" outlineLevel="0" collapsed="false">
      <c r="C89" s="93" t="n">
        <v>0.3851</v>
      </c>
      <c r="D89" s="93" t="n">
        <v>120.1</v>
      </c>
      <c r="E89" s="93" t="n">
        <v>38.8</v>
      </c>
      <c r="F89" s="98" t="n">
        <v>16908</v>
      </c>
      <c r="G89" s="98"/>
      <c r="H89" s="98"/>
    </row>
    <row r="90" customFormat="false" ht="17.25" hidden="false" customHeight="true" outlineLevel="0" collapsed="false">
      <c r="C90" s="93" t="n">
        <v>0.3718</v>
      </c>
      <c r="D90" s="93" t="n">
        <v>120.7</v>
      </c>
      <c r="E90" s="93" t="n">
        <v>34.59</v>
      </c>
      <c r="F90" s="98" t="n">
        <v>17519</v>
      </c>
      <c r="G90" s="98"/>
      <c r="H90" s="98"/>
    </row>
    <row r="91" customFormat="false" ht="17.25" hidden="false" customHeight="true" outlineLevel="0" collapsed="false">
      <c r="C91" s="93" t="n">
        <v>0.3753</v>
      </c>
      <c r="D91" s="93" t="n">
        <v>121.2</v>
      </c>
      <c r="E91" s="93" t="n">
        <v>37.56</v>
      </c>
      <c r="F91" s="98" t="n">
        <v>16916</v>
      </c>
      <c r="G91" s="98"/>
      <c r="H91" s="98"/>
    </row>
    <row r="92" customFormat="false" ht="17.25" hidden="false" customHeight="true" outlineLevel="0" collapsed="false">
      <c r="C92" s="93" t="n">
        <v>0.3685</v>
      </c>
      <c r="D92" s="93" t="n">
        <v>121.8</v>
      </c>
      <c r="E92" s="93" t="n">
        <v>37.64</v>
      </c>
      <c r="F92" s="98" t="n">
        <v>17949</v>
      </c>
      <c r="G92" s="98"/>
      <c r="H92" s="98"/>
    </row>
    <row r="93" customFormat="false" ht="17.25" hidden="false" customHeight="true" outlineLevel="0" collapsed="false">
      <c r="C93" s="93" t="n">
        <v>0.3679</v>
      </c>
      <c r="D93" s="93" t="n">
        <v>122.3</v>
      </c>
      <c r="E93" s="93" t="n">
        <v>37.01</v>
      </c>
      <c r="F93" s="98" t="n">
        <v>17883</v>
      </c>
      <c r="G93" s="98"/>
      <c r="H93" s="98"/>
    </row>
    <row r="94" customFormat="false" ht="17.25" hidden="false" customHeight="true" outlineLevel="0" collapsed="false">
      <c r="C94" s="93" t="n">
        <v>0.359</v>
      </c>
      <c r="D94" s="93" t="n">
        <v>122.9</v>
      </c>
      <c r="E94" s="93" t="n">
        <v>35.28</v>
      </c>
      <c r="F94" s="98" t="n">
        <v>17535</v>
      </c>
      <c r="G94" s="98"/>
      <c r="H94" s="98"/>
    </row>
    <row r="95" customFormat="false" ht="17.25" hidden="false" customHeight="true" outlineLevel="0" collapsed="false">
      <c r="C95" s="93" t="n">
        <v>0.3535</v>
      </c>
      <c r="D95" s="93" t="n">
        <v>123.4</v>
      </c>
      <c r="E95" s="93" t="n">
        <v>36.17</v>
      </c>
      <c r="F95" s="98" t="n">
        <v>18267</v>
      </c>
      <c r="G95" s="98"/>
      <c r="H95" s="98"/>
    </row>
    <row r="96" customFormat="false" ht="17.25" hidden="false" customHeight="true" outlineLevel="0" collapsed="false">
      <c r="C96" s="93" t="n">
        <v>0.3689</v>
      </c>
      <c r="D96" s="93" t="n">
        <v>124</v>
      </c>
      <c r="E96" s="93" t="n">
        <v>36.4</v>
      </c>
      <c r="F96" s="98" t="n">
        <v>17841</v>
      </c>
      <c r="G96" s="98"/>
      <c r="H96" s="98"/>
    </row>
    <row r="98" customFormat="false" ht="15" hidden="false" customHeight="true" outlineLevel="0" collapsed="false">
      <c r="B98" s="10" t="s">
        <v>2228</v>
      </c>
      <c r="C98" s="75" t="n">
        <v>0.05</v>
      </c>
    </row>
    <row r="99" customFormat="false" ht="15" hidden="false" customHeight="true" outlineLevel="0" collapsed="false">
      <c r="B99" s="10" t="s">
        <v>4879</v>
      </c>
      <c r="C99" s="65" t="n">
        <v>3</v>
      </c>
    </row>
    <row r="101" customFormat="false" ht="15.75" hidden="false" customHeight="true" outlineLevel="0" collapsed="false">
      <c r="B101" s="7" t="s">
        <v>4880</v>
      </c>
      <c r="C101" s="8"/>
      <c r="D101" s="8"/>
      <c r="E101" s="8"/>
      <c r="F101" s="8"/>
      <c r="G101" s="8"/>
      <c r="H101" s="8"/>
      <c r="I101" s="8"/>
      <c r="J101" s="8"/>
      <c r="K101" s="8"/>
    </row>
    <row r="102" customFormat="false" ht="15.75" hidden="false" customHeight="true" outlineLevel="0" collapsed="false">
      <c r="B102" s="16" t="s">
        <v>4881</v>
      </c>
      <c r="C102" s="16"/>
      <c r="D102" s="16"/>
      <c r="E102" s="16"/>
      <c r="F102" s="16"/>
    </row>
    <row r="103" customFormat="false" ht="17.25" hidden="false" customHeight="true" outlineLevel="0" collapsed="false">
      <c r="C103" s="11" t="s">
        <v>4882</v>
      </c>
      <c r="D103" s="11" t="s">
        <v>4883</v>
      </c>
      <c r="E103" s="11" t="s">
        <v>4884</v>
      </c>
      <c r="F103" s="11" t="s">
        <v>4885</v>
      </c>
      <c r="G103" s="11"/>
    </row>
    <row r="104" customFormat="false" ht="15" hidden="false" customHeight="true" outlineLevel="0" collapsed="false">
      <c r="B104" s="38" t="s">
        <v>4886</v>
      </c>
      <c r="C104" s="99" t="n">
        <f aca="false" t="array" ref="C104:F105">LINEST($C$67:$C$96,$D$67:$F$96,TRUE(),TRUE())</f>
        <v>-5.75120260903685E-006</v>
      </c>
      <c r="D104" s="99" t="n">
        <v>0.00231451278517507</v>
      </c>
      <c r="E104" s="99" t="n">
        <v>-0.00195887135439453</v>
      </c>
      <c r="F104" s="99" t="n">
        <v>0.624495181316659</v>
      </c>
    </row>
    <row r="105" customFormat="false" ht="15" hidden="false" customHeight="true" outlineLevel="0" collapsed="false">
      <c r="B105" s="38" t="s">
        <v>2679</v>
      </c>
      <c r="C105" s="99" t="n">
        <v>3.99712058741998E-006</v>
      </c>
      <c r="D105" s="99" t="n">
        <v>0.000670552096673904</v>
      </c>
      <c r="E105" s="99" t="n">
        <v>0.000729506571091549</v>
      </c>
      <c r="F105" s="99" t="n">
        <v>0.0358784843358055</v>
      </c>
    </row>
    <row r="107" customFormat="false" ht="28.5" hidden="false" customHeight="true" outlineLevel="0" collapsed="false">
      <c r="B107" s="16" t="s">
        <v>4887</v>
      </c>
      <c r="C107" s="16"/>
      <c r="D107" s="16"/>
      <c r="E107" s="16"/>
      <c r="F107" s="16"/>
    </row>
    <row r="108" customFormat="false" ht="15" hidden="false" customHeight="true" outlineLevel="0" collapsed="false">
      <c r="B108" s="10" t="s">
        <v>4677</v>
      </c>
      <c r="C108" s="76" t="n">
        <f aca="false">INDEX(LINEST($C$67:$C$96,$D$67:$F$96,TRUE(),TRUE()),3,1)</f>
        <v>0.851244290812793</v>
      </c>
    </row>
    <row r="109" customFormat="false" ht="15" hidden="false" customHeight="true" outlineLevel="0" collapsed="false">
      <c r="B109" s="10" t="s">
        <v>4678</v>
      </c>
      <c r="C109" s="94" t="n">
        <f aca="false">INDEX(LINEST($C$67:$C$96,$D$67:$F$96,TRUE(),TRUE()),3,2)</f>
        <v>0.00602512296858834</v>
      </c>
    </row>
    <row r="110" customFormat="false" ht="15" hidden="false" customHeight="true" outlineLevel="0" collapsed="false">
      <c r="B110" s="10" t="s">
        <v>4683</v>
      </c>
      <c r="C110" s="64" t="n">
        <f aca="false">INDEX(LINEST($C$67:$C$96,$D$67:$F$96,TRUE(),TRUE()),4,1)</f>
        <v>49.5944025320946</v>
      </c>
    </row>
    <row r="111" customFormat="false" ht="15" hidden="false" customHeight="true" outlineLevel="0" collapsed="false">
      <c r="B111" s="10" t="s">
        <v>4888</v>
      </c>
      <c r="C111" s="44" t="n">
        <f aca="false">INDEX(LINEST($C$67:$C$96,$D$67:$F$96,TRUE(),TRUE()),4,2)</f>
        <v>26</v>
      </c>
    </row>
    <row r="112" customFormat="false" ht="15" hidden="false" customHeight="true" outlineLevel="0" collapsed="false">
      <c r="B112" s="10" t="s">
        <v>4889</v>
      </c>
      <c r="C112" s="72" t="n">
        <f aca="false">INDEX(LINEST($C$67:$C$96,$D$67:$F$96,TRUE(),TRUE()),5,1)</f>
        <v>0.00540114389021478</v>
      </c>
    </row>
    <row r="113" customFormat="false" ht="15" hidden="false" customHeight="true" outlineLevel="0" collapsed="false">
      <c r="B113" s="10" t="s">
        <v>4890</v>
      </c>
      <c r="C113" s="72" t="n">
        <f aca="false">INDEX(LINEST($C$67:$C$96,$D$67:$F$96,TRUE(),TRUE()),5,2)</f>
        <v>0.000943854776451881</v>
      </c>
    </row>
    <row r="115" customFormat="false" ht="15.75" hidden="false" customHeight="true" outlineLevel="0" collapsed="false">
      <c r="B115" s="7" t="s">
        <v>4891</v>
      </c>
      <c r="C115" s="8"/>
      <c r="D115" s="8"/>
      <c r="E115" s="8"/>
      <c r="F115" s="8"/>
      <c r="G115" s="8"/>
      <c r="H115" s="8"/>
      <c r="I115" s="8"/>
      <c r="J115" s="8"/>
      <c r="K115" s="8"/>
    </row>
    <row r="116" customFormat="false" ht="17.25" hidden="false" customHeight="true" outlineLevel="0" collapsed="false">
      <c r="B116" s="11" t="s">
        <v>4892</v>
      </c>
      <c r="C116" s="11" t="s">
        <v>4886</v>
      </c>
      <c r="D116" s="11" t="s">
        <v>2679</v>
      </c>
      <c r="E116" s="11" t="s">
        <v>4893</v>
      </c>
      <c r="F116" s="11" t="s">
        <v>3007</v>
      </c>
      <c r="G116" s="11" t="s">
        <v>3730</v>
      </c>
      <c r="H116" s="11"/>
    </row>
    <row r="117" customFormat="false" ht="18.75" hidden="false" customHeight="true" outlineLevel="0" collapsed="false">
      <c r="B117" s="78" t="s">
        <v>4894</v>
      </c>
      <c r="C117" s="99" t="n">
        <f aca="false">E104</f>
        <v>-0.00195887135439453</v>
      </c>
      <c r="D117" s="99" t="n">
        <f aca="false">E105</f>
        <v>0.000729506571091549</v>
      </c>
      <c r="E117" s="63" t="n">
        <f aca="false">IFERROR(C117/D117,0)</f>
        <v>-2.68520042453284</v>
      </c>
      <c r="F117" s="94" t="n">
        <f aca="false">TDIST(ABS(E117),30-C99-1,2)</f>
        <v>0.0124533008294719</v>
      </c>
      <c r="G117" s="54" t="str">
        <f aca="false">IF(F117&lt;C98,"SIGNIFICANT","not significant")</f>
        <v>SIGNIFICANT</v>
      </c>
      <c r="H117" s="54"/>
    </row>
    <row r="118" customFormat="false" ht="18.75" hidden="false" customHeight="true" outlineLevel="0" collapsed="false">
      <c r="B118" s="78" t="s">
        <v>4877</v>
      </c>
      <c r="C118" s="99" t="n">
        <f aca="false">D104</f>
        <v>0.00231451278517507</v>
      </c>
      <c r="D118" s="99" t="n">
        <f aca="false">D105</f>
        <v>0.000670552096673904</v>
      </c>
      <c r="E118" s="63" t="n">
        <f aca="false">IFERROR(C118/D118,0)</f>
        <v>3.45165244677572</v>
      </c>
      <c r="F118" s="94" t="n">
        <f aca="false">TDIST(ABS(E118),30-C99-1,2)</f>
        <v>0.00191747379519734</v>
      </c>
      <c r="G118" s="54" t="str">
        <f aca="false">IF(F118&lt;C98,"SIGNIFICANT","not significant")</f>
        <v>SIGNIFICANT</v>
      </c>
      <c r="H118" s="54"/>
    </row>
    <row r="119" customFormat="false" ht="18.75" hidden="false" customHeight="true" outlineLevel="0" collapsed="false">
      <c r="B119" s="78" t="s">
        <v>4878</v>
      </c>
      <c r="C119" s="99" t="n">
        <f aca="false">C104</f>
        <v>-5.75120260903685E-006</v>
      </c>
      <c r="D119" s="99" t="n">
        <f aca="false">C105</f>
        <v>3.99712058741998E-006</v>
      </c>
      <c r="E119" s="63" t="n">
        <f aca="false">IFERROR(C119/D119,0)</f>
        <v>-1.43883640316918</v>
      </c>
      <c r="F119" s="94" t="n">
        <f aca="false">TDIST(ABS(E119),30-C99-1,2)</f>
        <v>0.162127394503872</v>
      </c>
      <c r="G119" s="54" t="str">
        <f aca="false">IF(F119&lt;C98,"SIGNIFICANT","not significant")</f>
        <v>not significant</v>
      </c>
      <c r="H119" s="54"/>
    </row>
    <row r="120" customFormat="false" ht="15" hidden="false" customHeight="true" outlineLevel="0" collapsed="false">
      <c r="B120" s="78" t="s">
        <v>4780</v>
      </c>
      <c r="C120" s="77" t="n">
        <f aca="false">F104</f>
        <v>0.624495181316659</v>
      </c>
      <c r="D120" s="77" t="n">
        <f aca="false">F105</f>
        <v>0.0358784843358055</v>
      </c>
    </row>
    <row r="122" customFormat="false" ht="15" hidden="false" customHeight="true" outlineLevel="0" collapsed="false">
      <c r="B122" s="10" t="s">
        <v>4895</v>
      </c>
      <c r="C122" s="76" t="n">
        <f aca="false">1-(1-C108)*(30-1)/(30-C99-1)</f>
        <v>0.834080170521962</v>
      </c>
    </row>
    <row r="123" customFormat="false" ht="15" hidden="false" customHeight="true" outlineLevel="0" collapsed="false">
      <c r="B123" s="10" t="s">
        <v>4684</v>
      </c>
      <c r="C123" s="99" t="n">
        <f aca="false">FDIST(C110,C99,30-C99-1)</f>
        <v>6.78442969810389E-011</v>
      </c>
    </row>
    <row r="125" customFormat="false" ht="15.75" hidden="false" customHeight="true" outlineLevel="0" collapsed="false">
      <c r="B125" s="7" t="s">
        <v>4896</v>
      </c>
      <c r="C125" s="8"/>
      <c r="D125" s="8"/>
      <c r="E125" s="8"/>
      <c r="F125" s="8"/>
      <c r="G125" s="8"/>
      <c r="H125" s="8"/>
      <c r="I125" s="8"/>
      <c r="J125" s="8"/>
      <c r="K125" s="8"/>
    </row>
    <row r="126" customFormat="false" ht="15" hidden="false" customHeight="true" outlineLevel="0" collapsed="false">
      <c r="B126" s="10" t="s">
        <v>4897</v>
      </c>
      <c r="C126" s="66" t="n">
        <f aca="false">CORREL($D$67:$D$96,$E$67:$E$96)</f>
        <v>0.319516762454946</v>
      </c>
    </row>
    <row r="127" customFormat="false" ht="15" hidden="false" customHeight="true" outlineLevel="0" collapsed="false">
      <c r="B127" s="10" t="s">
        <v>4898</v>
      </c>
      <c r="C127" s="66" t="n">
        <f aca="false">CORREL($D$67:$D$96,$F$67:$F$96)</f>
        <v>0.948079441666667</v>
      </c>
    </row>
    <row r="128" customFormat="false" ht="15" hidden="false" customHeight="true" outlineLevel="0" collapsed="false">
      <c r="B128" s="10" t="s">
        <v>4899</v>
      </c>
      <c r="C128" s="66" t="n">
        <f aca="false">CORREL($E$67:$E$96,$F$67:$F$96)</f>
        <v>0.366048452469238</v>
      </c>
    </row>
    <row r="130" customFormat="false" ht="16.5" hidden="false" customHeight="true" outlineLevel="0" collapsed="false">
      <c r="B130" s="11" t="s">
        <v>4892</v>
      </c>
      <c r="C130" s="11" t="s">
        <v>4900</v>
      </c>
      <c r="D130" s="11" t="s">
        <v>4901</v>
      </c>
      <c r="E130" s="11" t="s">
        <v>2601</v>
      </c>
    </row>
    <row r="131" customFormat="false" ht="15.75" hidden="false" customHeight="true" outlineLevel="0" collapsed="false">
      <c r="B131" s="78" t="s">
        <v>4902</v>
      </c>
      <c r="C131" s="66" t="n">
        <f aca="false">IFERROR((C126^2+C127^2-2*C126*C127*C128)/(1-C128^2),0)</f>
        <v>0.89972955493352</v>
      </c>
      <c r="D131" s="64" t="n">
        <f aca="false">IFERROR(1/(1-C131),999)</f>
        <v>9.97302843661456</v>
      </c>
      <c r="E131" s="42" t="str">
        <f aca="false">IF(D131&lt;5,"Acceptable",IF(D131&lt;10,"Moderate - interpret with care","SEVERE - the coefficients cannot be interpreted separately"))</f>
        <v>Moderate - interpret with care</v>
      </c>
    </row>
    <row r="132" customFormat="false" ht="15.75" hidden="false" customHeight="true" outlineLevel="0" collapsed="false">
      <c r="B132" s="78" t="s">
        <v>4903</v>
      </c>
      <c r="C132" s="66" t="n">
        <f aca="false">IFERROR((C126^2+C128^2-2*C126*C128*C127)/(1-C127^2),0)</f>
        <v>0.14148261246252</v>
      </c>
      <c r="D132" s="64" t="n">
        <f aca="false">IFERROR(1/(1-C132),999)</f>
        <v>1.16479877346263</v>
      </c>
      <c r="E132" s="42" t="str">
        <f aca="false">IF(D132&lt;5,"Acceptable",IF(D132&lt;10,"Moderate - interpret with care","SEVERE - the coefficients cannot be interpreted separately"))</f>
        <v>Acceptable</v>
      </c>
    </row>
    <row r="133" customFormat="false" ht="15.75" hidden="false" customHeight="true" outlineLevel="0" collapsed="false">
      <c r="B133" s="78" t="s">
        <v>4904</v>
      </c>
      <c r="C133" s="66" t="n">
        <f aca="false">IFERROR((C127^2+C128^2-2*C127*C128*C126)/(1-C126^2),0)</f>
        <v>0.903291918162289</v>
      </c>
      <c r="D133" s="64" t="n">
        <f aca="false">IFERROR(1/(1-C133),999)</f>
        <v>10.3403974207464</v>
      </c>
      <c r="E133" s="42" t="str">
        <f aca="false">IF(D133&lt;5,"Acceptable",IF(D133&lt;10,"Moderate - interpret with care","SEVERE - the coefficients cannot be interpreted separately"))</f>
        <v>SEVERE - the coefficients cannot be interpreted separately</v>
      </c>
    </row>
    <row r="135" customFormat="false" ht="15" hidden="false" customHeight="true" outlineLevel="0" collapsed="false">
      <c r="B135" s="10" t="s">
        <v>4905</v>
      </c>
      <c r="C135" s="64" t="n">
        <f aca="false">MAX($D$131:$D$133)</f>
        <v>10.3403974207464</v>
      </c>
    </row>
    <row r="136" customFormat="false" ht="15" hidden="false" customHeight="true" outlineLevel="0" collapsed="false">
      <c r="B136" s="10" t="s">
        <v>4906</v>
      </c>
      <c r="C136" s="44" t="n">
        <f aca="false">COUNTIF($F$117:$F$119,"&lt;"&amp;C98)</f>
        <v>2</v>
      </c>
    </row>
    <row r="138" customFormat="false" ht="15.75" hidden="false" customHeight="true" outlineLevel="0" collapsed="false">
      <c r="B138" s="7" t="s">
        <v>1493</v>
      </c>
      <c r="C138" s="8"/>
      <c r="D138" s="8"/>
      <c r="E138" s="8"/>
      <c r="F138" s="8"/>
      <c r="G138" s="8"/>
      <c r="H138" s="8"/>
      <c r="I138" s="8"/>
      <c r="J138" s="8"/>
      <c r="K138" s="8"/>
    </row>
    <row r="139" customFormat="false" ht="49.5" hidden="false" customHeight="true" outlineLevel="0" collapsed="false">
      <c r="B139" s="53" t="s">
        <v>1494</v>
      </c>
      <c r="C139" s="54" t="str">
        <f aca="false">IF(C135&gt;=10,"SEVERE MULTICOLLINEARITY (highest VIF = "&amp;TEXT(C135,"0.0")&amp;"). The model still predicts, but the individual coefficients are unstable and must NOT be read as separate effects. Drop one of the correlated pair, combine them, or run a designed experiment on E-42 where you set the factors independently.",IF(AND(C123&lt;C98,C136=0),"CLASSIC COLLINEARITY SYMPTOM: the model as a whole is significant (p = "&amp;TEXT(C123,"0.00000")&amp;") but no single predictor is. The predictors are sharing the credit.",IF(C123&lt;C98,"MODEL IS SIGNIFICANT - adjusted R squared "&amp;TEXT(C122,"0.0%")&amp;", typical miss "&amp;TEXT(C109,"0.0000")&amp;" mm, highest VIF "&amp;TEXT(C135,"0.0")&amp;". Check the residuals on E-37 before use.","MODEL NOT SIGNIFICANT - none of these predictors explains the response. Revisit the cause and effect matrix on H-12.")))</f>
        <v>SEVERE MULTICOLLINEARITY (highest VIF = 10.3). The model still predicts, but the individual coefficients are unstable and must NOT be read as separate effects. Drop one of the correlated pair, combine them, or run a designed experiment on E-42 where you set the factors independently.</v>
      </c>
      <c r="D139" s="54"/>
      <c r="E139" s="54"/>
      <c r="F139" s="54"/>
    </row>
    <row r="141" customFormat="false" ht="16.5" hidden="false" customHeight="true" outlineLevel="0" collapsed="false">
      <c r="B141" s="11" t="s">
        <v>1495</v>
      </c>
      <c r="C141" s="11" t="s">
        <v>1496</v>
      </c>
      <c r="D141" s="11" t="s">
        <v>1497</v>
      </c>
    </row>
    <row r="142" customFormat="false" ht="30.75" hidden="false" customHeight="true" outlineLevel="0" collapsed="false">
      <c r="B142" s="12" t="s">
        <v>4907</v>
      </c>
      <c r="C142" s="12" t="s">
        <v>4908</v>
      </c>
      <c r="D142" s="12" t="s">
        <v>4909</v>
      </c>
    </row>
    <row r="143" customFormat="false" ht="30.75" hidden="false" customHeight="true" outlineLevel="0" collapsed="false">
      <c r="B143" s="12" t="s">
        <v>4910</v>
      </c>
      <c r="C143" s="12" t="s">
        <v>4911</v>
      </c>
      <c r="D143" s="12" t="s">
        <v>4912</v>
      </c>
    </row>
    <row r="144" customFormat="false" ht="30.75" hidden="false" customHeight="true" outlineLevel="0" collapsed="false">
      <c r="B144" s="12" t="s">
        <v>4913</v>
      </c>
      <c r="C144" s="12" t="s">
        <v>4914</v>
      </c>
      <c r="D144" s="12" t="s">
        <v>4915</v>
      </c>
    </row>
    <row r="145" customFormat="false" ht="30.75" hidden="false" customHeight="true" outlineLevel="0" collapsed="false">
      <c r="B145" s="12" t="s">
        <v>4895</v>
      </c>
      <c r="C145" s="12" t="s">
        <v>4916</v>
      </c>
      <c r="D145" s="12" t="s">
        <v>4917</v>
      </c>
    </row>
    <row r="147" customFormat="false" ht="15" hidden="false" customHeight="true" outlineLevel="0" collapsed="false">
      <c r="B147" s="55" t="s">
        <v>1507</v>
      </c>
    </row>
    <row r="148" customFormat="false" ht="17.25" hidden="false" customHeight="true" outlineLevel="0" collapsed="false">
      <c r="B148" s="9" t="s">
        <v>4918</v>
      </c>
      <c r="C148" s="9"/>
      <c r="D148" s="9"/>
      <c r="E148" s="9"/>
      <c r="F148" s="9"/>
    </row>
    <row r="149" customFormat="false" ht="17.25" hidden="false" customHeight="true" outlineLevel="0" collapsed="false">
      <c r="B149" s="9" t="s">
        <v>4919</v>
      </c>
      <c r="C149" s="9"/>
      <c r="D149" s="9"/>
      <c r="E149" s="9"/>
      <c r="F149" s="9"/>
    </row>
    <row r="150" customFormat="false" ht="17.25" hidden="false" customHeight="true" outlineLevel="0" collapsed="false">
      <c r="B150" s="9" t="s">
        <v>4920</v>
      </c>
      <c r="C150" s="9"/>
      <c r="D150" s="9"/>
      <c r="E150" s="9"/>
      <c r="F150" s="9"/>
    </row>
    <row r="151" customFormat="false" ht="17.25" hidden="false" customHeight="true" outlineLevel="0" collapsed="false">
      <c r="B151" s="9" t="s">
        <v>4921</v>
      </c>
      <c r="C151" s="9"/>
      <c r="D151" s="9"/>
      <c r="E151" s="9"/>
      <c r="F151" s="9"/>
    </row>
    <row r="152" customFormat="false" ht="17.25" hidden="false" customHeight="true" outlineLevel="0" collapsed="false">
      <c r="B152" s="9" t="s">
        <v>4922</v>
      </c>
      <c r="C152" s="9"/>
      <c r="D152" s="9"/>
      <c r="E152" s="9"/>
      <c r="F152" s="9"/>
    </row>
    <row r="154" customFormat="false" ht="15.75" hidden="false" customHeight="true" outlineLevel="0" collapsed="false">
      <c r="B154" s="7" t="s">
        <v>1513</v>
      </c>
      <c r="C154" s="8"/>
      <c r="D154" s="8"/>
      <c r="E154" s="8"/>
      <c r="F154" s="8"/>
      <c r="G154" s="8"/>
      <c r="H154" s="8"/>
      <c r="I154" s="8"/>
      <c r="J154" s="8"/>
      <c r="K154" s="8"/>
    </row>
    <row r="155" customFormat="false" ht="17.25" hidden="false" customHeight="true" outlineLevel="0" collapsed="false">
      <c r="B155" s="9" t="s">
        <v>1514</v>
      </c>
      <c r="C155" s="9"/>
      <c r="D155" s="9"/>
      <c r="E155" s="9"/>
      <c r="F155" s="9"/>
      <c r="N155" s="56" t="s">
        <v>1515</v>
      </c>
    </row>
    <row r="156" customFormat="false" ht="31.5" hidden="false" customHeight="true" outlineLevel="0" collapsed="false">
      <c r="B156" s="9" t="s">
        <v>4923</v>
      </c>
      <c r="C156" s="9"/>
      <c r="D156" s="9"/>
      <c r="E156" s="9"/>
      <c r="F156" s="9"/>
      <c r="N156" s="57" t="s">
        <v>4924</v>
      </c>
    </row>
    <row r="157" customFormat="false" ht="17.25" hidden="false" customHeight="true" outlineLevel="0" collapsed="false">
      <c r="B157" s="9" t="s">
        <v>4925</v>
      </c>
      <c r="C157" s="9"/>
      <c r="D157" s="9"/>
      <c r="E157" s="9"/>
      <c r="F157" s="9"/>
      <c r="N157" s="57" t="s">
        <v>4926</v>
      </c>
    </row>
    <row r="158" customFormat="false" ht="17.25" hidden="false" customHeight="true" outlineLevel="0" collapsed="false">
      <c r="B158" s="9" t="s">
        <v>4927</v>
      </c>
      <c r="C158" s="9"/>
      <c r="D158" s="9"/>
      <c r="E158" s="9"/>
      <c r="F158" s="9"/>
      <c r="N158" s="57" t="s">
        <v>4928</v>
      </c>
    </row>
    <row r="160" customFormat="false" ht="15.75" hidden="false" customHeight="true" outlineLevel="0" collapsed="false">
      <c r="B160" s="7" t="s">
        <v>1522</v>
      </c>
      <c r="C160" s="8"/>
      <c r="D160" s="8"/>
      <c r="E160" s="8"/>
      <c r="F160" s="8"/>
      <c r="G160" s="8"/>
      <c r="H160" s="8"/>
      <c r="I160" s="8"/>
      <c r="J160" s="8"/>
      <c r="K160" s="8"/>
    </row>
    <row r="161" customFormat="false" ht="16.5" hidden="false" customHeight="true" outlineLevel="0" collapsed="false">
      <c r="B161" s="11" t="s">
        <v>1523</v>
      </c>
      <c r="C161" s="11" t="s">
        <v>1524</v>
      </c>
      <c r="D161" s="11" t="s">
        <v>1615</v>
      </c>
    </row>
    <row r="162" customFormat="false" ht="30.75" hidden="false" customHeight="true" outlineLevel="0" collapsed="false">
      <c r="B162" s="58" t="s">
        <v>4633</v>
      </c>
      <c r="C162" s="58" t="s">
        <v>4929</v>
      </c>
      <c r="D162" s="58" t="s">
        <v>1039</v>
      </c>
    </row>
  </sheetData>
  <mergeCells count="81">
    <mergeCell ref="B2:J2"/>
    <mergeCell ref="D3:F3"/>
    <mergeCell ref="C6:D6"/>
    <mergeCell ref="C7:D7"/>
    <mergeCell ref="C8:D8"/>
    <mergeCell ref="B11:F12"/>
    <mergeCell ref="B13:F15"/>
    <mergeCell ref="B16:F18"/>
    <mergeCell ref="B19:F21"/>
    <mergeCell ref="B22:F24"/>
    <mergeCell ref="B27:D27"/>
    <mergeCell ref="B28:D28"/>
    <mergeCell ref="B29:D29"/>
    <mergeCell ref="B30:D30"/>
    <mergeCell ref="B31:F31"/>
    <mergeCell ref="B40:F40"/>
    <mergeCell ref="B41:F41"/>
    <mergeCell ref="B42:F42"/>
    <mergeCell ref="B43:F43"/>
    <mergeCell ref="B44:F44"/>
    <mergeCell ref="B45:F45"/>
    <mergeCell ref="B46:F47"/>
    <mergeCell ref="B48:F48"/>
    <mergeCell ref="B50:F50"/>
    <mergeCell ref="D53:E53"/>
    <mergeCell ref="D54:E54"/>
    <mergeCell ref="D55:E55"/>
    <mergeCell ref="D56:E56"/>
    <mergeCell ref="D57:E57"/>
    <mergeCell ref="D58:E58"/>
    <mergeCell ref="B59:F59"/>
    <mergeCell ref="B62:F62"/>
    <mergeCell ref="B63:F63"/>
    <mergeCell ref="F66:H66"/>
    <mergeCell ref="F67:H67"/>
    <mergeCell ref="F68:H68"/>
    <mergeCell ref="F69:H69"/>
    <mergeCell ref="F70:H70"/>
    <mergeCell ref="F71:H71"/>
    <mergeCell ref="F72:H72"/>
    <mergeCell ref="F73:H73"/>
    <mergeCell ref="F74:H74"/>
    <mergeCell ref="F75:H75"/>
    <mergeCell ref="F76:H76"/>
    <mergeCell ref="F77:H77"/>
    <mergeCell ref="F78:H78"/>
    <mergeCell ref="F79:H79"/>
    <mergeCell ref="F80:H80"/>
    <mergeCell ref="F81:H81"/>
    <mergeCell ref="F82:H82"/>
    <mergeCell ref="F83:H83"/>
    <mergeCell ref="F84:H84"/>
    <mergeCell ref="F85:H85"/>
    <mergeCell ref="F86:H86"/>
    <mergeCell ref="F87:H87"/>
    <mergeCell ref="F88:H88"/>
    <mergeCell ref="F89:H89"/>
    <mergeCell ref="F90:H90"/>
    <mergeCell ref="F91:H91"/>
    <mergeCell ref="F92:H92"/>
    <mergeCell ref="F93:H93"/>
    <mergeCell ref="F94:H94"/>
    <mergeCell ref="F95:H95"/>
    <mergeCell ref="F96:H96"/>
    <mergeCell ref="B102:F102"/>
    <mergeCell ref="F103:G103"/>
    <mergeCell ref="B107:F107"/>
    <mergeCell ref="G116:H116"/>
    <mergeCell ref="G117:H117"/>
    <mergeCell ref="G118:H118"/>
    <mergeCell ref="G119:H119"/>
    <mergeCell ref="C139:F139"/>
    <mergeCell ref="B148:F148"/>
    <mergeCell ref="B149:F149"/>
    <mergeCell ref="B150:F150"/>
    <mergeCell ref="B151:F151"/>
    <mergeCell ref="B152:F152"/>
    <mergeCell ref="B155:F155"/>
    <mergeCell ref="B156:F156"/>
    <mergeCell ref="B157:F157"/>
    <mergeCell ref="B158:F158"/>
  </mergeCells>
  <hyperlinks>
    <hyperlink ref="B3" location="'N-03 Index DMAIC'!A1" display="← Back to Index"/>
    <hyperlink ref="E34" location="'E-42 Full Factorial'!A1" display="E-42  Full Factorial Designs (2^k)"/>
    <hyperlink ref="E35" location="'H-12 Cause Effect Matrix'!A1" display="H-12  Cause and Effect (X-Y) Matrix"/>
    <hyperlink ref="E36" location="'E-37 Residual Analysis'!A1" display="E-37  Residual Analysis and Model Diagnostics"/>
    <hyperlink ref="B162" location="'E-37 Residual Analysis'!A1" display="E-37  Residual Analysis and Model Diagnostics"/>
    <hyperlink ref="C162" location="'E-39 Logistic Regression'!A1" display="E-39  Binary Logistic Regression"/>
    <hyperlink ref="D162" location="'E-42 Full Factorial'!A1" display="E-42  Full Factorial Designs (2^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4930</v>
      </c>
      <c r="C2" s="3"/>
      <c r="D2" s="3"/>
      <c r="E2" s="3"/>
      <c r="F2" s="3"/>
      <c r="G2" s="3"/>
      <c r="H2" s="3"/>
      <c r="I2" s="3"/>
      <c r="J2" s="3"/>
      <c r="K2" s="80" t="s">
        <v>2864</v>
      </c>
    </row>
    <row r="3" customFormat="false" ht="28.5" hidden="false" customHeight="true" outlineLevel="0" collapsed="false">
      <c r="B3" s="5" t="s">
        <v>3</v>
      </c>
      <c r="D3" s="6" t="s">
        <v>4931</v>
      </c>
      <c r="E3" s="6"/>
      <c r="F3" s="6"/>
    </row>
    <row r="5" customFormat="false" ht="15.75" hidden="false" customHeight="true" outlineLevel="0" collapsed="false">
      <c r="B5" s="7" t="s">
        <v>1391</v>
      </c>
      <c r="C5" s="8"/>
      <c r="D5" s="8"/>
      <c r="E5" s="8"/>
      <c r="F5" s="8"/>
      <c r="G5" s="8"/>
      <c r="H5" s="8"/>
      <c r="I5" s="8"/>
      <c r="J5" s="8"/>
      <c r="K5" s="8"/>
    </row>
    <row r="6" customFormat="false" ht="17.25" hidden="false" customHeight="true" outlineLevel="0" collapsed="false">
      <c r="B6" s="47" t="s">
        <v>1392</v>
      </c>
      <c r="C6" s="9" t="s">
        <v>4932</v>
      </c>
      <c r="D6" s="9"/>
    </row>
    <row r="7" customFormat="false" ht="31.5" hidden="false" customHeight="true" outlineLevel="0" collapsed="false">
      <c r="B7" s="47" t="s">
        <v>1394</v>
      </c>
      <c r="C7" s="9" t="s">
        <v>4933</v>
      </c>
      <c r="D7" s="9"/>
    </row>
    <row r="8" customFormat="false" ht="31.5" hidden="false" customHeight="true" outlineLevel="0" collapsed="false">
      <c r="B8" s="47" t="s">
        <v>1396</v>
      </c>
      <c r="C8" s="9" t="s">
        <v>4934</v>
      </c>
      <c r="D8" s="9"/>
    </row>
    <row r="10" customFormat="false" ht="15.75" hidden="false" customHeight="true" outlineLevel="0" collapsed="false">
      <c r="B10" s="7" t="s">
        <v>1398</v>
      </c>
      <c r="C10" s="8"/>
      <c r="D10" s="8"/>
      <c r="E10" s="8"/>
      <c r="F10" s="8"/>
      <c r="G10" s="8"/>
      <c r="H10" s="8"/>
      <c r="I10" s="8"/>
      <c r="J10" s="8"/>
      <c r="K10" s="8"/>
    </row>
    <row r="11" customFormat="false" ht="10.5" hidden="false" customHeight="true" outlineLevel="0" collapsed="false">
      <c r="B11" s="9" t="s">
        <v>4935</v>
      </c>
      <c r="C11" s="9"/>
      <c r="D11" s="9"/>
      <c r="E11" s="9"/>
      <c r="F11" s="9"/>
    </row>
    <row r="12" customFormat="false" ht="10.5" hidden="false" customHeight="true" outlineLevel="0" collapsed="false">
      <c r="B12" s="9"/>
      <c r="C12" s="9"/>
      <c r="D12" s="9"/>
      <c r="E12" s="9"/>
      <c r="F12" s="9"/>
    </row>
    <row r="13" customFormat="false" ht="10.5" hidden="false" customHeight="true" outlineLevel="0" collapsed="false">
      <c r="B13" s="9"/>
      <c r="C13" s="9"/>
      <c r="D13" s="9"/>
      <c r="E13" s="9"/>
      <c r="F13" s="9"/>
    </row>
    <row r="14" customFormat="false" ht="15" hidden="false" customHeight="true" outlineLevel="0" collapsed="false">
      <c r="B14" s="9" t="s">
        <v>4936</v>
      </c>
      <c r="C14" s="9"/>
      <c r="D14" s="9"/>
      <c r="E14" s="9"/>
      <c r="F14" s="9"/>
    </row>
    <row r="15" customFormat="false" ht="15" hidden="false" customHeight="true" outlineLevel="0" collapsed="false">
      <c r="B15" s="9"/>
      <c r="C15" s="9"/>
      <c r="D15" s="9"/>
      <c r="E15" s="9"/>
      <c r="F15" s="9"/>
    </row>
    <row r="16" customFormat="false" ht="15" hidden="false" customHeight="true" outlineLevel="0" collapsed="false">
      <c r="B16" s="9"/>
      <c r="C16" s="9"/>
      <c r="D16" s="9"/>
      <c r="E16" s="9"/>
      <c r="F16" s="9"/>
    </row>
    <row r="17" customFormat="false" ht="15.75" hidden="false" customHeight="true" outlineLevel="0" collapsed="false">
      <c r="B17" s="9" t="s">
        <v>4937</v>
      </c>
      <c r="C17" s="9"/>
      <c r="D17" s="9"/>
      <c r="E17" s="9"/>
      <c r="F17" s="9"/>
    </row>
    <row r="18" customFormat="false" ht="15.75" hidden="false" customHeight="true" outlineLevel="0" collapsed="false">
      <c r="B18" s="9"/>
      <c r="C18" s="9"/>
      <c r="D18" s="9"/>
      <c r="E18" s="9"/>
      <c r="F18" s="9"/>
    </row>
    <row r="19" customFormat="false" ht="17.25" hidden="false" customHeight="true" outlineLevel="0" collapsed="false">
      <c r="B19" s="9" t="s">
        <v>4938</v>
      </c>
      <c r="C19" s="9"/>
      <c r="D19" s="9"/>
      <c r="E19" s="9"/>
      <c r="F19" s="9"/>
    </row>
    <row r="20" customFormat="false" ht="15" hidden="false" customHeight="true" outlineLevel="0" collapsed="false">
      <c r="B20" s="9" t="s">
        <v>4939</v>
      </c>
      <c r="C20" s="9"/>
      <c r="D20" s="9"/>
      <c r="E20" s="9"/>
      <c r="F20" s="9"/>
    </row>
    <row r="21" customFormat="false" ht="15" hidden="false" customHeight="true" outlineLevel="0" collapsed="false">
      <c r="B21" s="9"/>
      <c r="C21" s="9"/>
      <c r="D21" s="9"/>
      <c r="E21" s="9"/>
      <c r="F21" s="9"/>
    </row>
    <row r="22" customFormat="false" ht="15" hidden="false" customHeight="true" outlineLevel="0" collapsed="false">
      <c r="B22" s="9"/>
      <c r="C22" s="9"/>
      <c r="D22" s="9"/>
      <c r="E22" s="9"/>
      <c r="F22" s="9"/>
    </row>
    <row r="24" customFormat="false" ht="15.75" hidden="false" customHeight="true" outlineLevel="0" collapsed="false">
      <c r="B24" s="7" t="s">
        <v>1406</v>
      </c>
      <c r="C24" s="8"/>
      <c r="D24" s="8"/>
      <c r="E24" s="8"/>
      <c r="F24" s="8"/>
      <c r="G24" s="8"/>
      <c r="H24" s="8"/>
      <c r="I24" s="8"/>
      <c r="J24" s="8"/>
      <c r="K24" s="8"/>
    </row>
    <row r="25" customFormat="false" ht="17.25" hidden="false" customHeight="true" outlineLevel="0" collapsed="false">
      <c r="B25" s="48" t="s">
        <v>1407</v>
      </c>
      <c r="C25" s="48"/>
      <c r="D25" s="48"/>
      <c r="E25" s="49" t="s">
        <v>1408</v>
      </c>
      <c r="F25" s="49"/>
    </row>
    <row r="26" customFormat="false" ht="31.5" hidden="false" customHeight="true" outlineLevel="0" collapsed="false">
      <c r="B26" s="23" t="s">
        <v>4940</v>
      </c>
      <c r="C26" s="23"/>
      <c r="D26" s="23"/>
      <c r="E26" s="23" t="s">
        <v>4941</v>
      </c>
      <c r="F26" s="23"/>
    </row>
    <row r="27" customFormat="false" ht="31.5" hidden="false" customHeight="true" outlineLevel="0" collapsed="false">
      <c r="B27" s="23" t="s">
        <v>4942</v>
      </c>
      <c r="C27" s="23"/>
      <c r="D27" s="23"/>
      <c r="E27" s="23" t="s">
        <v>4943</v>
      </c>
      <c r="F27" s="23"/>
    </row>
    <row r="28" customFormat="false" ht="31.5" hidden="false" customHeight="true" outlineLevel="0" collapsed="false">
      <c r="B28" s="23" t="s">
        <v>4944</v>
      </c>
      <c r="C28" s="23"/>
      <c r="D28" s="23"/>
      <c r="E28" s="23" t="s">
        <v>4945</v>
      </c>
      <c r="F28" s="23"/>
    </row>
    <row r="29" customFormat="false" ht="17.25" hidden="false" customHeight="true" outlineLevel="0" collapsed="false">
      <c r="B29" s="23" t="s">
        <v>4946</v>
      </c>
      <c r="C29" s="23"/>
      <c r="D29" s="23"/>
      <c r="E29" s="23"/>
      <c r="F29" s="23"/>
    </row>
    <row r="31" customFormat="false" ht="16.5" hidden="false" customHeight="true" outlineLevel="0" collapsed="false">
      <c r="B31" s="11" t="s">
        <v>1416</v>
      </c>
      <c r="C31" s="11" t="s">
        <v>1417</v>
      </c>
      <c r="D31" s="11" t="s">
        <v>1418</v>
      </c>
      <c r="E31" s="11" t="s">
        <v>1419</v>
      </c>
    </row>
    <row r="32" customFormat="false" ht="30.75" hidden="false" customHeight="true" outlineLevel="0" collapsed="false">
      <c r="B32" s="12" t="s">
        <v>4947</v>
      </c>
      <c r="C32" s="12" t="s">
        <v>4948</v>
      </c>
      <c r="D32" s="12" t="s">
        <v>4949</v>
      </c>
      <c r="E32" s="12"/>
    </row>
    <row r="33" customFormat="false" ht="30.75" hidden="false" customHeight="true" outlineLevel="0" collapsed="false">
      <c r="B33" s="12" t="s">
        <v>4950</v>
      </c>
      <c r="C33" s="12" t="s">
        <v>4951</v>
      </c>
      <c r="D33" s="12" t="s">
        <v>4952</v>
      </c>
      <c r="E33" s="50" t="s">
        <v>973</v>
      </c>
    </row>
    <row r="34" customFormat="false" ht="30.75" hidden="false" customHeight="true" outlineLevel="0" collapsed="false">
      <c r="B34" s="12" t="s">
        <v>4953</v>
      </c>
      <c r="C34" s="12" t="s">
        <v>4954</v>
      </c>
      <c r="D34" s="12" t="s">
        <v>4955</v>
      </c>
      <c r="E34" s="50" t="s">
        <v>970</v>
      </c>
    </row>
    <row r="36" customFormat="false" ht="15.75" hidden="false" customHeight="true" outlineLevel="0" collapsed="false">
      <c r="B36" s="7" t="s">
        <v>1429</v>
      </c>
      <c r="C36" s="8"/>
      <c r="D36" s="8"/>
      <c r="E36" s="8"/>
      <c r="F36" s="8"/>
      <c r="G36" s="8"/>
      <c r="H36" s="8"/>
      <c r="I36" s="8"/>
      <c r="J36" s="8"/>
      <c r="K36" s="8"/>
    </row>
    <row r="37" customFormat="false" ht="15" hidden="false" customHeight="true" outlineLevel="0" collapsed="false">
      <c r="B37" s="47" t="s">
        <v>4852</v>
      </c>
    </row>
    <row r="38" customFormat="false" ht="17.25" hidden="false" customHeight="true" outlineLevel="0" collapsed="false">
      <c r="B38" s="52" t="s">
        <v>4956</v>
      </c>
      <c r="C38" s="52"/>
      <c r="D38" s="52"/>
      <c r="E38" s="52"/>
      <c r="F38" s="52"/>
    </row>
    <row r="39" customFormat="false" ht="17.25" hidden="false" customHeight="true" outlineLevel="0" collapsed="false">
      <c r="B39" s="51" t="s">
        <v>4957</v>
      </c>
      <c r="C39" s="51"/>
      <c r="D39" s="51"/>
      <c r="E39" s="51"/>
      <c r="F39" s="51"/>
    </row>
    <row r="40" customFormat="false" ht="17.25" hidden="false" customHeight="true" outlineLevel="0" collapsed="false">
      <c r="B40" s="52" t="s">
        <v>4958</v>
      </c>
      <c r="C40" s="52"/>
      <c r="D40" s="52"/>
      <c r="E40" s="52"/>
      <c r="F40" s="52"/>
    </row>
    <row r="41" customFormat="false" ht="17.25" hidden="false" customHeight="true" outlineLevel="0" collapsed="false">
      <c r="B41" s="51" t="s">
        <v>4959</v>
      </c>
      <c r="C41" s="51"/>
      <c r="D41" s="51"/>
      <c r="E41" s="51"/>
      <c r="F41" s="51"/>
    </row>
    <row r="42" customFormat="false" ht="17.25" hidden="false" customHeight="true" outlineLevel="0" collapsed="false">
      <c r="B42" s="52" t="s">
        <v>4960</v>
      </c>
      <c r="C42" s="52"/>
      <c r="D42" s="52"/>
      <c r="E42" s="52"/>
      <c r="F42" s="52"/>
    </row>
    <row r="43" customFormat="false" ht="15" hidden="false" customHeight="true" outlineLevel="0" collapsed="false">
      <c r="B43" s="59" t="s">
        <v>4961</v>
      </c>
    </row>
    <row r="44" customFormat="false" ht="17.25" hidden="false" customHeight="true" outlineLevel="0" collapsed="false">
      <c r="B44" s="52" t="s">
        <v>4962</v>
      </c>
      <c r="C44" s="52"/>
      <c r="D44" s="52"/>
      <c r="E44" s="52"/>
      <c r="F44" s="52"/>
    </row>
    <row r="45" customFormat="false" ht="17.25" hidden="false" customHeight="true" outlineLevel="0" collapsed="false">
      <c r="B45" s="51" t="s">
        <v>4963</v>
      </c>
      <c r="C45" s="51"/>
      <c r="D45" s="51"/>
      <c r="E45" s="51"/>
      <c r="F45" s="51"/>
    </row>
    <row r="46" customFormat="false" ht="17.25" hidden="false" customHeight="true" outlineLevel="0" collapsed="false">
      <c r="B46" s="52" t="s">
        <v>4964</v>
      </c>
      <c r="C46" s="52"/>
      <c r="D46" s="52"/>
      <c r="E46" s="52"/>
      <c r="F46" s="52"/>
    </row>
    <row r="47" customFormat="false" ht="15" hidden="false" customHeight="true" outlineLevel="0" collapsed="false">
      <c r="B47" s="47" t="s">
        <v>4965</v>
      </c>
    </row>
    <row r="48" customFormat="false" ht="17.25" hidden="false" customHeight="true" outlineLevel="0" collapsed="false">
      <c r="B48" s="52" t="s">
        <v>4966</v>
      </c>
      <c r="C48" s="52"/>
      <c r="D48" s="52"/>
      <c r="E48" s="52"/>
      <c r="F48" s="52"/>
    </row>
    <row r="49" customFormat="false" ht="17.25" hidden="false" customHeight="true" outlineLevel="0" collapsed="false">
      <c r="B49" s="51" t="s">
        <v>4967</v>
      </c>
      <c r="C49" s="51"/>
      <c r="D49" s="51"/>
      <c r="E49" s="51"/>
      <c r="F49" s="51"/>
    </row>
    <row r="50" customFormat="false" ht="17.25" hidden="false" customHeight="true" outlineLevel="0" collapsed="false">
      <c r="B50" s="52" t="s">
        <v>4968</v>
      </c>
      <c r="C50" s="52"/>
      <c r="D50" s="52"/>
      <c r="E50" s="52"/>
      <c r="F50" s="52"/>
    </row>
    <row r="52" customFormat="false" ht="15.75" hidden="false" customHeight="true" outlineLevel="0" collapsed="false">
      <c r="B52" s="7" t="s">
        <v>1437</v>
      </c>
      <c r="C52" s="8"/>
      <c r="D52" s="8"/>
      <c r="E52" s="8"/>
      <c r="F52" s="8"/>
      <c r="G52" s="8"/>
      <c r="H52" s="8"/>
      <c r="I52" s="8"/>
      <c r="J52" s="8"/>
      <c r="K52" s="8"/>
    </row>
    <row r="53" customFormat="false" ht="16.5" hidden="false" customHeight="true" outlineLevel="0" collapsed="false">
      <c r="B53" s="11" t="s">
        <v>1438</v>
      </c>
      <c r="C53" s="11" t="s">
        <v>1439</v>
      </c>
      <c r="D53" s="11" t="s">
        <v>1440</v>
      </c>
    </row>
    <row r="54" customFormat="false" ht="30.75" hidden="false" customHeight="true" outlineLevel="0" collapsed="false">
      <c r="B54" s="12" t="s">
        <v>4969</v>
      </c>
      <c r="C54" s="12" t="s">
        <v>4970</v>
      </c>
      <c r="D54" s="12" t="s">
        <v>4971</v>
      </c>
    </row>
    <row r="55" customFormat="false" ht="30.75" hidden="false" customHeight="true" outlineLevel="0" collapsed="false">
      <c r="B55" s="12" t="s">
        <v>3677</v>
      </c>
      <c r="C55" s="12" t="s">
        <v>4972</v>
      </c>
      <c r="D55" s="12" t="s">
        <v>4973</v>
      </c>
    </row>
    <row r="56" customFormat="false" ht="16.5" hidden="false" customHeight="true" outlineLevel="0" collapsed="false">
      <c r="B56" s="12" t="s">
        <v>4079</v>
      </c>
      <c r="C56" s="12" t="s">
        <v>4080</v>
      </c>
      <c r="D56" s="12" t="s">
        <v>4974</v>
      </c>
    </row>
    <row r="57" customFormat="false" ht="30.75" hidden="false" customHeight="true" outlineLevel="0" collapsed="false">
      <c r="B57" s="12" t="s">
        <v>1834</v>
      </c>
      <c r="C57" s="12" t="s">
        <v>1835</v>
      </c>
      <c r="D57" s="12" t="s">
        <v>4975</v>
      </c>
    </row>
    <row r="58" customFormat="false" ht="16.5" hidden="false" customHeight="true" outlineLevel="0" collapsed="false">
      <c r="B58" s="12" t="s">
        <v>1571</v>
      </c>
      <c r="C58" s="12" t="s">
        <v>1572</v>
      </c>
      <c r="D58" s="12" t="s">
        <v>4680</v>
      </c>
    </row>
    <row r="59" customFormat="false" ht="28.5" hidden="false" customHeight="true" outlineLevel="0" collapsed="false">
      <c r="B59" s="16" t="s">
        <v>1453</v>
      </c>
      <c r="C59" s="16"/>
      <c r="D59" s="16"/>
      <c r="E59" s="16"/>
      <c r="F59" s="16"/>
    </row>
    <row r="61" customFormat="false" ht="15.75" hidden="false" customHeight="true" outlineLevel="0" collapsed="false">
      <c r="B61" s="7" t="s">
        <v>1454</v>
      </c>
      <c r="C61" s="8"/>
      <c r="D61" s="8"/>
      <c r="E61" s="8"/>
      <c r="F61" s="8"/>
      <c r="G61" s="8"/>
      <c r="H61" s="8"/>
      <c r="I61" s="8"/>
      <c r="J61" s="8"/>
      <c r="K61" s="8"/>
    </row>
    <row r="62" customFormat="false" ht="17.25" hidden="false" customHeight="true" outlineLevel="0" collapsed="false">
      <c r="B62" s="9" t="s">
        <v>4976</v>
      </c>
      <c r="C62" s="9"/>
      <c r="D62" s="9"/>
      <c r="E62" s="9"/>
      <c r="F62" s="9"/>
    </row>
    <row r="63" customFormat="false" ht="17.25" hidden="false" customHeight="true" outlineLevel="0" collapsed="false">
      <c r="B63" s="9" t="s">
        <v>4977</v>
      </c>
      <c r="C63" s="9"/>
      <c r="D63" s="9"/>
      <c r="E63" s="9"/>
      <c r="F63" s="9"/>
    </row>
    <row r="64" customFormat="false" ht="15" hidden="false" customHeight="true" outlineLevel="0" collapsed="false">
      <c r="B64" s="19" t="s">
        <v>85</v>
      </c>
      <c r="C64" s="41" t="s">
        <v>86</v>
      </c>
    </row>
    <row r="66" customFormat="false" ht="30.75" hidden="false" customHeight="true" outlineLevel="0" collapsed="false">
      <c r="C66" s="11" t="s">
        <v>4978</v>
      </c>
      <c r="D66" s="11" t="s">
        <v>4979</v>
      </c>
      <c r="E66" s="11" t="s">
        <v>4980</v>
      </c>
      <c r="F66" s="11" t="s">
        <v>4981</v>
      </c>
      <c r="G66" s="11" t="s">
        <v>4982</v>
      </c>
      <c r="H66" s="11" t="s">
        <v>4983</v>
      </c>
      <c r="I66" s="11" t="s">
        <v>4984</v>
      </c>
    </row>
    <row r="67" customFormat="false" ht="15" hidden="false" customHeight="true" outlineLevel="0" collapsed="false">
      <c r="C67" s="65" t="n">
        <v>14000</v>
      </c>
      <c r="D67" s="65" t="n">
        <v>150</v>
      </c>
      <c r="E67" s="65" t="n">
        <v>3</v>
      </c>
      <c r="F67" s="66" t="n">
        <f aca="false">IFERROR(E67/D67,0)</f>
        <v>0.02</v>
      </c>
      <c r="G67" s="66" t="n">
        <f aca="false">IFERROR(LN(F67/(1-F67)),0)</f>
        <v>-3.89182029811063</v>
      </c>
      <c r="H67" s="63" t="n">
        <f aca="false">D67*F67*(1-F67)</f>
        <v>2.94</v>
      </c>
      <c r="I67" s="66" t="n">
        <f aca="false">1/(1+EXP(-($C$84+$C$83*C67)))</f>
        <v>0.0189725949831772</v>
      </c>
    </row>
    <row r="68" customFormat="false" ht="15" hidden="false" customHeight="true" outlineLevel="0" collapsed="false">
      <c r="C68" s="65" t="n">
        <v>14600</v>
      </c>
      <c r="D68" s="65" t="n">
        <v>150</v>
      </c>
      <c r="E68" s="65" t="n">
        <v>4</v>
      </c>
      <c r="F68" s="66" t="n">
        <f aca="false">IFERROR(E68/D68,0)</f>
        <v>0.0266666666666667</v>
      </c>
      <c r="G68" s="66" t="n">
        <f aca="false">IFERROR(LN(F68/(1-F68)),0)</f>
        <v>-3.59731226058845</v>
      </c>
      <c r="H68" s="63" t="n">
        <f aca="false">D68*F68*(1-F68)</f>
        <v>3.89333333333333</v>
      </c>
      <c r="I68" s="66" t="n">
        <f aca="false">1/(1+EXP(-($C$84+$C$83*C68)))</f>
        <v>0.0257548021611914</v>
      </c>
    </row>
    <row r="69" customFormat="false" ht="15" hidden="false" customHeight="true" outlineLevel="0" collapsed="false">
      <c r="C69" s="65" t="n">
        <v>15200</v>
      </c>
      <c r="D69" s="65" t="n">
        <v>150</v>
      </c>
      <c r="E69" s="65" t="n">
        <v>5</v>
      </c>
      <c r="F69" s="66" t="n">
        <f aca="false">IFERROR(E69/D69,0)</f>
        <v>0.0333333333333333</v>
      </c>
      <c r="G69" s="66" t="n">
        <f aca="false">IFERROR(LN(F69/(1-F69)),0)</f>
        <v>-3.36729582998647</v>
      </c>
      <c r="H69" s="63" t="n">
        <f aca="false">D69*F69*(1-F69)</f>
        <v>4.83333333333333</v>
      </c>
      <c r="I69" s="66" t="n">
        <f aca="false">1/(1+EXP(-($C$84+$C$83*C69)))</f>
        <v>0.0348752822434101</v>
      </c>
    </row>
    <row r="70" customFormat="false" ht="15" hidden="false" customHeight="true" outlineLevel="0" collapsed="false">
      <c r="C70" s="65" t="n">
        <v>15800</v>
      </c>
      <c r="D70" s="65" t="n">
        <v>150</v>
      </c>
      <c r="E70" s="65" t="n">
        <v>7</v>
      </c>
      <c r="F70" s="66" t="n">
        <f aca="false">IFERROR(E70/D70,0)</f>
        <v>0.0466666666666667</v>
      </c>
      <c r="G70" s="66" t="n">
        <f aca="false">IFERROR(LN(F70/(1-F70)),0)</f>
        <v>-3.01693448120459</v>
      </c>
      <c r="H70" s="63" t="n">
        <f aca="false">D70*F70*(1-F70)</f>
        <v>6.67333333333333</v>
      </c>
      <c r="I70" s="66" t="n">
        <f aca="false">1/(1+EXP(-($C$84+$C$83*C70)))</f>
        <v>0.0470695292478041</v>
      </c>
    </row>
    <row r="71" customFormat="false" ht="15" hidden="false" customHeight="true" outlineLevel="0" collapsed="false">
      <c r="C71" s="65" t="n">
        <v>16400</v>
      </c>
      <c r="D71" s="65" t="n">
        <v>150</v>
      </c>
      <c r="E71" s="65" t="n">
        <v>9</v>
      </c>
      <c r="F71" s="66" t="n">
        <f aca="false">IFERROR(E71/D71,0)</f>
        <v>0.06</v>
      </c>
      <c r="G71" s="66" t="n">
        <f aca="false">IFERROR(LN(F71/(1-F71)),0)</f>
        <v>-2.75153531304195</v>
      </c>
      <c r="H71" s="63" t="n">
        <f aca="false">D71*F71*(1-F71)</f>
        <v>8.46</v>
      </c>
      <c r="I71" s="66" t="n">
        <f aca="false">1/(1+EXP(-($C$84+$C$83*C71)))</f>
        <v>0.0632481119979585</v>
      </c>
    </row>
    <row r="72" customFormat="false" ht="15" hidden="false" customHeight="true" outlineLevel="0" collapsed="false">
      <c r="C72" s="65" t="n">
        <v>17000</v>
      </c>
      <c r="D72" s="65" t="n">
        <v>150</v>
      </c>
      <c r="E72" s="65" t="n">
        <v>13</v>
      </c>
      <c r="F72" s="66" t="n">
        <f aca="false">IFERROR(E72/D72,0)</f>
        <v>0.0866666666666667</v>
      </c>
      <c r="G72" s="66" t="n">
        <f aca="false">IFERROR(LN(F72/(1-F72)),0)</f>
        <v>-2.35503156836659</v>
      </c>
      <c r="H72" s="63" t="n">
        <f aca="false">D72*F72*(1-F72)</f>
        <v>11.8733333333333</v>
      </c>
      <c r="I72" s="66" t="n">
        <f aca="false">1/(1+EXP(-($C$84+$C$83*C72)))</f>
        <v>0.084494474090301</v>
      </c>
    </row>
    <row r="73" customFormat="false" ht="15" hidden="false" customHeight="true" outlineLevel="0" collapsed="false">
      <c r="C73" s="65" t="n">
        <v>17600</v>
      </c>
      <c r="D73" s="65" t="n">
        <v>150</v>
      </c>
      <c r="E73" s="65" t="n">
        <v>17</v>
      </c>
      <c r="F73" s="66" t="n">
        <f aca="false">IFERROR(E73/D73,0)</f>
        <v>0.113333333333333</v>
      </c>
      <c r="G73" s="66" t="n">
        <f aca="false">IFERROR(LN(F73/(1-F73)),0)</f>
        <v>-2.05713578416554</v>
      </c>
      <c r="H73" s="63" t="n">
        <f aca="false">D73*F73*(1-F73)</f>
        <v>15.0733333333333</v>
      </c>
      <c r="I73" s="66" t="n">
        <f aca="false">1/(1+EXP(-($C$84+$C$83*C73)))</f>
        <v>0.112024420875056</v>
      </c>
    </row>
    <row r="74" customFormat="false" ht="15" hidden="false" customHeight="true" outlineLevel="0" collapsed="false">
      <c r="C74" s="65" t="n">
        <v>18200</v>
      </c>
      <c r="D74" s="65" t="n">
        <v>150</v>
      </c>
      <c r="E74" s="65" t="n">
        <v>22</v>
      </c>
      <c r="F74" s="66" t="n">
        <f aca="false">IFERROR(E74/D74,0)</f>
        <v>0.146666666666667</v>
      </c>
      <c r="G74" s="66" t="n">
        <f aca="false">IFERROR(LN(F74/(1-F74)),0)</f>
        <v>-1.7609878105613</v>
      </c>
      <c r="H74" s="63" t="n">
        <f aca="false">D74*F74*(1-F74)</f>
        <v>18.7733333333333</v>
      </c>
      <c r="I74" s="66" t="n">
        <f aca="false">1/(1+EXP(-($C$84+$C$83*C74)))</f>
        <v>0.1470830938221</v>
      </c>
    </row>
    <row r="77" customFormat="false" ht="15" hidden="false" customHeight="true" outlineLevel="0" collapsed="false">
      <c r="B77" s="10" t="s">
        <v>4985</v>
      </c>
      <c r="C77" s="66" t="n">
        <f aca="false">SUM($H$67:$H$74)</f>
        <v>72.52</v>
      </c>
    </row>
    <row r="78" customFormat="false" ht="15" hidden="false" customHeight="true" outlineLevel="0" collapsed="false">
      <c r="B78" s="10" t="s">
        <v>4986</v>
      </c>
      <c r="C78" s="64" t="n">
        <f aca="false">SUMPRODUCT($H$67:$H$74,$C$67:$C$74)</f>
        <v>1224464</v>
      </c>
    </row>
    <row r="79" customFormat="false" ht="15" hidden="false" customHeight="true" outlineLevel="0" collapsed="false">
      <c r="B79" s="10" t="s">
        <v>4987</v>
      </c>
      <c r="C79" s="66" t="n">
        <f aca="false">SUMPRODUCT($H$67:$H$74,$G$67:$G$74)</f>
        <v>-177.16332814751</v>
      </c>
    </row>
    <row r="80" customFormat="false" ht="15" hidden="false" customHeight="true" outlineLevel="0" collapsed="false">
      <c r="B80" s="10" t="s">
        <v>4988</v>
      </c>
      <c r="C80" s="64" t="n">
        <f aca="false">SUMPRODUCT($H$67:$H$74,$C$67:$C$74,$C$67:$C$74)</f>
        <v>20783156800</v>
      </c>
    </row>
    <row r="81" customFormat="false" ht="15" hidden="false" customHeight="true" outlineLevel="0" collapsed="false">
      <c r="B81" s="10" t="s">
        <v>4989</v>
      </c>
      <c r="C81" s="64" t="n">
        <f aca="false">SUMPRODUCT($H$67:$H$74,$C$67:$C$74,$G$67:$G$74)</f>
        <v>-2934691.82884834</v>
      </c>
    </row>
    <row r="82" customFormat="false" ht="15" hidden="false" customHeight="true" outlineLevel="0" collapsed="false">
      <c r="B82" s="10" t="s">
        <v>4990</v>
      </c>
      <c r="C82" s="64" t="n">
        <f aca="false">C77*C80-C78^2</f>
        <v>7882443840</v>
      </c>
    </row>
    <row r="83" customFormat="false" ht="15" hidden="false" customHeight="true" outlineLevel="0" collapsed="false">
      <c r="B83" s="10" t="s">
        <v>4991</v>
      </c>
      <c r="C83" s="99" t="n">
        <f aca="false">IFERROR((C77*C81-C78*C79)/C82,0)</f>
        <v>0.000520938187709402</v>
      </c>
    </row>
    <row r="84" customFormat="false" ht="15" hidden="false" customHeight="true" outlineLevel="0" collapsed="false">
      <c r="B84" s="10" t="s">
        <v>4992</v>
      </c>
      <c r="C84" s="66" t="n">
        <f aca="false">IFERROR((C79-$C$83*C78)/C77,0)</f>
        <v>-11.2387394542597</v>
      </c>
    </row>
    <row r="86" customFormat="false" ht="15" hidden="false" customHeight="true" outlineLevel="0" collapsed="false">
      <c r="B86" s="10" t="s">
        <v>4993</v>
      </c>
      <c r="C86" s="99" t="n">
        <f aca="false">IFERROR(SQRT(C77/C82),0)</f>
        <v>9.59176334747322E-005</v>
      </c>
    </row>
    <row r="87" customFormat="false" ht="15" hidden="false" customHeight="true" outlineLevel="0" collapsed="false">
      <c r="B87" s="10" t="s">
        <v>4994</v>
      </c>
      <c r="C87" s="63" t="n">
        <f aca="false">IFERROR($C$83/C86,0)</f>
        <v>5.43109925503567</v>
      </c>
    </row>
    <row r="88" customFormat="false" ht="15" hidden="false" customHeight="true" outlineLevel="0" collapsed="false">
      <c r="B88" s="10" t="s">
        <v>3007</v>
      </c>
      <c r="C88" s="72" t="n">
        <f aca="false">2*(1-NORMSDIST(ABS(C87)))</f>
        <v>5.60079704836625E-008</v>
      </c>
    </row>
    <row r="89" customFormat="false" ht="15" hidden="false" customHeight="true" outlineLevel="0" collapsed="false">
      <c r="B89" s="10" t="s">
        <v>4995</v>
      </c>
      <c r="C89" s="94" t="n">
        <f aca="false">EXP($C$83)</f>
        <v>1.00052107389957</v>
      </c>
    </row>
    <row r="90" customFormat="false" ht="15" hidden="false" customHeight="true" outlineLevel="0" collapsed="false">
      <c r="B90" s="10" t="s">
        <v>4996</v>
      </c>
      <c r="C90" s="63" t="n">
        <f aca="false">EXP($C$83*1000)</f>
        <v>1.68360644785542</v>
      </c>
    </row>
    <row r="92" customFormat="false" ht="15" hidden="false" customHeight="true" outlineLevel="0" collapsed="false">
      <c r="B92" s="10" t="s">
        <v>2228</v>
      </c>
      <c r="C92" s="75" t="n">
        <v>0.05</v>
      </c>
    </row>
    <row r="93" customFormat="false" ht="15" hidden="false" customHeight="true" outlineLevel="0" collapsed="false">
      <c r="B93" s="10" t="s">
        <v>4997</v>
      </c>
      <c r="C93" s="100" t="n">
        <v>0.05</v>
      </c>
    </row>
    <row r="94" customFormat="false" ht="15" hidden="false" customHeight="true" outlineLevel="0" collapsed="false">
      <c r="B94" s="10" t="s">
        <v>4998</v>
      </c>
      <c r="C94" s="69" t="n">
        <v>17000</v>
      </c>
    </row>
    <row r="95" customFormat="false" ht="15" hidden="false" customHeight="true" outlineLevel="0" collapsed="false">
      <c r="B95" s="10" t="s">
        <v>4999</v>
      </c>
      <c r="C95" s="68" t="n">
        <f aca="false">1/(1+EXP(-($C$84+$C$83*C94)))</f>
        <v>0.084494474090301</v>
      </c>
    </row>
    <row r="96" customFormat="false" ht="15" hidden="false" customHeight="true" outlineLevel="0" collapsed="false">
      <c r="B96" s="10" t="s">
        <v>5000</v>
      </c>
      <c r="C96" s="70" t="n">
        <f aca="false">IFERROR((LN(C93/(1-C93))-$C$84)/$C$83,0)</f>
        <v>15921.85151863</v>
      </c>
    </row>
    <row r="97" customFormat="false" ht="15" hidden="false" customHeight="true" outlineLevel="0" collapsed="false">
      <c r="B97" s="10" t="s">
        <v>5001</v>
      </c>
      <c r="C97" s="41" t="str">
        <f aca="false">IF(AND(C96&gt;=MIN($C$67:$C$74),C96&lt;=MAX($C$67:$C$74)),"Yes","NO - extrapolation, treat with caution")</f>
        <v>Yes</v>
      </c>
    </row>
    <row r="98" customFormat="false" ht="15" hidden="false" customHeight="true" outlineLevel="0" collapsed="false">
      <c r="B98" s="10" t="s">
        <v>5002</v>
      </c>
      <c r="C98" s="66" t="n">
        <f aca="false">CORREL($F$67:$F$74,$I$67:$I$74)</f>
        <v>0.999251117305089</v>
      </c>
    </row>
    <row r="100" customFormat="false" ht="15.75" hidden="false" customHeight="true" outlineLevel="0" collapsed="false">
      <c r="B100" s="7" t="s">
        <v>1493</v>
      </c>
      <c r="C100" s="8"/>
      <c r="D100" s="8"/>
      <c r="E100" s="8"/>
      <c r="F100" s="8"/>
      <c r="G100" s="8"/>
      <c r="H100" s="8"/>
      <c r="I100" s="8"/>
      <c r="J100" s="8"/>
      <c r="K100" s="8"/>
    </row>
    <row r="101" customFormat="false" ht="33.75" hidden="false" customHeight="true" outlineLevel="0" collapsed="false">
      <c r="B101" s="53" t="s">
        <v>1494</v>
      </c>
      <c r="C101" s="54" t="str">
        <f aca="false">IF(C88&lt;C92,"SIGNIFICANT EFFECT (Wald z = "&amp;TEXT(C87,"0.00")&amp;", p = "&amp;TEXT(C88,"0.0000000")&amp;"). Each additional 1,000 BPH multiplies the odds of failure by "&amp;TEXT(C90,"0.00")&amp;". The "&amp;TEXT(C93,"0.0%")&amp;" failure rate is reached at about "&amp;TEXT(C96,"#,##0")&amp;" BPH - "&amp;C97&amp;".  Fit correlation "&amp;TEXT(C98,"0.000")&amp;".","NO SIGNIFICANT EFFECT (p = "&amp;TEXT(C88,"0.000")&amp;") - line speed does not measurably drive the failure rate over the range studied. Widen the range or look for another driver on H-12.")</f>
        <v>SIGNIFICANT EFFECT (Wald z = 5.43, p = 0.0000001). Each additional 1,000 BPH multiplies the odds of failure by 1.68. The 5.0% failure rate is reached at about 15,922 BPH - Yes.  Fit correlation 0.999.</v>
      </c>
      <c r="D101" s="54"/>
      <c r="E101" s="54"/>
      <c r="F101" s="54"/>
    </row>
    <row r="103" customFormat="false" ht="16.5" hidden="false" customHeight="true" outlineLevel="0" collapsed="false">
      <c r="B103" s="11" t="s">
        <v>1495</v>
      </c>
      <c r="C103" s="11" t="s">
        <v>1496</v>
      </c>
      <c r="D103" s="11" t="s">
        <v>1497</v>
      </c>
    </row>
    <row r="104" customFormat="false" ht="30.75" hidden="false" customHeight="true" outlineLevel="0" collapsed="false">
      <c r="B104" s="12" t="s">
        <v>5003</v>
      </c>
      <c r="C104" s="12" t="s">
        <v>5004</v>
      </c>
      <c r="D104" s="12" t="s">
        <v>5005</v>
      </c>
    </row>
    <row r="105" customFormat="false" ht="30.75" hidden="false" customHeight="true" outlineLevel="0" collapsed="false">
      <c r="B105" s="12" t="s">
        <v>5006</v>
      </c>
      <c r="C105" s="12" t="s">
        <v>3444</v>
      </c>
      <c r="D105" s="12" t="s">
        <v>5007</v>
      </c>
    </row>
    <row r="106" customFormat="false" ht="30.75" hidden="false" customHeight="true" outlineLevel="0" collapsed="false">
      <c r="B106" s="12" t="s">
        <v>5008</v>
      </c>
      <c r="C106" s="12" t="s">
        <v>5009</v>
      </c>
      <c r="D106" s="12" t="s">
        <v>5010</v>
      </c>
    </row>
    <row r="107" customFormat="false" ht="30.75" hidden="false" customHeight="true" outlineLevel="0" collapsed="false">
      <c r="B107" s="12" t="s">
        <v>5011</v>
      </c>
      <c r="C107" s="12" t="s">
        <v>5012</v>
      </c>
      <c r="D107" s="12" t="s">
        <v>5013</v>
      </c>
    </row>
    <row r="109" customFormat="false" ht="15" hidden="false" customHeight="true" outlineLevel="0" collapsed="false">
      <c r="B109" s="55" t="s">
        <v>1507</v>
      </c>
    </row>
    <row r="110" customFormat="false" ht="17.25" hidden="false" customHeight="true" outlineLevel="0" collapsed="false">
      <c r="B110" s="9" t="s">
        <v>5014</v>
      </c>
      <c r="C110" s="9"/>
      <c r="D110" s="9"/>
      <c r="E110" s="9"/>
      <c r="F110" s="9"/>
    </row>
    <row r="111" customFormat="false" ht="17.25" hidden="false" customHeight="true" outlineLevel="0" collapsed="false">
      <c r="B111" s="9" t="s">
        <v>5015</v>
      </c>
      <c r="C111" s="9"/>
      <c r="D111" s="9"/>
      <c r="E111" s="9"/>
      <c r="F111" s="9"/>
    </row>
    <row r="112" customFormat="false" ht="17.25" hidden="false" customHeight="true" outlineLevel="0" collapsed="false">
      <c r="B112" s="9" t="s">
        <v>5016</v>
      </c>
      <c r="C112" s="9"/>
      <c r="D112" s="9"/>
      <c r="E112" s="9"/>
      <c r="F112" s="9"/>
    </row>
    <row r="113" customFormat="false" ht="17.25" hidden="false" customHeight="true" outlineLevel="0" collapsed="false">
      <c r="B113" s="9" t="s">
        <v>5017</v>
      </c>
      <c r="C113" s="9"/>
      <c r="D113" s="9"/>
      <c r="E113" s="9"/>
      <c r="F113" s="9"/>
    </row>
    <row r="114" customFormat="false" ht="17.25" hidden="false" customHeight="true" outlineLevel="0" collapsed="false">
      <c r="B114" s="9" t="s">
        <v>5018</v>
      </c>
      <c r="C114" s="9"/>
      <c r="D114" s="9"/>
      <c r="E114" s="9"/>
      <c r="F114" s="9"/>
    </row>
    <row r="116" customFormat="false" ht="15.75" hidden="false" customHeight="true" outlineLevel="0" collapsed="false">
      <c r="B116" s="7" t="s">
        <v>1513</v>
      </c>
      <c r="C116" s="8"/>
      <c r="D116" s="8"/>
      <c r="E116" s="8"/>
      <c r="F116" s="8"/>
      <c r="G116" s="8"/>
      <c r="H116" s="8"/>
      <c r="I116" s="8"/>
      <c r="J116" s="8"/>
      <c r="K116" s="8"/>
    </row>
    <row r="117" customFormat="false" ht="17.25" hidden="false" customHeight="true" outlineLevel="0" collapsed="false">
      <c r="B117" s="9" t="s">
        <v>1514</v>
      </c>
      <c r="C117" s="9"/>
      <c r="D117" s="9"/>
      <c r="E117" s="9"/>
      <c r="N117" s="56" t="s">
        <v>1515</v>
      </c>
    </row>
    <row r="118" customFormat="false" ht="17.25" hidden="false" customHeight="true" outlineLevel="0" collapsed="false">
      <c r="B118" s="9" t="s">
        <v>5019</v>
      </c>
      <c r="C118" s="9"/>
      <c r="D118" s="9"/>
      <c r="E118" s="9"/>
      <c r="N118" s="57" t="s">
        <v>5020</v>
      </c>
    </row>
    <row r="119" customFormat="false" ht="17.25" hidden="false" customHeight="true" outlineLevel="0" collapsed="false">
      <c r="B119" s="9" t="s">
        <v>5021</v>
      </c>
      <c r="C119" s="9"/>
      <c r="D119" s="9"/>
      <c r="E119" s="9"/>
      <c r="N119" s="57" t="s">
        <v>5022</v>
      </c>
    </row>
    <row r="120" customFormat="false" ht="17.25" hidden="false" customHeight="true" outlineLevel="0" collapsed="false">
      <c r="B120" s="9" t="s">
        <v>5023</v>
      </c>
      <c r="C120" s="9"/>
      <c r="D120" s="9"/>
      <c r="E120" s="9"/>
      <c r="N120" s="57" t="s">
        <v>5024</v>
      </c>
    </row>
    <row r="122" customFormat="false" ht="15.75" hidden="false" customHeight="true" outlineLevel="0" collapsed="false">
      <c r="B122" s="7" t="s">
        <v>1522</v>
      </c>
      <c r="C122" s="8"/>
      <c r="D122" s="8"/>
      <c r="E122" s="8"/>
      <c r="F122" s="8"/>
      <c r="G122" s="8"/>
      <c r="H122" s="8"/>
      <c r="I122" s="8"/>
      <c r="J122" s="8"/>
      <c r="K122" s="8"/>
    </row>
    <row r="123" customFormat="false" ht="16.5" hidden="false" customHeight="true" outlineLevel="0" collapsed="false">
      <c r="B123" s="11" t="s">
        <v>1523</v>
      </c>
      <c r="C123" s="11" t="s">
        <v>1524</v>
      </c>
      <c r="D123" s="11" t="s">
        <v>1615</v>
      </c>
    </row>
    <row r="124" customFormat="false" ht="30.75" hidden="false" customHeight="true" outlineLevel="0" collapsed="false">
      <c r="B124" s="58" t="s">
        <v>4724</v>
      </c>
      <c r="C124" s="58" t="s">
        <v>1035</v>
      </c>
      <c r="D124" s="58" t="s">
        <v>1074</v>
      </c>
    </row>
  </sheetData>
  <mergeCells count="43">
    <mergeCell ref="B2:J2"/>
    <mergeCell ref="D3:F3"/>
    <mergeCell ref="C6:D6"/>
    <mergeCell ref="C7:D7"/>
    <mergeCell ref="C8:D8"/>
    <mergeCell ref="B11:F13"/>
    <mergeCell ref="B14:F16"/>
    <mergeCell ref="B17:F18"/>
    <mergeCell ref="B19:F19"/>
    <mergeCell ref="B20:F22"/>
    <mergeCell ref="B25:D25"/>
    <mergeCell ref="E25:F25"/>
    <mergeCell ref="B26:D26"/>
    <mergeCell ref="E26:F26"/>
    <mergeCell ref="B27:D27"/>
    <mergeCell ref="E27:F27"/>
    <mergeCell ref="B28:D28"/>
    <mergeCell ref="E28:F28"/>
    <mergeCell ref="B29:F29"/>
    <mergeCell ref="B38:F38"/>
    <mergeCell ref="B39:F39"/>
    <mergeCell ref="B40:F40"/>
    <mergeCell ref="B41:F41"/>
    <mergeCell ref="B42:F42"/>
    <mergeCell ref="B44:F44"/>
    <mergeCell ref="B45:F45"/>
    <mergeCell ref="B46:F46"/>
    <mergeCell ref="B48:F48"/>
    <mergeCell ref="B49:F49"/>
    <mergeCell ref="B50:F50"/>
    <mergeCell ref="B59:F59"/>
    <mergeCell ref="B62:F62"/>
    <mergeCell ref="B63:F63"/>
    <mergeCell ref="C101:F101"/>
    <mergeCell ref="B110:F110"/>
    <mergeCell ref="B111:F111"/>
    <mergeCell ref="B112:F112"/>
    <mergeCell ref="B113:F113"/>
    <mergeCell ref="B114:F114"/>
    <mergeCell ref="B117:E117"/>
    <mergeCell ref="B118:E118"/>
    <mergeCell ref="B119:E119"/>
    <mergeCell ref="B120:E120"/>
  </mergeCells>
  <hyperlinks>
    <hyperlink ref="B3" location="'N-03 Index DMAIC'!A1" display="← Back to Index"/>
    <hyperlink ref="E33" location="'E-20 Sample Size'!A1" display="E-20  Sample Size Determination"/>
    <hyperlink ref="E34" location="'E-33 When Assumptions Fail'!A1" display="E-33  When Assumptions Fail: Transformations and Alternatives"/>
    <hyperlink ref="B124" location="'E-38 Multiple Regression'!A1" display="E-38  Multiple Regression and Multicollinearity"/>
    <hyperlink ref="C124" location="'E-40 Multi-Vari Analysis'!A1" display="E-40  Multi-Vari Analysis"/>
    <hyperlink ref="D124" location="'E-29 Proportion Tests'!A1" display="E-29  One and Two Proportion Tes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28"/>
    <col collapsed="false" customWidth="true" hidden="false" outlineLevel="0" max="11" min="11" style="1" width="40"/>
    <col collapsed="false" customWidth="true" hidden="false" outlineLevel="0" max="14" min="14" style="1" width="95"/>
  </cols>
  <sheetData>
    <row r="1" customFormat="false" ht="15" hidden="false" customHeight="true" outlineLevel="0" collapsed="false">
      <c r="A1" s="2" t="s">
        <v>0</v>
      </c>
    </row>
    <row r="2" customFormat="false" ht="22.5" hidden="false" customHeight="true" outlineLevel="0" collapsed="false">
      <c r="B2" s="3" t="s">
        <v>5025</v>
      </c>
      <c r="C2" s="3"/>
      <c r="D2" s="3"/>
      <c r="E2" s="3"/>
      <c r="F2" s="3"/>
      <c r="G2" s="3"/>
      <c r="H2" s="3"/>
      <c r="I2" s="3"/>
      <c r="J2" s="3"/>
      <c r="K2" s="80" t="s">
        <v>2864</v>
      </c>
    </row>
    <row r="3" customFormat="false" ht="28.5" hidden="false" customHeight="true" outlineLevel="0" collapsed="false">
      <c r="B3" s="5" t="s">
        <v>3</v>
      </c>
      <c r="D3" s="6" t="s">
        <v>5026</v>
      </c>
      <c r="E3" s="6"/>
    </row>
    <row r="5" customFormat="false" ht="15.75" hidden="false" customHeight="true" outlineLevel="0" collapsed="false">
      <c r="B5" s="7" t="s">
        <v>1391</v>
      </c>
      <c r="C5" s="8"/>
      <c r="D5" s="8"/>
      <c r="E5" s="8"/>
      <c r="F5" s="8"/>
      <c r="G5" s="8"/>
      <c r="H5" s="8"/>
      <c r="I5" s="8"/>
      <c r="J5" s="8"/>
      <c r="K5" s="8"/>
    </row>
    <row r="6" customFormat="false" ht="31.5" hidden="false" customHeight="true" outlineLevel="0" collapsed="false">
      <c r="B6" s="47" t="s">
        <v>1392</v>
      </c>
      <c r="C6" s="9" t="s">
        <v>5027</v>
      </c>
      <c r="D6" s="9"/>
    </row>
    <row r="7" customFormat="false" ht="31.5" hidden="false" customHeight="true" outlineLevel="0" collapsed="false">
      <c r="B7" s="47" t="s">
        <v>1394</v>
      </c>
      <c r="C7" s="9" t="s">
        <v>5028</v>
      </c>
      <c r="D7" s="9"/>
    </row>
    <row r="8" customFormat="false" ht="31.5" hidden="false" customHeight="true" outlineLevel="0" collapsed="false">
      <c r="B8" s="47" t="s">
        <v>1396</v>
      </c>
      <c r="C8" s="9" t="s">
        <v>5029</v>
      </c>
      <c r="D8" s="9"/>
    </row>
    <row r="10" customFormat="false" ht="15.75" hidden="false" customHeight="true" outlineLevel="0" collapsed="false">
      <c r="B10" s="7" t="s">
        <v>1398</v>
      </c>
      <c r="C10" s="8"/>
      <c r="D10" s="8"/>
      <c r="E10" s="8"/>
      <c r="F10" s="8"/>
      <c r="G10" s="8"/>
      <c r="H10" s="8"/>
      <c r="I10" s="8"/>
      <c r="J10" s="8"/>
      <c r="K10" s="8"/>
    </row>
    <row r="11" customFormat="false" ht="15.75" hidden="false" customHeight="true" outlineLevel="0" collapsed="false">
      <c r="B11" s="9" t="s">
        <v>5030</v>
      </c>
      <c r="C11" s="9"/>
      <c r="D11" s="9"/>
      <c r="E11" s="9"/>
      <c r="F11" s="9"/>
    </row>
    <row r="12" customFormat="false" ht="15.75" hidden="false" customHeight="true" outlineLevel="0" collapsed="false">
      <c r="B12" s="9"/>
      <c r="C12" s="9"/>
      <c r="D12" s="9"/>
      <c r="E12" s="9"/>
      <c r="F12" s="9"/>
    </row>
    <row r="13" customFormat="false" ht="11.25" hidden="false" customHeight="true" outlineLevel="0" collapsed="false">
      <c r="B13" s="9" t="s">
        <v>5031</v>
      </c>
      <c r="C13" s="9"/>
      <c r="D13" s="9"/>
      <c r="E13" s="9"/>
      <c r="F13" s="9"/>
    </row>
    <row r="14" customFormat="false" ht="11.25" hidden="false" customHeight="true" outlineLevel="0" collapsed="false">
      <c r="B14" s="9"/>
      <c r="C14" s="9"/>
      <c r="D14" s="9"/>
      <c r="E14" s="9"/>
      <c r="F14" s="9"/>
    </row>
    <row r="15" customFormat="false" ht="11.25" hidden="false" customHeight="true" outlineLevel="0" collapsed="false">
      <c r="B15" s="9"/>
      <c r="C15" s="9"/>
      <c r="D15" s="9"/>
      <c r="E15" s="9"/>
      <c r="F15" s="9"/>
    </row>
    <row r="16" customFormat="false" ht="11.25" hidden="false" customHeight="true" outlineLevel="0" collapsed="false">
      <c r="B16" s="9"/>
      <c r="C16" s="9"/>
      <c r="D16" s="9"/>
      <c r="E16" s="9"/>
      <c r="F16" s="9"/>
    </row>
    <row r="17" customFormat="false" ht="15" hidden="false" customHeight="true" outlineLevel="0" collapsed="false">
      <c r="B17" s="9" t="s">
        <v>5032</v>
      </c>
      <c r="C17" s="9"/>
      <c r="D17" s="9"/>
      <c r="E17" s="9"/>
      <c r="F17" s="9"/>
    </row>
    <row r="18" customFormat="false" ht="15" hidden="false" customHeight="true" outlineLevel="0" collapsed="false">
      <c r="B18" s="9"/>
      <c r="C18" s="9"/>
      <c r="D18" s="9"/>
      <c r="E18" s="9"/>
      <c r="F18" s="9"/>
    </row>
    <row r="19" customFormat="false" ht="15" hidden="false" customHeight="true" outlineLevel="0" collapsed="false">
      <c r="B19" s="9"/>
      <c r="C19" s="9"/>
      <c r="D19" s="9"/>
      <c r="E19" s="9"/>
      <c r="F19" s="9"/>
    </row>
    <row r="20" customFormat="false" ht="17.25" hidden="false" customHeight="true" outlineLevel="0" collapsed="false">
      <c r="B20" s="9" t="s">
        <v>5033</v>
      </c>
      <c r="C20" s="9"/>
      <c r="D20" s="9"/>
      <c r="E20" s="9"/>
      <c r="F20" s="9"/>
    </row>
    <row r="21" customFormat="false" ht="15.75" hidden="false" customHeight="true" outlineLevel="0" collapsed="false">
      <c r="B21" s="9" t="s">
        <v>5034</v>
      </c>
      <c r="C21" s="9"/>
      <c r="D21" s="9"/>
      <c r="E21" s="9"/>
      <c r="F21" s="9"/>
    </row>
    <row r="22" customFormat="false" ht="15.75" hidden="false" customHeight="true" outlineLevel="0" collapsed="false">
      <c r="B22" s="9"/>
      <c r="C22" s="9"/>
      <c r="D22" s="9"/>
      <c r="E22" s="9"/>
      <c r="F22" s="9"/>
    </row>
    <row r="23" customFormat="false" ht="15.75" hidden="false" customHeight="true" outlineLevel="0" collapsed="false">
      <c r="B23" s="9" t="s">
        <v>5035</v>
      </c>
      <c r="C23" s="9"/>
      <c r="D23" s="9"/>
      <c r="E23" s="9"/>
      <c r="F23" s="9"/>
    </row>
    <row r="24" customFormat="false" ht="15.75" hidden="false" customHeight="true" outlineLevel="0" collapsed="false">
      <c r="B24" s="9"/>
      <c r="C24" s="9"/>
      <c r="D24" s="9"/>
      <c r="E24" s="9"/>
      <c r="F24" s="9"/>
    </row>
    <row r="26" customFormat="false" ht="15.75" hidden="false" customHeight="true" outlineLevel="0" collapsed="false">
      <c r="B26" s="7" t="s">
        <v>1406</v>
      </c>
      <c r="C26" s="8"/>
      <c r="D26" s="8"/>
      <c r="E26" s="8"/>
      <c r="F26" s="8"/>
      <c r="G26" s="8"/>
      <c r="H26" s="8"/>
      <c r="I26" s="8"/>
      <c r="J26" s="8"/>
      <c r="K26" s="8"/>
    </row>
    <row r="27" customFormat="false" ht="17.25" hidden="false" customHeight="true" outlineLevel="0" collapsed="false">
      <c r="B27" s="48" t="s">
        <v>1407</v>
      </c>
      <c r="C27" s="48"/>
      <c r="D27" s="48"/>
      <c r="E27" s="49" t="s">
        <v>1408</v>
      </c>
      <c r="F27" s="49"/>
    </row>
    <row r="28" customFormat="false" ht="31.5" hidden="false" customHeight="true" outlineLevel="0" collapsed="false">
      <c r="B28" s="23" t="s">
        <v>5036</v>
      </c>
      <c r="C28" s="23"/>
      <c r="D28" s="23"/>
      <c r="E28" s="23" t="s">
        <v>5037</v>
      </c>
      <c r="F28" s="23"/>
    </row>
    <row r="29" customFormat="false" ht="31.5" hidden="false" customHeight="true" outlineLevel="0" collapsed="false">
      <c r="B29" s="23" t="s">
        <v>5038</v>
      </c>
      <c r="C29" s="23"/>
      <c r="D29" s="23"/>
      <c r="E29" s="23" t="s">
        <v>5039</v>
      </c>
      <c r="F29" s="23"/>
    </row>
    <row r="30" customFormat="false" ht="31.5" hidden="false" customHeight="true" outlineLevel="0" collapsed="false">
      <c r="B30" s="23" t="s">
        <v>5040</v>
      </c>
      <c r="C30" s="23"/>
      <c r="D30" s="23"/>
      <c r="E30" s="23" t="s">
        <v>5041</v>
      </c>
      <c r="F30" s="23"/>
    </row>
    <row r="31" customFormat="false" ht="17.25" hidden="false" customHeight="true" outlineLevel="0" collapsed="false">
      <c r="B31" s="23" t="s">
        <v>5042</v>
      </c>
      <c r="C31" s="23"/>
      <c r="D31" s="23"/>
      <c r="E31" s="23"/>
      <c r="F31" s="23"/>
    </row>
    <row r="33" customFormat="false" ht="16.5" hidden="false" customHeight="true" outlineLevel="0" collapsed="false">
      <c r="B33" s="11" t="s">
        <v>1416</v>
      </c>
      <c r="C33" s="11" t="s">
        <v>1417</v>
      </c>
      <c r="D33" s="11" t="s">
        <v>1418</v>
      </c>
      <c r="E33" s="11" t="s">
        <v>1419</v>
      </c>
    </row>
    <row r="34" customFormat="false" ht="44.25" hidden="false" customHeight="true" outlineLevel="0" collapsed="false">
      <c r="B34" s="12" t="s">
        <v>5043</v>
      </c>
      <c r="C34" s="12" t="s">
        <v>5044</v>
      </c>
      <c r="D34" s="12" t="s">
        <v>5045</v>
      </c>
      <c r="E34" s="50" t="s">
        <v>1546</v>
      </c>
    </row>
    <row r="35" customFormat="false" ht="44.25" hidden="false" customHeight="true" outlineLevel="0" collapsed="false">
      <c r="B35" s="12" t="s">
        <v>1639</v>
      </c>
      <c r="C35" s="12" t="s">
        <v>5046</v>
      </c>
      <c r="D35" s="12" t="s">
        <v>5047</v>
      </c>
      <c r="E35" s="50" t="s">
        <v>1027</v>
      </c>
    </row>
    <row r="36" customFormat="false" ht="44.25" hidden="false" customHeight="true" outlineLevel="0" collapsed="false">
      <c r="B36" s="12" t="s">
        <v>5048</v>
      </c>
      <c r="C36" s="12" t="s">
        <v>5049</v>
      </c>
      <c r="D36" s="12" t="s">
        <v>5050</v>
      </c>
      <c r="E36" s="50" t="s">
        <v>1645</v>
      </c>
    </row>
    <row r="38" customFormat="false" ht="15.75" hidden="false" customHeight="true" outlineLevel="0" collapsed="false">
      <c r="B38" s="7" t="s">
        <v>1429</v>
      </c>
      <c r="C38" s="8"/>
      <c r="D38" s="8"/>
      <c r="E38" s="8"/>
      <c r="F38" s="8"/>
      <c r="G38" s="8"/>
      <c r="H38" s="8"/>
      <c r="I38" s="8"/>
      <c r="J38" s="8"/>
      <c r="K38" s="8"/>
    </row>
    <row r="39" customFormat="false" ht="17.25" hidden="false" customHeight="true" outlineLevel="0" collapsed="false">
      <c r="B39" s="51" t="s">
        <v>5051</v>
      </c>
      <c r="C39" s="51"/>
      <c r="D39" s="51"/>
      <c r="E39" s="51"/>
      <c r="F39" s="51"/>
    </row>
    <row r="40" customFormat="false" ht="15" hidden="false" customHeight="true" outlineLevel="0" collapsed="false">
      <c r="B40" s="47" t="s">
        <v>5052</v>
      </c>
    </row>
    <row r="41" customFormat="false" ht="17.25" hidden="false" customHeight="true" outlineLevel="0" collapsed="false">
      <c r="B41" s="52" t="s">
        <v>5053</v>
      </c>
      <c r="C41" s="52"/>
      <c r="D41" s="52"/>
      <c r="E41" s="52"/>
      <c r="F41" s="52"/>
    </row>
    <row r="42" customFormat="false" ht="15" hidden="false" customHeight="true" outlineLevel="0" collapsed="false">
      <c r="B42" s="47" t="s">
        <v>5054</v>
      </c>
    </row>
    <row r="43" customFormat="false" ht="17.25" hidden="false" customHeight="true" outlineLevel="0" collapsed="false">
      <c r="B43" s="52" t="s">
        <v>5055</v>
      </c>
      <c r="C43" s="52"/>
      <c r="D43" s="52"/>
      <c r="E43" s="52"/>
      <c r="F43" s="52"/>
    </row>
    <row r="44" customFormat="false" ht="15" hidden="false" customHeight="true" outlineLevel="0" collapsed="false">
      <c r="B44" s="47" t="s">
        <v>5056</v>
      </c>
    </row>
    <row r="45" customFormat="false" ht="15" hidden="false" customHeight="true" outlineLevel="0" collapsed="false">
      <c r="B45" s="59" t="s">
        <v>5057</v>
      </c>
    </row>
    <row r="46" customFormat="false" ht="15" hidden="false" customHeight="true" outlineLevel="0" collapsed="false">
      <c r="B46" s="47" t="s">
        <v>5058</v>
      </c>
    </row>
    <row r="47" customFormat="false" ht="17.25" hidden="false" customHeight="true" outlineLevel="0" collapsed="false">
      <c r="B47" s="52" t="s">
        <v>5059</v>
      </c>
      <c r="C47" s="52"/>
      <c r="D47" s="52"/>
      <c r="E47" s="52"/>
      <c r="F47" s="52"/>
    </row>
    <row r="48" customFormat="false" ht="17.25" hidden="false" customHeight="true" outlineLevel="0" collapsed="false">
      <c r="B48" s="51" t="s">
        <v>5060</v>
      </c>
      <c r="C48" s="51"/>
      <c r="D48" s="51"/>
      <c r="E48" s="51"/>
      <c r="F48" s="51"/>
    </row>
    <row r="49" customFormat="false" ht="17.25" hidden="false" customHeight="true" outlineLevel="0" collapsed="false">
      <c r="B49" s="52" t="s">
        <v>5061</v>
      </c>
      <c r="C49" s="52"/>
      <c r="D49" s="52"/>
      <c r="E49" s="52"/>
      <c r="F49" s="52"/>
    </row>
    <row r="51" customFormat="false" ht="15.75" hidden="false" customHeight="true" outlineLevel="0" collapsed="false">
      <c r="B51" s="7" t="s">
        <v>1437</v>
      </c>
      <c r="C51" s="8"/>
      <c r="D51" s="8"/>
      <c r="E51" s="8"/>
      <c r="F51" s="8"/>
      <c r="G51" s="8"/>
      <c r="H51" s="8"/>
      <c r="I51" s="8"/>
      <c r="J51" s="8"/>
      <c r="K51" s="8"/>
    </row>
    <row r="52" customFormat="false" ht="16.5" hidden="false" customHeight="true" outlineLevel="0" collapsed="false">
      <c r="B52" s="11" t="s">
        <v>1438</v>
      </c>
      <c r="C52" s="11" t="s">
        <v>1439</v>
      </c>
      <c r="D52" s="11" t="s">
        <v>1440</v>
      </c>
    </row>
    <row r="53" customFormat="false" ht="16.5" hidden="false" customHeight="true" outlineLevel="0" collapsed="false">
      <c r="B53" s="12" t="s">
        <v>2814</v>
      </c>
      <c r="C53" s="12" t="s">
        <v>5062</v>
      </c>
      <c r="D53" s="12" t="s">
        <v>5063</v>
      </c>
    </row>
    <row r="54" customFormat="false" ht="16.5" hidden="false" customHeight="true" outlineLevel="0" collapsed="false">
      <c r="B54" s="12" t="s">
        <v>1562</v>
      </c>
      <c r="C54" s="12" t="s">
        <v>1563</v>
      </c>
      <c r="D54" s="12" t="s">
        <v>5064</v>
      </c>
    </row>
    <row r="55" customFormat="false" ht="30.75" hidden="false" customHeight="true" outlineLevel="0" collapsed="false">
      <c r="B55" s="12" t="s">
        <v>5065</v>
      </c>
      <c r="C55" s="12" t="s">
        <v>5066</v>
      </c>
      <c r="D55" s="12" t="s">
        <v>5067</v>
      </c>
    </row>
    <row r="56" customFormat="false" ht="44.25" hidden="false" customHeight="true" outlineLevel="0" collapsed="false">
      <c r="B56" s="12" t="s">
        <v>2591</v>
      </c>
      <c r="C56" s="12" t="s">
        <v>5068</v>
      </c>
      <c r="D56" s="12" t="s">
        <v>5069</v>
      </c>
    </row>
    <row r="57" customFormat="false" ht="30.75" hidden="false" customHeight="true" outlineLevel="0" collapsed="false">
      <c r="B57" s="12" t="s">
        <v>1839</v>
      </c>
      <c r="C57" s="12" t="s">
        <v>5070</v>
      </c>
      <c r="D57" s="12" t="s">
        <v>5071</v>
      </c>
    </row>
    <row r="58" customFormat="false" ht="28.5" hidden="false" customHeight="true" outlineLevel="0" collapsed="false">
      <c r="B58" s="16" t="s">
        <v>1453</v>
      </c>
      <c r="C58" s="16"/>
      <c r="D58" s="16"/>
      <c r="E58" s="16"/>
      <c r="F58" s="16"/>
    </row>
    <row r="60" customFormat="false" ht="15.75" hidden="false" customHeight="true" outlineLevel="0" collapsed="false">
      <c r="B60" s="7" t="s">
        <v>1454</v>
      </c>
      <c r="C60" s="8"/>
      <c r="D60" s="8"/>
      <c r="E60" s="8"/>
      <c r="F60" s="8"/>
      <c r="G60" s="8"/>
      <c r="H60" s="8"/>
      <c r="I60" s="8"/>
      <c r="J60" s="8"/>
      <c r="K60" s="8"/>
    </row>
    <row r="61" customFormat="false" ht="15.75" hidden="false" customHeight="true" outlineLevel="0" collapsed="false">
      <c r="B61" s="9" t="s">
        <v>5072</v>
      </c>
      <c r="C61" s="9"/>
      <c r="D61" s="9"/>
      <c r="E61" s="9"/>
      <c r="F61" s="9"/>
    </row>
    <row r="62" customFormat="false" ht="15.75" hidden="false" customHeight="true" outlineLevel="0" collapsed="false">
      <c r="B62" s="9"/>
      <c r="C62" s="9"/>
      <c r="D62" s="9"/>
      <c r="E62" s="9"/>
      <c r="F62" s="9"/>
    </row>
    <row r="63" customFormat="false" ht="15" hidden="false" customHeight="true" outlineLevel="0" collapsed="false">
      <c r="B63" s="19" t="s">
        <v>85</v>
      </c>
      <c r="C63" s="41" t="s">
        <v>86</v>
      </c>
    </row>
    <row r="65" customFormat="false" ht="16.5" hidden="false" customHeight="true" outlineLevel="0" collapsed="false">
      <c r="C65" s="11" t="s">
        <v>5073</v>
      </c>
      <c r="D65" s="11" t="s">
        <v>5074</v>
      </c>
      <c r="E65" s="11" t="s">
        <v>5075</v>
      </c>
      <c r="F65" s="11" t="s">
        <v>5076</v>
      </c>
      <c r="G65" s="11" t="s">
        <v>5077</v>
      </c>
      <c r="H65" s="11" t="s">
        <v>5078</v>
      </c>
      <c r="I65" s="11" t="s">
        <v>5079</v>
      </c>
      <c r="J65" s="11" t="s">
        <v>5080</v>
      </c>
      <c r="K65" s="11" t="s">
        <v>5081</v>
      </c>
    </row>
    <row r="66" customFormat="false" ht="15" hidden="false" customHeight="true" outlineLevel="0" collapsed="false">
      <c r="C66" s="61" t="n">
        <v>500.08</v>
      </c>
      <c r="D66" s="61" t="n">
        <v>500.34</v>
      </c>
      <c r="E66" s="61" t="n">
        <v>501.13</v>
      </c>
      <c r="F66" s="61" t="n">
        <v>500.24</v>
      </c>
      <c r="G66" s="61" t="n">
        <v>500.36</v>
      </c>
      <c r="H66" s="61" t="n">
        <v>501.53</v>
      </c>
      <c r="I66" s="61" t="n">
        <v>500.15</v>
      </c>
      <c r="J66" s="61" t="n">
        <v>500.59</v>
      </c>
      <c r="K66" s="61" t="n">
        <v>501.64</v>
      </c>
    </row>
    <row r="67" customFormat="false" ht="15" hidden="false" customHeight="true" outlineLevel="0" collapsed="false">
      <c r="C67" s="61" t="n">
        <v>500.09</v>
      </c>
      <c r="D67" s="61" t="n">
        <v>500.04</v>
      </c>
      <c r="E67" s="61" t="n">
        <v>501.39</v>
      </c>
      <c r="F67" s="61" t="n">
        <v>499.98</v>
      </c>
      <c r="G67" s="61" t="n">
        <v>500.19</v>
      </c>
      <c r="H67" s="61" t="n">
        <v>501.54</v>
      </c>
      <c r="I67" s="61" t="n">
        <v>500.3</v>
      </c>
      <c r="J67" s="61" t="n">
        <v>500.59</v>
      </c>
      <c r="K67" s="61" t="n">
        <v>501.43</v>
      </c>
    </row>
    <row r="68" customFormat="false" ht="15" hidden="false" customHeight="true" outlineLevel="0" collapsed="false">
      <c r="C68" s="61" t="n">
        <v>499.83</v>
      </c>
      <c r="D68" s="61" t="n">
        <v>500.22</v>
      </c>
      <c r="E68" s="61" t="n">
        <v>501.38</v>
      </c>
      <c r="F68" s="61" t="n">
        <v>500.23</v>
      </c>
      <c r="G68" s="61" t="n">
        <v>500.49</v>
      </c>
      <c r="H68" s="61" t="n">
        <v>501.28</v>
      </c>
      <c r="I68" s="61" t="n">
        <v>500.45</v>
      </c>
      <c r="J68" s="61" t="n">
        <v>500.33</v>
      </c>
      <c r="K68" s="61" t="n">
        <v>501.73</v>
      </c>
    </row>
    <row r="69" customFormat="false" ht="15.75" hidden="false" customHeight="true" outlineLevel="0" collapsed="false">
      <c r="B69" s="16" t="s">
        <v>5082</v>
      </c>
      <c r="C69" s="16"/>
      <c r="D69" s="16"/>
      <c r="E69" s="16"/>
      <c r="F69" s="16"/>
    </row>
    <row r="71" customFormat="false" ht="15.75" hidden="false" customHeight="true" outlineLevel="0" collapsed="false">
      <c r="B71" s="7" t="s">
        <v>5083</v>
      </c>
      <c r="C71" s="8"/>
      <c r="D71" s="8"/>
      <c r="E71" s="8"/>
      <c r="F71" s="8"/>
      <c r="G71" s="8"/>
      <c r="H71" s="8"/>
      <c r="I71" s="8"/>
      <c r="J71" s="8"/>
      <c r="K71" s="8"/>
    </row>
    <row r="72" customFormat="false" ht="15" hidden="false" customHeight="true" outlineLevel="0" collapsed="false">
      <c r="C72" s="89" t="s">
        <v>5073</v>
      </c>
      <c r="D72" s="89" t="s">
        <v>5074</v>
      </c>
      <c r="E72" s="89" t="s">
        <v>5075</v>
      </c>
      <c r="F72" s="89" t="s">
        <v>5076</v>
      </c>
      <c r="G72" s="89" t="s">
        <v>5077</v>
      </c>
      <c r="H72" s="89" t="s">
        <v>5078</v>
      </c>
      <c r="I72" s="89" t="s">
        <v>5079</v>
      </c>
      <c r="J72" s="89" t="s">
        <v>5080</v>
      </c>
      <c r="K72" s="89" t="s">
        <v>5081</v>
      </c>
    </row>
    <row r="73" customFormat="false" ht="15" hidden="false" customHeight="true" outlineLevel="0" collapsed="false">
      <c r="B73" s="10" t="s">
        <v>5084</v>
      </c>
      <c r="C73" s="63" t="n">
        <f aca="false">AVERAGE($C$66:$C$68)</f>
        <v>500</v>
      </c>
      <c r="D73" s="63" t="n">
        <f aca="false">AVERAGE($D$66:$D$68)</f>
        <v>500.2</v>
      </c>
      <c r="E73" s="63" t="n">
        <f aca="false">AVERAGE($E$66:$E$68)</f>
        <v>501.3</v>
      </c>
      <c r="F73" s="63" t="n">
        <f aca="false">AVERAGE($F$66:$F$68)</f>
        <v>500.15</v>
      </c>
      <c r="G73" s="63" t="n">
        <f aca="false">AVERAGE($G$66:$G$68)</f>
        <v>500.346666666667</v>
      </c>
      <c r="H73" s="63" t="n">
        <f aca="false">AVERAGE($H$66:$H$68)</f>
        <v>501.45</v>
      </c>
      <c r="I73" s="63" t="n">
        <f aca="false">AVERAGE($I$66:$I$68)</f>
        <v>500.3</v>
      </c>
      <c r="J73" s="63" t="n">
        <f aca="false">AVERAGE($J$66:$J$68)</f>
        <v>500.503333333333</v>
      </c>
      <c r="K73" s="63" t="n">
        <f aca="false">AVERAGE($K$66:$K$68)</f>
        <v>501.6</v>
      </c>
    </row>
    <row r="74" customFormat="false" ht="15" hidden="false" customHeight="true" outlineLevel="0" collapsed="false">
      <c r="B74" s="10" t="s">
        <v>5085</v>
      </c>
      <c r="C74" s="63" t="n">
        <f aca="false">MAX($C$66:$C$68)-MIN($C$66:$C$68)</f>
        <v>0.259999999999991</v>
      </c>
      <c r="D74" s="63" t="n">
        <f aca="false">MAX($D$66:$D$68)-MIN($D$66:$D$68)</f>
        <v>0.299999999999955</v>
      </c>
      <c r="E74" s="63" t="n">
        <f aca="false">MAX($E$66:$E$68)-MIN($E$66:$E$68)</f>
        <v>0.259999999999991</v>
      </c>
      <c r="F74" s="63" t="n">
        <f aca="false">MAX($F$66:$F$68)-MIN($F$66:$F$68)</f>
        <v>0.259999999999991</v>
      </c>
      <c r="G74" s="63" t="n">
        <f aca="false">MAX($G$66:$G$68)-MIN($G$66:$G$68)</f>
        <v>0.300000000000011</v>
      </c>
      <c r="H74" s="63" t="n">
        <f aca="false">MAX($H$66:$H$68)-MIN($H$66:$H$68)</f>
        <v>0.260000000000048</v>
      </c>
      <c r="I74" s="63" t="n">
        <f aca="false">MAX($I$66:$I$68)-MIN($I$66:$I$68)</f>
        <v>0.300000000000011</v>
      </c>
      <c r="J74" s="63" t="n">
        <f aca="false">MAX($J$66:$J$68)-MIN($J$66:$J$68)</f>
        <v>0.259999999999991</v>
      </c>
      <c r="K74" s="63" t="n">
        <f aca="false">MAX($K$66:$K$68)-MIN($K$66:$K$68)</f>
        <v>0.300000000000011</v>
      </c>
    </row>
    <row r="76" customFormat="false" ht="18" hidden="false" customHeight="true" outlineLevel="0" collapsed="false">
      <c r="B76" s="7" t="s">
        <v>5086</v>
      </c>
      <c r="C76" s="8"/>
      <c r="D76" s="8"/>
      <c r="E76" s="8"/>
      <c r="F76" s="8"/>
      <c r="G76" s="8"/>
      <c r="H76" s="8"/>
      <c r="I76" s="8"/>
      <c r="J76" s="8"/>
      <c r="K76" s="8"/>
    </row>
    <row r="77" customFormat="false" ht="27.75" hidden="false" customHeight="true" outlineLevel="0" collapsed="false">
      <c r="B77" s="11" t="s">
        <v>5087</v>
      </c>
      <c r="C77" s="11" t="s">
        <v>5088</v>
      </c>
      <c r="D77" s="11" t="s">
        <v>5089</v>
      </c>
      <c r="E77" s="11" t="s">
        <v>5090</v>
      </c>
    </row>
    <row r="78" customFormat="false" ht="15" hidden="false" customHeight="true" outlineLevel="0" collapsed="false">
      <c r="B78" s="78" t="s">
        <v>3818</v>
      </c>
      <c r="C78" s="63" t="n">
        <f aca="false">C73</f>
        <v>500</v>
      </c>
      <c r="D78" s="63" t="n">
        <f aca="false">F73</f>
        <v>500.15</v>
      </c>
      <c r="E78" s="63" t="n">
        <f aca="false">I73</f>
        <v>500.3</v>
      </c>
    </row>
    <row r="79" customFormat="false" ht="15" hidden="false" customHeight="true" outlineLevel="0" collapsed="false">
      <c r="B79" s="78" t="s">
        <v>3819</v>
      </c>
      <c r="C79" s="63" t="n">
        <f aca="false">D73</f>
        <v>500.2</v>
      </c>
      <c r="D79" s="63" t="n">
        <f aca="false">G73</f>
        <v>500.346666666667</v>
      </c>
      <c r="E79" s="63" t="n">
        <f aca="false">J73</f>
        <v>500.503333333333</v>
      </c>
    </row>
    <row r="80" customFormat="false" ht="15" hidden="false" customHeight="true" outlineLevel="0" collapsed="false">
      <c r="B80" s="78" t="s">
        <v>3820</v>
      </c>
      <c r="C80" s="63" t="n">
        <f aca="false">E73</f>
        <v>501.3</v>
      </c>
      <c r="D80" s="63" t="n">
        <f aca="false">H73</f>
        <v>501.45</v>
      </c>
      <c r="E80" s="63" t="n">
        <f aca="false">K73</f>
        <v>501.6</v>
      </c>
    </row>
    <row r="82" customFormat="false" ht="18" hidden="false" customHeight="true" outlineLevel="0" collapsed="false">
      <c r="B82" s="7" t="s">
        <v>5091</v>
      </c>
      <c r="C82" s="8"/>
      <c r="D82" s="8"/>
      <c r="E82" s="8"/>
      <c r="F82" s="8"/>
      <c r="G82" s="8"/>
      <c r="H82" s="8"/>
      <c r="I82" s="8"/>
      <c r="J82" s="8"/>
      <c r="K82" s="8"/>
    </row>
    <row r="83" customFormat="false" ht="15" hidden="false" customHeight="true" outlineLevel="0" collapsed="false">
      <c r="B83" s="10" t="s">
        <v>5092</v>
      </c>
      <c r="C83" s="66" t="n">
        <f aca="false">AVERAGE($C$74:$K$74)</f>
        <v>0.277777777777778</v>
      </c>
    </row>
    <row r="84" customFormat="false" ht="15" hidden="false" customHeight="true" outlineLevel="0" collapsed="false">
      <c r="B84" s="10" t="s">
        <v>5093</v>
      </c>
      <c r="C84" s="66" t="n">
        <f aca="false">(MAX($C$73:$E$73)-MIN($C$73:$E$73)+MAX($F$73:$H$73)-MIN($F$73:$H$73)+MAX($I$73:$K$73)-MIN($I$73:$K$73))/3</f>
        <v>1.29999999999997</v>
      </c>
    </row>
    <row r="85" customFormat="false" ht="15" hidden="false" customHeight="true" outlineLevel="0" collapsed="false">
      <c r="B85" s="10" t="s">
        <v>5094</v>
      </c>
      <c r="C85" s="66" t="n">
        <f aca="false">MAX(AVERAGE($C$73:$E$73),AVERAGE($F$73:$H$73),AVERAGE($I$73:$K$73))-MIN(AVERAGE($C$73:$E$73),AVERAGE($F$73:$H$73),AVERAGE($I$73:$K$73))</f>
        <v>0.301111111111084</v>
      </c>
    </row>
    <row r="86" customFormat="false" ht="15" hidden="false" customHeight="true" outlineLevel="0" collapsed="false">
      <c r="B86" s="10" t="s">
        <v>5095</v>
      </c>
      <c r="C86" s="66" t="n">
        <f aca="false">C83+C84+C85</f>
        <v>1.87888888888883</v>
      </c>
    </row>
    <row r="88" customFormat="false" ht="27.75" hidden="false" customHeight="true" outlineLevel="0" collapsed="false">
      <c r="B88" s="11" t="s">
        <v>5096</v>
      </c>
      <c r="C88" s="11" t="s">
        <v>1689</v>
      </c>
      <c r="D88" s="11" t="s">
        <v>5097</v>
      </c>
      <c r="E88" s="11" t="s">
        <v>5098</v>
      </c>
      <c r="F88" s="11"/>
    </row>
    <row r="89" customFormat="false" ht="42" hidden="false" customHeight="true" outlineLevel="0" collapsed="false">
      <c r="B89" s="78" t="s">
        <v>5099</v>
      </c>
      <c r="C89" s="66" t="n">
        <f aca="false">C83</f>
        <v>0.277777777777778</v>
      </c>
      <c r="D89" s="76" t="n">
        <f aca="false">IFERROR(C83/C86,0)</f>
        <v>0.147841513897107</v>
      </c>
      <c r="E89" s="12" t="s">
        <v>5100</v>
      </c>
      <c r="F89" s="12"/>
    </row>
    <row r="90" customFormat="false" ht="31.5" hidden="false" customHeight="true" outlineLevel="0" collapsed="false">
      <c r="B90" s="78" t="s">
        <v>5101</v>
      </c>
      <c r="C90" s="66" t="n">
        <f aca="false">C84</f>
        <v>1.29999999999997</v>
      </c>
      <c r="D90" s="76" t="n">
        <f aca="false">IFERROR(C84/C86,0)</f>
        <v>0.691898285038445</v>
      </c>
      <c r="E90" s="12" t="s">
        <v>5102</v>
      </c>
      <c r="F90" s="12"/>
    </row>
    <row r="91" customFormat="false" ht="31.5" hidden="false" customHeight="true" outlineLevel="0" collapsed="false">
      <c r="B91" s="78" t="s">
        <v>5103</v>
      </c>
      <c r="C91" s="66" t="n">
        <f aca="false">C85</f>
        <v>0.301111111111084</v>
      </c>
      <c r="D91" s="76" t="n">
        <f aca="false">IFERROR(C85/C86,0)</f>
        <v>0.160260201064449</v>
      </c>
      <c r="E91" s="12" t="s">
        <v>5104</v>
      </c>
      <c r="F91" s="12"/>
    </row>
    <row r="93" customFormat="false" ht="15" hidden="false" customHeight="true" outlineLevel="0" collapsed="false">
      <c r="B93" s="10" t="s">
        <v>5105</v>
      </c>
      <c r="C93" s="41" t="str">
        <f aca="false">INDEX($B$89:$B$91,MATCH(MAX($D$89:$D$91),$D$89:$D$91,0))</f>
        <v>Between valves (positional)</v>
      </c>
    </row>
    <row r="94" customFormat="false" ht="15" hidden="false" customHeight="true" outlineLevel="0" collapsed="false">
      <c r="B94" s="10" t="s">
        <v>5106</v>
      </c>
      <c r="C94" s="76" t="n">
        <f aca="false">MAX($D$89:$D$91)</f>
        <v>0.691898285038445</v>
      </c>
    </row>
    <row r="95" customFormat="false" ht="15" hidden="false" customHeight="true" outlineLevel="0" collapsed="false">
      <c r="B95" s="10" t="s">
        <v>5107</v>
      </c>
      <c r="C95" s="66" t="n">
        <f aca="false">C83/1.693</f>
        <v>0.164074292839798</v>
      </c>
    </row>
    <row r="96" customFormat="false" ht="15" hidden="false" customHeight="true" outlineLevel="0" collapsed="false">
      <c r="B96" s="10" t="s">
        <v>5108</v>
      </c>
      <c r="C96" s="66" t="n">
        <f aca="false">STDEV($C$66:$K$68)</f>
        <v>0.608592322811103</v>
      </c>
    </row>
    <row r="97" customFormat="false" ht="15" hidden="false" customHeight="true" outlineLevel="0" collapsed="false">
      <c r="B97" s="10" t="s">
        <v>5109</v>
      </c>
      <c r="C97" s="76" t="n">
        <f aca="false">IFERROR(C95/C96,0)</f>
        <v>0.269596389389098</v>
      </c>
    </row>
    <row r="99" customFormat="false" ht="15.75" hidden="false" customHeight="true" outlineLevel="0" collapsed="false">
      <c r="B99" s="7" t="s">
        <v>1493</v>
      </c>
      <c r="C99" s="8"/>
      <c r="D99" s="8"/>
      <c r="E99" s="8"/>
      <c r="F99" s="8"/>
      <c r="G99" s="8"/>
      <c r="H99" s="8"/>
      <c r="I99" s="8"/>
      <c r="J99" s="8"/>
      <c r="K99" s="8"/>
    </row>
    <row r="100" customFormat="false" ht="49.5" hidden="false" customHeight="true" outlineLevel="0" collapsed="false">
      <c r="B100" s="53" t="s">
        <v>1494</v>
      </c>
      <c r="C100" s="54" t="str">
        <f aca="false">"DOMINANT FAMILY: "&amp;C93&amp;" at "&amp;TEXT(C94,"0.0%")&amp;" of the total range.  "&amp;IF(C93="Between valves (positional)","Investigate valve-to-valve setup, seal wear and calibration before anything else - positional differences are usually the cheapest variation to remove. Confirm with a one-way ANOVA on E-26.",IF(C93="Time to time (temporal)","Something is drifting through the shift. Chart the data in time order on E-49 and look for temperature, product level or tool wear. A DOE will be wasted until the drift is controlled.","The short-term mechanism itself is the problem. FIRST rule out the measurement system on E-59 - gauge noise appears here - then examine valve seating and flow control."))</f>
        <v>DOMINANT FAMILY: Between valves (positional) at 69.2% of the total range.  Investigate valve-to-valve setup, seal wear and calibration before anything else - positional differences are usually the cheapest variation to remove. Confirm with a one-way ANOVA on E-26.</v>
      </c>
      <c r="D100" s="54"/>
      <c r="E100" s="54"/>
      <c r="F100" s="54"/>
    </row>
    <row r="102" customFormat="false" ht="16.5" hidden="false" customHeight="true" outlineLevel="0" collapsed="false">
      <c r="B102" s="11" t="s">
        <v>1495</v>
      </c>
      <c r="C102" s="11" t="s">
        <v>1496</v>
      </c>
      <c r="D102" s="11" t="s">
        <v>1497</v>
      </c>
    </row>
    <row r="103" customFormat="false" ht="30.75" hidden="false" customHeight="true" outlineLevel="0" collapsed="false">
      <c r="B103" s="12" t="s">
        <v>5110</v>
      </c>
      <c r="C103" s="12" t="s">
        <v>5111</v>
      </c>
      <c r="D103" s="12" t="s">
        <v>5112</v>
      </c>
    </row>
    <row r="104" customFormat="false" ht="30.75" hidden="false" customHeight="true" outlineLevel="0" collapsed="false">
      <c r="B104" s="12" t="s">
        <v>5113</v>
      </c>
      <c r="C104" s="12" t="s">
        <v>5114</v>
      </c>
      <c r="D104" s="12" t="s">
        <v>5115</v>
      </c>
    </row>
    <row r="105" customFormat="false" ht="30.75" hidden="false" customHeight="true" outlineLevel="0" collapsed="false">
      <c r="B105" s="12" t="s">
        <v>5116</v>
      </c>
      <c r="C105" s="12" t="s">
        <v>5117</v>
      </c>
      <c r="D105" s="12" t="s">
        <v>5118</v>
      </c>
    </row>
    <row r="106" customFormat="false" ht="30.75" hidden="false" customHeight="true" outlineLevel="0" collapsed="false">
      <c r="B106" s="12" t="s">
        <v>5119</v>
      </c>
      <c r="C106" s="12" t="s">
        <v>5120</v>
      </c>
      <c r="D106" s="12" t="s">
        <v>5121</v>
      </c>
    </row>
    <row r="107" customFormat="false" ht="30.75" hidden="false" customHeight="true" outlineLevel="0" collapsed="false">
      <c r="B107" s="12" t="s">
        <v>5122</v>
      </c>
      <c r="C107" s="12" t="s">
        <v>5123</v>
      </c>
      <c r="D107" s="12" t="s">
        <v>5124</v>
      </c>
    </row>
    <row r="109" customFormat="false" ht="15" hidden="false" customHeight="true" outlineLevel="0" collapsed="false">
      <c r="B109" s="55" t="s">
        <v>1507</v>
      </c>
    </row>
    <row r="110" customFormat="false" ht="17.25" hidden="false" customHeight="true" outlineLevel="0" collapsed="false">
      <c r="B110" s="9" t="s">
        <v>5125</v>
      </c>
      <c r="C110" s="9"/>
      <c r="D110" s="9"/>
      <c r="E110" s="9"/>
      <c r="F110" s="9"/>
    </row>
    <row r="111" customFormat="false" ht="31.5" hidden="false" customHeight="true" outlineLevel="0" collapsed="false">
      <c r="B111" s="9" t="s">
        <v>5126</v>
      </c>
      <c r="C111" s="9"/>
      <c r="D111" s="9"/>
      <c r="E111" s="9"/>
      <c r="F111" s="9"/>
    </row>
    <row r="112" customFormat="false" ht="17.25" hidden="false" customHeight="true" outlineLevel="0" collapsed="false">
      <c r="B112" s="9" t="s">
        <v>5127</v>
      </c>
      <c r="C112" s="9"/>
      <c r="D112" s="9"/>
      <c r="E112" s="9"/>
      <c r="F112" s="9"/>
    </row>
    <row r="113" customFormat="false" ht="17.25" hidden="false" customHeight="true" outlineLevel="0" collapsed="false">
      <c r="B113" s="9" t="s">
        <v>5128</v>
      </c>
      <c r="C113" s="9"/>
      <c r="D113" s="9"/>
      <c r="E113" s="9"/>
      <c r="F113" s="9"/>
    </row>
    <row r="114" customFormat="false" ht="17.25" hidden="false" customHeight="true" outlineLevel="0" collapsed="false">
      <c r="B114" s="9" t="s">
        <v>5129</v>
      </c>
      <c r="C114" s="9"/>
      <c r="D114" s="9"/>
      <c r="E114" s="9"/>
      <c r="F114" s="9"/>
    </row>
    <row r="116" customFormat="false" ht="15.75" hidden="false" customHeight="true" outlineLevel="0" collapsed="false">
      <c r="B116" s="7" t="s">
        <v>1513</v>
      </c>
      <c r="C116" s="8"/>
      <c r="D116" s="8"/>
      <c r="E116" s="8"/>
      <c r="F116" s="8"/>
      <c r="G116" s="8"/>
      <c r="H116" s="8"/>
      <c r="I116" s="8"/>
      <c r="J116" s="8"/>
      <c r="K116" s="8"/>
    </row>
    <row r="117" customFormat="false" ht="17.25" hidden="false" customHeight="true" outlineLevel="0" collapsed="false">
      <c r="B117" s="9" t="s">
        <v>1514</v>
      </c>
      <c r="C117" s="9"/>
      <c r="D117" s="9"/>
      <c r="E117" s="9"/>
      <c r="N117" s="56" t="s">
        <v>1515</v>
      </c>
    </row>
    <row r="118" customFormat="false" ht="17.25" hidden="false" customHeight="true" outlineLevel="0" collapsed="false">
      <c r="B118" s="9" t="s">
        <v>5130</v>
      </c>
      <c r="C118" s="9"/>
      <c r="D118" s="9"/>
      <c r="E118" s="9"/>
      <c r="N118" s="57" t="s">
        <v>5131</v>
      </c>
    </row>
    <row r="119" customFormat="false" ht="17.25" hidden="false" customHeight="true" outlineLevel="0" collapsed="false">
      <c r="B119" s="9" t="s">
        <v>5132</v>
      </c>
      <c r="C119" s="9"/>
      <c r="D119" s="9"/>
      <c r="E119" s="9"/>
      <c r="N119" s="57" t="s">
        <v>5133</v>
      </c>
    </row>
    <row r="120" customFormat="false" ht="17.25" hidden="false" customHeight="true" outlineLevel="0" collapsed="false">
      <c r="B120" s="9" t="s">
        <v>5134</v>
      </c>
      <c r="C120" s="9"/>
      <c r="D120" s="9"/>
      <c r="E120" s="9"/>
      <c r="N120" s="57" t="s">
        <v>5135</v>
      </c>
    </row>
    <row r="122" customFormat="false" ht="15.75" hidden="false" customHeight="true" outlineLevel="0" collapsed="false">
      <c r="B122" s="7" t="s">
        <v>1522</v>
      </c>
      <c r="C122" s="8"/>
      <c r="D122" s="8"/>
      <c r="E122" s="8"/>
      <c r="F122" s="8"/>
      <c r="G122" s="8"/>
      <c r="H122" s="8"/>
      <c r="I122" s="8"/>
      <c r="J122" s="8"/>
      <c r="K122" s="8"/>
    </row>
    <row r="123" customFormat="false" ht="16.5" hidden="false" customHeight="true" outlineLevel="0" collapsed="false">
      <c r="B123" s="11" t="s">
        <v>1523</v>
      </c>
      <c r="C123" s="11" t="s">
        <v>1524</v>
      </c>
      <c r="D123" s="11" t="s">
        <v>1615</v>
      </c>
    </row>
    <row r="124" customFormat="false" ht="30.75" hidden="false" customHeight="true" outlineLevel="0" collapsed="false">
      <c r="B124" s="58" t="s">
        <v>4929</v>
      </c>
      <c r="C124" s="58" t="s">
        <v>3794</v>
      </c>
      <c r="D124" s="58" t="s">
        <v>1037</v>
      </c>
    </row>
  </sheetData>
  <mergeCells count="43">
    <mergeCell ref="B2:J2"/>
    <mergeCell ref="D3:E3"/>
    <mergeCell ref="C6:D6"/>
    <mergeCell ref="C7:D7"/>
    <mergeCell ref="C8:D8"/>
    <mergeCell ref="B11:F12"/>
    <mergeCell ref="B13:F16"/>
    <mergeCell ref="B17:F19"/>
    <mergeCell ref="B20:F20"/>
    <mergeCell ref="B21:F22"/>
    <mergeCell ref="B23:F24"/>
    <mergeCell ref="B27:D27"/>
    <mergeCell ref="E27:F27"/>
    <mergeCell ref="B28:D28"/>
    <mergeCell ref="E28:F28"/>
    <mergeCell ref="B29:D29"/>
    <mergeCell ref="E29:F29"/>
    <mergeCell ref="B30:D30"/>
    <mergeCell ref="E30:F30"/>
    <mergeCell ref="B31:F31"/>
    <mergeCell ref="B39:F39"/>
    <mergeCell ref="B41:F41"/>
    <mergeCell ref="B43:F43"/>
    <mergeCell ref="B47:F47"/>
    <mergeCell ref="B48:F48"/>
    <mergeCell ref="B49:F49"/>
    <mergeCell ref="B58:F58"/>
    <mergeCell ref="B61:F62"/>
    <mergeCell ref="B69:F69"/>
    <mergeCell ref="E88:F88"/>
    <mergeCell ref="E89:F89"/>
    <mergeCell ref="E90:F90"/>
    <mergeCell ref="E91:F91"/>
    <mergeCell ref="C100:F100"/>
    <mergeCell ref="B110:F110"/>
    <mergeCell ref="B111:F111"/>
    <mergeCell ref="B112:F112"/>
    <mergeCell ref="B113:F113"/>
    <mergeCell ref="B114:F114"/>
    <mergeCell ref="B117:E117"/>
    <mergeCell ref="B118:E118"/>
    <mergeCell ref="B119:E119"/>
    <mergeCell ref="B120:E120"/>
  </mergeCells>
  <hyperlinks>
    <hyperlink ref="B3" location="'N-03 Index DMAIC'!A1" display="← Back to Index"/>
    <hyperlink ref="E34" location="'E-05 Sampling Subgroups'!A1" display="E-05  Sampling Strategies and Rational Subgrouping"/>
    <hyperlink ref="E35" location="'E-59 Gage R and R'!A1" display="E-59  Gage R&amp;R: ANOVA and Range Methods"/>
    <hyperlink ref="E36" location="'E-47 Common vs Special Cause'!A1" display="E-47  Common Cause vs Special Cause Variation"/>
    <hyperlink ref="B124" location="'E-39 Logistic Regression'!A1" display="E-39  Binary Logistic Regression"/>
    <hyperlink ref="C124" location="'E-41 DOE Fundamentals'!A1" display="E-41  DOE Fundamentals and Terminology"/>
    <hyperlink ref="D124" location="'E-26 One-Way ANOVA'!A1" display="E-26  One-Way ANOVA with Tukey HS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5136</v>
      </c>
      <c r="C2" s="3"/>
      <c r="D2" s="3"/>
      <c r="E2" s="3"/>
      <c r="F2" s="3"/>
      <c r="G2" s="3"/>
      <c r="H2" s="3"/>
      <c r="I2" s="3"/>
      <c r="J2" s="3"/>
      <c r="K2" s="101" t="s">
        <v>5137</v>
      </c>
    </row>
    <row r="3" customFormat="false" ht="28.5" hidden="false" customHeight="true" outlineLevel="0" collapsed="false">
      <c r="B3" s="5" t="s">
        <v>3</v>
      </c>
      <c r="D3" s="6" t="s">
        <v>5138</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5139</v>
      </c>
      <c r="D6" s="106"/>
      <c r="E6" s="106"/>
      <c r="F6" s="106"/>
      <c r="G6" s="106"/>
      <c r="H6" s="102"/>
      <c r="I6" s="102"/>
      <c r="J6" s="102"/>
      <c r="K6" s="102"/>
      <c r="L6" s="102"/>
      <c r="M6" s="102"/>
      <c r="N6" s="102"/>
      <c r="O6" s="102"/>
    </row>
    <row r="7" customFormat="false" ht="31.5" hidden="false" customHeight="true" outlineLevel="0" collapsed="false">
      <c r="A7" s="102"/>
      <c r="B7" s="105" t="s">
        <v>1394</v>
      </c>
      <c r="C7" s="106" t="s">
        <v>5140</v>
      </c>
      <c r="D7" s="106"/>
      <c r="E7" s="106"/>
      <c r="F7" s="106"/>
      <c r="G7" s="106"/>
      <c r="H7" s="102"/>
      <c r="I7" s="102"/>
      <c r="J7" s="102"/>
      <c r="K7" s="102"/>
      <c r="L7" s="102"/>
      <c r="M7" s="102"/>
      <c r="N7" s="102"/>
      <c r="O7" s="102"/>
    </row>
    <row r="8" customFormat="false" ht="17.25" hidden="false" customHeight="true" outlineLevel="0" collapsed="false">
      <c r="A8" s="102"/>
      <c r="B8" s="105" t="s">
        <v>1396</v>
      </c>
      <c r="C8" s="106" t="s">
        <v>5141</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5" hidden="false" customHeight="true" outlineLevel="0" collapsed="false">
      <c r="A11" s="102"/>
      <c r="B11" s="106" t="s">
        <v>5142</v>
      </c>
      <c r="C11" s="106"/>
      <c r="D11" s="106"/>
      <c r="E11" s="106"/>
      <c r="F11" s="106"/>
      <c r="G11" s="106"/>
      <c r="H11" s="106"/>
      <c r="I11" s="102"/>
      <c r="J11" s="102"/>
      <c r="K11" s="102"/>
      <c r="L11" s="102"/>
      <c r="M11" s="102"/>
      <c r="N11" s="102"/>
      <c r="O11" s="102"/>
    </row>
    <row r="12" customFormat="false" ht="15" hidden="false" customHeight="true" outlineLevel="0" collapsed="false">
      <c r="A12" s="102"/>
      <c r="B12" s="106"/>
      <c r="C12" s="106"/>
      <c r="D12" s="106"/>
      <c r="E12" s="106"/>
      <c r="F12" s="106"/>
      <c r="G12" s="106"/>
      <c r="H12" s="106"/>
      <c r="I12" s="102"/>
      <c r="J12" s="102"/>
      <c r="K12" s="102"/>
      <c r="L12" s="102"/>
      <c r="M12" s="102"/>
      <c r="N12" s="102"/>
      <c r="O12" s="102"/>
    </row>
    <row r="13" customFormat="false" ht="15" hidden="false" customHeight="true" outlineLevel="0" collapsed="false">
      <c r="A13" s="102"/>
      <c r="B13" s="106"/>
      <c r="C13" s="106"/>
      <c r="D13" s="106"/>
      <c r="E13" s="106"/>
      <c r="F13" s="106"/>
      <c r="G13" s="106"/>
      <c r="H13" s="106"/>
      <c r="I13" s="102"/>
      <c r="J13" s="102"/>
      <c r="K13" s="102"/>
      <c r="L13" s="102"/>
      <c r="M13" s="102"/>
      <c r="N13" s="102"/>
      <c r="O13" s="102"/>
    </row>
    <row r="14" customFormat="false" ht="15" hidden="false" customHeight="true" outlineLevel="0" collapsed="false">
      <c r="A14" s="102"/>
      <c r="B14" s="106" t="s">
        <v>5143</v>
      </c>
      <c r="C14" s="106"/>
      <c r="D14" s="106"/>
      <c r="E14" s="106"/>
      <c r="F14" s="106"/>
      <c r="G14" s="106"/>
      <c r="H14" s="106"/>
      <c r="I14" s="102"/>
      <c r="J14" s="102"/>
      <c r="K14" s="102"/>
      <c r="L14" s="102"/>
      <c r="M14" s="102"/>
      <c r="N14" s="102"/>
      <c r="O14" s="102"/>
    </row>
    <row r="15" customFormat="false" ht="15" hidden="false" customHeight="true" outlineLevel="0" collapsed="false">
      <c r="A15" s="102"/>
      <c r="B15" s="106"/>
      <c r="C15" s="106"/>
      <c r="D15" s="106"/>
      <c r="E15" s="106"/>
      <c r="F15" s="106"/>
      <c r="G15" s="106"/>
      <c r="H15" s="106"/>
      <c r="I15" s="102"/>
      <c r="J15" s="102"/>
      <c r="K15" s="102"/>
      <c r="L15" s="102"/>
      <c r="M15" s="102"/>
      <c r="N15" s="102"/>
      <c r="O15" s="102"/>
    </row>
    <row r="16" customFormat="false" ht="15" hidden="false" customHeight="true" outlineLevel="0" collapsed="false">
      <c r="A16" s="102"/>
      <c r="B16" s="106"/>
      <c r="C16" s="106"/>
      <c r="D16" s="106"/>
      <c r="E16" s="106"/>
      <c r="F16" s="106"/>
      <c r="G16" s="106"/>
      <c r="H16" s="106"/>
      <c r="I16" s="102"/>
      <c r="J16" s="102"/>
      <c r="K16" s="102"/>
      <c r="L16" s="102"/>
      <c r="M16" s="102"/>
      <c r="N16" s="102"/>
      <c r="O16" s="102"/>
    </row>
    <row r="17" customFormat="false" ht="15.75" hidden="false" customHeight="true" outlineLevel="0" collapsed="false">
      <c r="A17" s="102"/>
      <c r="B17" s="106" t="s">
        <v>5144</v>
      </c>
      <c r="C17" s="106"/>
      <c r="D17" s="106"/>
      <c r="E17" s="106"/>
      <c r="F17" s="106"/>
      <c r="G17" s="106"/>
      <c r="H17" s="106"/>
      <c r="I17" s="102"/>
      <c r="J17" s="102"/>
      <c r="K17" s="102"/>
      <c r="L17" s="102"/>
      <c r="M17" s="102"/>
      <c r="N17" s="102"/>
      <c r="O17" s="102"/>
    </row>
    <row r="18" customFormat="false" ht="15.75" hidden="false" customHeight="true" outlineLevel="0" collapsed="false">
      <c r="A18" s="102"/>
      <c r="B18" s="106"/>
      <c r="C18" s="106"/>
      <c r="D18" s="106"/>
      <c r="E18" s="106"/>
      <c r="F18" s="106"/>
      <c r="G18" s="106"/>
      <c r="H18" s="106"/>
      <c r="I18" s="102"/>
      <c r="J18" s="102"/>
      <c r="K18" s="102"/>
      <c r="L18" s="102"/>
      <c r="M18" s="102"/>
      <c r="N18" s="102"/>
      <c r="O18" s="102"/>
    </row>
    <row r="19" customFormat="false" ht="15" hidden="false" customHeight="true" outlineLevel="0" collapsed="false">
      <c r="A19" s="102"/>
      <c r="B19" s="102"/>
      <c r="C19" s="102"/>
      <c r="D19" s="102"/>
      <c r="E19" s="102"/>
      <c r="F19" s="102"/>
      <c r="G19" s="102"/>
      <c r="H19" s="102"/>
      <c r="I19" s="102"/>
      <c r="J19" s="102"/>
      <c r="K19" s="102"/>
      <c r="L19" s="102"/>
      <c r="M19" s="102"/>
      <c r="N19" s="102"/>
      <c r="O19" s="102"/>
    </row>
    <row r="20" customFormat="false" ht="15.75" hidden="false" customHeight="true" outlineLevel="0" collapsed="false">
      <c r="A20" s="102"/>
      <c r="B20" s="103" t="s">
        <v>1406</v>
      </c>
      <c r="C20" s="104"/>
      <c r="D20" s="104"/>
      <c r="E20" s="104"/>
      <c r="F20" s="104"/>
      <c r="G20" s="104"/>
      <c r="H20" s="104"/>
      <c r="I20" s="104"/>
      <c r="J20" s="104"/>
      <c r="K20" s="104"/>
      <c r="L20" s="102"/>
      <c r="M20" s="102"/>
      <c r="N20" s="102"/>
      <c r="O20" s="102"/>
    </row>
    <row r="21" customFormat="false" ht="17.25" hidden="false" customHeight="true" outlineLevel="0" collapsed="false">
      <c r="A21" s="102"/>
      <c r="B21" s="107" t="s">
        <v>1407</v>
      </c>
      <c r="C21" s="107"/>
      <c r="D21" s="107"/>
      <c r="E21" s="107" t="s">
        <v>1408</v>
      </c>
      <c r="F21" s="107"/>
      <c r="G21" s="107"/>
      <c r="H21" s="107"/>
      <c r="I21" s="102"/>
      <c r="J21" s="102"/>
      <c r="K21" s="102"/>
      <c r="L21" s="102"/>
      <c r="M21" s="102"/>
      <c r="N21" s="102"/>
      <c r="O21" s="102"/>
    </row>
    <row r="22" customFormat="false" ht="31.5" hidden="false" customHeight="true" outlineLevel="0" collapsed="false">
      <c r="A22" s="102"/>
      <c r="B22" s="106" t="s">
        <v>5145</v>
      </c>
      <c r="C22" s="106"/>
      <c r="D22" s="106"/>
      <c r="E22" s="106" t="s">
        <v>5146</v>
      </c>
      <c r="F22" s="106"/>
      <c r="G22" s="106"/>
      <c r="H22" s="106"/>
      <c r="I22" s="102"/>
      <c r="J22" s="102"/>
      <c r="K22" s="102"/>
      <c r="L22" s="102"/>
      <c r="M22" s="102"/>
      <c r="N22" s="102"/>
      <c r="O22" s="102"/>
    </row>
    <row r="23" customFormat="false" ht="31.5" hidden="false" customHeight="true" outlineLevel="0" collapsed="false">
      <c r="A23" s="102"/>
      <c r="B23" s="106" t="s">
        <v>5147</v>
      </c>
      <c r="C23" s="106"/>
      <c r="D23" s="106"/>
      <c r="E23" s="106" t="s">
        <v>5148</v>
      </c>
      <c r="F23" s="106"/>
      <c r="G23" s="106"/>
      <c r="H23" s="106"/>
      <c r="I23" s="102"/>
      <c r="J23" s="102"/>
      <c r="K23" s="102"/>
      <c r="L23" s="102"/>
      <c r="M23" s="102"/>
      <c r="N23" s="102"/>
      <c r="O23" s="102"/>
    </row>
    <row r="24" customFormat="false" ht="31.5" hidden="false" customHeight="true" outlineLevel="0" collapsed="false">
      <c r="A24" s="102"/>
      <c r="B24" s="106" t="s">
        <v>5149</v>
      </c>
      <c r="C24" s="106"/>
      <c r="D24" s="106"/>
      <c r="E24" s="106" t="s">
        <v>5150</v>
      </c>
      <c r="F24" s="106"/>
      <c r="G24" s="106"/>
      <c r="H24" s="106"/>
      <c r="I24" s="102"/>
      <c r="J24" s="102"/>
      <c r="K24" s="102"/>
      <c r="L24" s="102"/>
      <c r="M24" s="102"/>
      <c r="N24" s="102"/>
      <c r="O24" s="102"/>
    </row>
    <row r="25" customFormat="false" ht="17.25" hidden="false" customHeight="true" outlineLevel="0" collapsed="false">
      <c r="A25" s="102"/>
      <c r="B25" s="106" t="s">
        <v>5151</v>
      </c>
      <c r="C25" s="106"/>
      <c r="D25" s="106"/>
      <c r="E25" s="106"/>
      <c r="F25" s="106"/>
      <c r="G25" s="106"/>
      <c r="H25" s="106"/>
      <c r="I25" s="102"/>
      <c r="J25" s="102"/>
      <c r="K25" s="102"/>
      <c r="L25" s="102"/>
      <c r="M25" s="102"/>
      <c r="N25" s="102"/>
      <c r="O25" s="102"/>
    </row>
    <row r="26" customFormat="false" ht="15" hidden="false" customHeight="true" outlineLevel="0" collapsed="false">
      <c r="A26" s="102"/>
      <c r="B26" s="102"/>
      <c r="C26" s="102"/>
      <c r="D26" s="102"/>
      <c r="E26" s="102"/>
      <c r="F26" s="102"/>
      <c r="G26" s="102"/>
      <c r="H26" s="102"/>
      <c r="I26" s="102"/>
      <c r="J26" s="102"/>
      <c r="K26" s="102"/>
      <c r="L26" s="102"/>
      <c r="M26" s="102"/>
      <c r="N26" s="102"/>
      <c r="O26" s="102"/>
    </row>
    <row r="27" customFormat="false" ht="30.75" hidden="false" customHeight="true" outlineLevel="0" collapsed="false">
      <c r="A27" s="102"/>
      <c r="B27" s="108" t="s">
        <v>1416</v>
      </c>
      <c r="C27" s="108" t="s">
        <v>1417</v>
      </c>
      <c r="D27" s="108" t="s">
        <v>1418</v>
      </c>
      <c r="E27" s="108" t="s">
        <v>1419</v>
      </c>
      <c r="F27" s="102"/>
      <c r="G27" s="102"/>
      <c r="H27" s="102"/>
      <c r="I27" s="102"/>
      <c r="J27" s="102"/>
      <c r="K27" s="102"/>
      <c r="L27" s="102"/>
      <c r="M27" s="102"/>
      <c r="N27" s="102"/>
      <c r="O27" s="102"/>
    </row>
    <row r="28" customFormat="false" ht="58.5" hidden="false" customHeight="true" outlineLevel="0" collapsed="false">
      <c r="A28" s="102"/>
      <c r="B28" s="15" t="s">
        <v>5152</v>
      </c>
      <c r="C28" s="15" t="s">
        <v>5153</v>
      </c>
      <c r="D28" s="15" t="s">
        <v>5154</v>
      </c>
      <c r="E28" s="109" t="s">
        <v>1027</v>
      </c>
      <c r="F28" s="102"/>
      <c r="G28" s="102"/>
      <c r="H28" s="102"/>
      <c r="I28" s="102"/>
      <c r="J28" s="102"/>
      <c r="K28" s="102"/>
      <c r="L28" s="102"/>
      <c r="M28" s="102"/>
      <c r="N28" s="102"/>
      <c r="O28" s="102"/>
    </row>
    <row r="29" customFormat="false" ht="114" hidden="false" customHeight="true" outlineLevel="0" collapsed="false">
      <c r="A29" s="102"/>
      <c r="B29" s="15" t="s">
        <v>5155</v>
      </c>
      <c r="C29" s="15" t="s">
        <v>5156</v>
      </c>
      <c r="D29" s="15" t="s">
        <v>5157</v>
      </c>
      <c r="E29" s="109" t="s">
        <v>1035</v>
      </c>
      <c r="F29" s="102"/>
      <c r="G29" s="102"/>
      <c r="H29" s="102"/>
      <c r="I29" s="102"/>
      <c r="J29" s="102"/>
      <c r="K29" s="102"/>
      <c r="L29" s="102"/>
      <c r="M29" s="102"/>
      <c r="N29" s="102"/>
      <c r="O29" s="102"/>
    </row>
    <row r="30" customFormat="false" ht="72" hidden="false" customHeight="true" outlineLevel="0" collapsed="false">
      <c r="A30" s="102"/>
      <c r="B30" s="15" t="s">
        <v>5158</v>
      </c>
      <c r="C30" s="15" t="s">
        <v>5159</v>
      </c>
      <c r="D30" s="15" t="s">
        <v>5160</v>
      </c>
      <c r="E30" s="109" t="s">
        <v>1546</v>
      </c>
      <c r="F30" s="102"/>
      <c r="G30" s="102"/>
      <c r="H30" s="102"/>
      <c r="I30" s="102"/>
      <c r="J30" s="102"/>
      <c r="K30" s="102"/>
      <c r="L30" s="102"/>
      <c r="M30" s="102"/>
      <c r="N30" s="102"/>
      <c r="O30" s="102"/>
    </row>
    <row r="31" customFormat="false" ht="15" hidden="false" customHeight="true" outlineLevel="0" collapsed="false">
      <c r="A31" s="102"/>
      <c r="B31" s="102"/>
      <c r="C31" s="102"/>
      <c r="D31" s="102"/>
      <c r="E31" s="102"/>
      <c r="F31" s="102"/>
      <c r="G31" s="102"/>
      <c r="H31" s="102"/>
      <c r="I31" s="102"/>
      <c r="J31" s="102"/>
      <c r="K31" s="102"/>
      <c r="L31" s="102"/>
      <c r="M31" s="102"/>
      <c r="N31" s="102"/>
      <c r="O31" s="102"/>
    </row>
    <row r="32" customFormat="false" ht="15.75" hidden="false" customHeight="true" outlineLevel="0" collapsed="false">
      <c r="A32" s="102"/>
      <c r="B32" s="103" t="s">
        <v>1429</v>
      </c>
      <c r="C32" s="104"/>
      <c r="D32" s="104"/>
      <c r="E32" s="104"/>
      <c r="F32" s="104"/>
      <c r="G32" s="104"/>
      <c r="H32" s="104"/>
      <c r="I32" s="104"/>
      <c r="J32" s="104"/>
      <c r="K32" s="104"/>
      <c r="L32" s="102"/>
      <c r="M32" s="102"/>
      <c r="N32" s="102"/>
      <c r="O32" s="102"/>
    </row>
    <row r="33" customFormat="false" ht="17.25" hidden="false" customHeight="true" outlineLevel="0" collapsed="false">
      <c r="A33" s="102"/>
      <c r="B33" s="106" t="s">
        <v>5161</v>
      </c>
      <c r="C33" s="106"/>
      <c r="D33" s="106"/>
      <c r="E33" s="106"/>
      <c r="F33" s="106"/>
      <c r="G33" s="106"/>
      <c r="H33" s="106"/>
      <c r="I33" s="102"/>
      <c r="J33" s="102"/>
      <c r="K33" s="102"/>
      <c r="L33" s="102"/>
      <c r="M33" s="102"/>
      <c r="N33" s="102"/>
      <c r="O33" s="102"/>
    </row>
    <row r="34" customFormat="false" ht="17.25" hidden="false" customHeight="true" outlineLevel="0" collapsed="false">
      <c r="A34" s="102"/>
      <c r="B34" s="106" t="s">
        <v>5162</v>
      </c>
      <c r="C34" s="106"/>
      <c r="D34" s="106"/>
      <c r="E34" s="106"/>
      <c r="F34" s="106"/>
      <c r="G34" s="106"/>
      <c r="H34" s="106"/>
      <c r="I34" s="102"/>
      <c r="J34" s="102"/>
      <c r="K34" s="102"/>
      <c r="L34" s="102"/>
      <c r="M34" s="102"/>
      <c r="N34" s="102"/>
      <c r="O34" s="102"/>
    </row>
    <row r="35" customFormat="false" ht="17.25" hidden="false" customHeight="true" outlineLevel="0" collapsed="false">
      <c r="A35" s="102"/>
      <c r="B35" s="106" t="s">
        <v>5163</v>
      </c>
      <c r="C35" s="106"/>
      <c r="D35" s="106"/>
      <c r="E35" s="106"/>
      <c r="F35" s="106"/>
      <c r="G35" s="106"/>
      <c r="H35" s="106"/>
      <c r="I35" s="102"/>
      <c r="J35" s="102"/>
      <c r="K35" s="102"/>
      <c r="L35" s="102"/>
      <c r="M35" s="102"/>
      <c r="N35" s="102"/>
      <c r="O35" s="102"/>
    </row>
    <row r="36" customFormat="false" ht="17.25" hidden="false" customHeight="true" outlineLevel="0" collapsed="false">
      <c r="A36" s="102"/>
      <c r="B36" s="106" t="s">
        <v>5164</v>
      </c>
      <c r="C36" s="106"/>
      <c r="D36" s="106"/>
      <c r="E36" s="106"/>
      <c r="F36" s="106"/>
      <c r="G36" s="106"/>
      <c r="H36" s="106"/>
      <c r="I36" s="102"/>
      <c r="J36" s="102"/>
      <c r="K36" s="102"/>
      <c r="L36" s="102"/>
      <c r="M36" s="102"/>
      <c r="N36" s="102"/>
      <c r="O36" s="102"/>
    </row>
    <row r="37" customFormat="false" ht="15" hidden="false" customHeight="true" outlineLevel="0" collapsed="false">
      <c r="A37" s="102"/>
      <c r="B37" s="102"/>
      <c r="C37" s="102"/>
      <c r="D37" s="102"/>
      <c r="E37" s="102"/>
      <c r="F37" s="102"/>
      <c r="G37" s="102"/>
      <c r="H37" s="102"/>
      <c r="I37" s="102"/>
      <c r="J37" s="102"/>
      <c r="K37" s="102"/>
      <c r="L37" s="102"/>
      <c r="M37" s="102"/>
      <c r="N37" s="102"/>
      <c r="O37" s="102"/>
    </row>
    <row r="38" customFormat="false" ht="15.75" hidden="false" customHeight="true" outlineLevel="0" collapsed="false">
      <c r="A38" s="102"/>
      <c r="B38" s="103" t="s">
        <v>1437</v>
      </c>
      <c r="C38" s="104"/>
      <c r="D38" s="104"/>
      <c r="E38" s="104"/>
      <c r="F38" s="104"/>
      <c r="G38" s="104"/>
      <c r="H38" s="104"/>
      <c r="I38" s="104"/>
      <c r="J38" s="104"/>
      <c r="K38" s="104"/>
      <c r="L38" s="102"/>
      <c r="M38" s="102"/>
      <c r="N38" s="102"/>
      <c r="O38" s="102"/>
    </row>
    <row r="39" customFormat="false" ht="16.5" hidden="false" customHeight="true" outlineLevel="0" collapsed="false">
      <c r="A39" s="102"/>
      <c r="B39" s="108" t="s">
        <v>1438</v>
      </c>
      <c r="C39" s="108" t="s">
        <v>1439</v>
      </c>
      <c r="D39" s="108" t="s">
        <v>1440</v>
      </c>
      <c r="E39" s="102"/>
      <c r="F39" s="102"/>
      <c r="G39" s="102"/>
      <c r="H39" s="102"/>
      <c r="I39" s="102"/>
      <c r="J39" s="102"/>
      <c r="K39" s="102"/>
      <c r="L39" s="102"/>
      <c r="M39" s="102"/>
      <c r="N39" s="102"/>
      <c r="O39" s="102"/>
    </row>
    <row r="40" customFormat="false" ht="30.75" hidden="false" customHeight="true" outlineLevel="0" collapsed="false">
      <c r="A40" s="102"/>
      <c r="B40" s="110" t="s">
        <v>5165</v>
      </c>
      <c r="C40" s="111" t="s">
        <v>5166</v>
      </c>
      <c r="D40" s="15" t="s">
        <v>5167</v>
      </c>
      <c r="E40" s="102"/>
      <c r="F40" s="102"/>
      <c r="G40" s="102"/>
      <c r="H40" s="102"/>
      <c r="I40" s="102"/>
      <c r="J40" s="102"/>
      <c r="K40" s="102"/>
      <c r="L40" s="102"/>
      <c r="M40" s="102"/>
      <c r="N40" s="102"/>
      <c r="O40" s="102"/>
    </row>
    <row r="41" customFormat="false" ht="44.25" hidden="false" customHeight="true" outlineLevel="0" collapsed="false">
      <c r="A41" s="102"/>
      <c r="B41" s="110" t="s">
        <v>1668</v>
      </c>
      <c r="C41" s="111" t="s">
        <v>5168</v>
      </c>
      <c r="D41" s="15" t="s">
        <v>5169</v>
      </c>
      <c r="E41" s="102"/>
      <c r="F41" s="102"/>
      <c r="G41" s="102"/>
      <c r="H41" s="102"/>
      <c r="I41" s="102"/>
      <c r="J41" s="102"/>
      <c r="K41" s="102"/>
      <c r="L41" s="102"/>
      <c r="M41" s="102"/>
      <c r="N41" s="102"/>
      <c r="O41" s="102"/>
    </row>
    <row r="42" customFormat="false" ht="15" hidden="false" customHeight="true" outlineLevel="0" collapsed="false">
      <c r="A42" s="102"/>
      <c r="B42" s="102"/>
      <c r="C42" s="102"/>
      <c r="D42" s="102"/>
      <c r="E42" s="102"/>
      <c r="F42" s="102"/>
      <c r="G42" s="102"/>
      <c r="H42" s="102"/>
      <c r="I42" s="102"/>
      <c r="J42" s="102"/>
      <c r="K42" s="102"/>
      <c r="L42" s="102"/>
      <c r="M42" s="102"/>
      <c r="N42" s="102"/>
      <c r="O42" s="102"/>
    </row>
    <row r="43" customFormat="false" ht="15.75" hidden="false" customHeight="true" outlineLevel="0" collapsed="false">
      <c r="A43" s="102"/>
      <c r="B43" s="103" t="s">
        <v>1454</v>
      </c>
      <c r="C43" s="104"/>
      <c r="D43" s="104"/>
      <c r="E43" s="104"/>
      <c r="F43" s="104"/>
      <c r="G43" s="104"/>
      <c r="H43" s="104"/>
      <c r="I43" s="104"/>
      <c r="J43" s="104"/>
      <c r="K43" s="104"/>
      <c r="L43" s="102"/>
      <c r="M43" s="102"/>
      <c r="N43" s="102"/>
      <c r="O43" s="102"/>
    </row>
    <row r="44" customFormat="false" ht="17.25" hidden="false" customHeight="true" outlineLevel="0" collapsed="false">
      <c r="A44" s="102"/>
      <c r="B44" s="106" t="s">
        <v>5170</v>
      </c>
      <c r="C44" s="106"/>
      <c r="D44" s="106"/>
      <c r="E44" s="106"/>
      <c r="F44" s="106"/>
      <c r="G44" s="106"/>
      <c r="H44" s="106"/>
      <c r="I44" s="102"/>
      <c r="J44" s="102"/>
      <c r="K44" s="102"/>
      <c r="L44" s="102"/>
      <c r="M44" s="102"/>
      <c r="N44" s="102"/>
      <c r="O44" s="102"/>
    </row>
    <row r="45" customFormat="false" ht="17.25" hidden="false" customHeight="true" outlineLevel="0" collapsed="false">
      <c r="A45" s="102"/>
      <c r="B45" s="112" t="s">
        <v>85</v>
      </c>
      <c r="C45" s="113" t="s">
        <v>86</v>
      </c>
      <c r="D45" s="113"/>
      <c r="E45" s="102"/>
      <c r="F45" s="102"/>
      <c r="G45" s="102"/>
      <c r="H45" s="102"/>
      <c r="I45" s="102"/>
      <c r="J45" s="102"/>
      <c r="K45" s="102"/>
      <c r="L45" s="102"/>
      <c r="M45" s="102"/>
      <c r="N45" s="102"/>
      <c r="O45" s="102"/>
    </row>
    <row r="46" customFormat="false" ht="15" hidden="false" customHeight="true" outlineLevel="0" collapsed="false">
      <c r="A46" s="102"/>
      <c r="B46" s="102"/>
      <c r="C46" s="102"/>
      <c r="D46" s="102"/>
      <c r="E46" s="102"/>
      <c r="F46" s="102"/>
      <c r="G46" s="102"/>
      <c r="H46" s="102"/>
      <c r="I46" s="102"/>
      <c r="J46" s="102"/>
      <c r="K46" s="102"/>
      <c r="L46" s="102"/>
      <c r="M46" s="102"/>
      <c r="N46" s="102"/>
      <c r="O46" s="102"/>
    </row>
    <row r="47" customFormat="false" ht="15" hidden="false" customHeight="true" outlineLevel="0" collapsed="false">
      <c r="A47" s="102"/>
      <c r="B47" s="105" t="s">
        <v>5171</v>
      </c>
      <c r="C47" s="114" t="n">
        <v>3</v>
      </c>
      <c r="D47" s="102"/>
      <c r="E47" s="102"/>
      <c r="F47" s="102"/>
      <c r="G47" s="102"/>
      <c r="H47" s="102"/>
      <c r="I47" s="102"/>
      <c r="J47" s="102"/>
      <c r="K47" s="102"/>
      <c r="L47" s="102"/>
      <c r="M47" s="102"/>
      <c r="N47" s="102"/>
      <c r="O47" s="102"/>
    </row>
    <row r="48" customFormat="false" ht="15" hidden="false" customHeight="true" outlineLevel="0" collapsed="false">
      <c r="A48" s="102"/>
      <c r="B48" s="105" t="s">
        <v>5172</v>
      </c>
      <c r="C48" s="115" t="s">
        <v>98</v>
      </c>
      <c r="D48" s="102"/>
      <c r="E48" s="102"/>
      <c r="F48" s="102"/>
      <c r="G48" s="102"/>
      <c r="H48" s="102"/>
      <c r="I48" s="102"/>
      <c r="J48" s="102"/>
      <c r="K48" s="102"/>
      <c r="L48" s="102"/>
      <c r="M48" s="102"/>
      <c r="N48" s="102"/>
      <c r="O48" s="102"/>
    </row>
    <row r="49" customFormat="false" ht="15" hidden="false" customHeight="true" outlineLevel="0" collapsed="false">
      <c r="A49" s="102"/>
      <c r="B49" s="102"/>
      <c r="C49" s="102"/>
      <c r="D49" s="102"/>
      <c r="E49" s="102"/>
      <c r="F49" s="102"/>
      <c r="G49" s="102"/>
      <c r="H49" s="102"/>
      <c r="I49" s="102"/>
      <c r="J49" s="102"/>
      <c r="K49" s="102"/>
      <c r="L49" s="102"/>
      <c r="M49" s="102"/>
      <c r="N49" s="102"/>
      <c r="O49" s="102"/>
    </row>
    <row r="50" customFormat="false" ht="17.25" hidden="false" customHeight="true" outlineLevel="0" collapsed="false">
      <c r="A50" s="102"/>
      <c r="B50" s="105" t="s">
        <v>5173</v>
      </c>
      <c r="C50" s="116" t="str">
        <f aca="false">IF(C48="No",IF(C47&gt;4,"Screening: Plackett-Burman - go to E-44","Full or fractional factorial - go to E-42 / E-43"),IF(C47&lt;=4,"Full factorial 2^k - go to E-42","Fractional factorial - go to E-43"))</f>
        <v>Full or fractional factorial - go to E-42 / E-43</v>
      </c>
      <c r="D50" s="116"/>
      <c r="E50" s="102"/>
      <c r="F50" s="102"/>
      <c r="G50" s="102"/>
      <c r="H50" s="102"/>
      <c r="I50" s="102"/>
      <c r="J50" s="102"/>
      <c r="K50" s="102"/>
      <c r="L50" s="102"/>
      <c r="M50" s="102"/>
      <c r="N50" s="102"/>
      <c r="O50" s="102"/>
    </row>
    <row r="51" customFormat="false" ht="15" hidden="false" customHeight="true" outlineLevel="0" collapsed="false">
      <c r="A51" s="102"/>
      <c r="B51" s="102"/>
      <c r="C51" s="102"/>
      <c r="D51" s="102"/>
      <c r="E51" s="102"/>
      <c r="F51" s="102"/>
      <c r="G51" s="102"/>
      <c r="H51" s="102"/>
      <c r="I51" s="102"/>
      <c r="J51" s="102"/>
      <c r="K51" s="102"/>
      <c r="L51" s="102"/>
      <c r="M51" s="102"/>
      <c r="N51" s="102"/>
      <c r="O51" s="102"/>
    </row>
    <row r="52" customFormat="false" ht="16.5" hidden="false" customHeight="true" outlineLevel="0" collapsed="false">
      <c r="A52" s="102"/>
      <c r="B52" s="108" t="s">
        <v>5174</v>
      </c>
      <c r="C52" s="108" t="s">
        <v>5175</v>
      </c>
      <c r="D52" s="108" t="s">
        <v>5176</v>
      </c>
      <c r="E52" s="108" t="s">
        <v>961</v>
      </c>
      <c r="F52" s="102"/>
      <c r="G52" s="102"/>
      <c r="H52" s="102"/>
      <c r="I52" s="102"/>
      <c r="J52" s="102"/>
      <c r="K52" s="102"/>
      <c r="L52" s="102"/>
      <c r="M52" s="102"/>
      <c r="N52" s="102"/>
      <c r="O52" s="102"/>
    </row>
    <row r="53" customFormat="false" ht="30.75" hidden="false" customHeight="true" outlineLevel="0" collapsed="false">
      <c r="A53" s="102"/>
      <c r="B53" s="110" t="s">
        <v>5177</v>
      </c>
      <c r="C53" s="111" t="s">
        <v>5178</v>
      </c>
      <c r="D53" s="15" t="s">
        <v>5179</v>
      </c>
      <c r="E53" s="109" t="s">
        <v>5180</v>
      </c>
      <c r="F53" s="102"/>
      <c r="G53" s="102"/>
      <c r="H53" s="102"/>
      <c r="I53" s="102"/>
      <c r="J53" s="102"/>
      <c r="K53" s="102"/>
      <c r="L53" s="102"/>
      <c r="M53" s="102"/>
      <c r="N53" s="102"/>
      <c r="O53" s="102"/>
    </row>
    <row r="54" customFormat="false" ht="30.75" hidden="false" customHeight="true" outlineLevel="0" collapsed="false">
      <c r="A54" s="102"/>
      <c r="B54" s="110" t="s">
        <v>5181</v>
      </c>
      <c r="C54" s="111" t="s">
        <v>5182</v>
      </c>
      <c r="D54" s="15" t="s">
        <v>5183</v>
      </c>
      <c r="E54" s="109" t="s">
        <v>5184</v>
      </c>
      <c r="F54" s="102"/>
      <c r="G54" s="102"/>
      <c r="H54" s="102"/>
      <c r="I54" s="102"/>
      <c r="J54" s="102"/>
      <c r="K54" s="102"/>
      <c r="L54" s="102"/>
      <c r="M54" s="102"/>
      <c r="N54" s="102"/>
      <c r="O54" s="102"/>
    </row>
    <row r="55" customFormat="false" ht="30.75" hidden="false" customHeight="true" outlineLevel="0" collapsed="false">
      <c r="A55" s="102"/>
      <c r="B55" s="110" t="s">
        <v>5185</v>
      </c>
      <c r="C55" s="111" t="s">
        <v>5186</v>
      </c>
      <c r="D55" s="15" t="s">
        <v>5187</v>
      </c>
      <c r="E55" s="109" t="s">
        <v>5188</v>
      </c>
      <c r="F55" s="102"/>
      <c r="G55" s="102"/>
      <c r="H55" s="102"/>
      <c r="I55" s="102"/>
      <c r="J55" s="102"/>
      <c r="K55" s="102"/>
      <c r="L55" s="102"/>
      <c r="M55" s="102"/>
      <c r="N55" s="102"/>
      <c r="O55" s="102"/>
    </row>
    <row r="56" customFormat="false" ht="30.75" hidden="false" customHeight="true" outlineLevel="0" collapsed="false">
      <c r="A56" s="102"/>
      <c r="B56" s="110" t="s">
        <v>5189</v>
      </c>
      <c r="C56" s="111" t="s">
        <v>5190</v>
      </c>
      <c r="D56" s="15" t="s">
        <v>5191</v>
      </c>
      <c r="E56" s="109" t="s">
        <v>5192</v>
      </c>
      <c r="F56" s="102"/>
      <c r="G56" s="102"/>
      <c r="H56" s="102"/>
      <c r="I56" s="102"/>
      <c r="J56" s="102"/>
      <c r="K56" s="102"/>
      <c r="L56" s="102"/>
      <c r="M56" s="102"/>
      <c r="N56" s="102"/>
      <c r="O56" s="102"/>
    </row>
    <row r="57" customFormat="false" ht="30.75" hidden="false" customHeight="true" outlineLevel="0" collapsed="false">
      <c r="A57" s="102"/>
      <c r="B57" s="110" t="s">
        <v>5193</v>
      </c>
      <c r="C57" s="111" t="s">
        <v>5194</v>
      </c>
      <c r="D57" s="15" t="s">
        <v>5195</v>
      </c>
      <c r="E57" s="109" t="s">
        <v>5196</v>
      </c>
      <c r="F57" s="102"/>
      <c r="G57" s="102"/>
      <c r="H57" s="102"/>
      <c r="I57" s="102"/>
      <c r="J57" s="102"/>
      <c r="K57" s="102"/>
      <c r="L57" s="102"/>
      <c r="M57" s="102"/>
      <c r="N57" s="102"/>
      <c r="O57" s="102"/>
    </row>
    <row r="58" customFormat="false" ht="15" hidden="false" customHeight="true" outlineLevel="0" collapsed="false">
      <c r="A58" s="102"/>
      <c r="B58" s="102"/>
      <c r="C58" s="102"/>
      <c r="D58" s="102"/>
      <c r="E58" s="102"/>
      <c r="F58" s="102"/>
      <c r="G58" s="102"/>
      <c r="H58" s="102"/>
      <c r="I58" s="102"/>
      <c r="J58" s="102"/>
      <c r="K58" s="102"/>
      <c r="L58" s="102"/>
      <c r="M58" s="102"/>
      <c r="N58" s="102"/>
      <c r="O58" s="102"/>
    </row>
    <row r="59" customFormat="false" ht="17.25" hidden="false" customHeight="true" outlineLevel="0" collapsed="false">
      <c r="A59" s="102"/>
      <c r="B59" s="108" t="s">
        <v>5197</v>
      </c>
      <c r="C59" s="108" t="s">
        <v>5198</v>
      </c>
      <c r="D59" s="108"/>
      <c r="E59" s="108"/>
      <c r="F59" s="108"/>
      <c r="G59" s="108"/>
      <c r="H59" s="102"/>
      <c r="I59" s="102"/>
      <c r="J59" s="102"/>
      <c r="K59" s="102"/>
      <c r="L59" s="102"/>
      <c r="M59" s="102"/>
      <c r="N59" s="102"/>
      <c r="O59" s="102"/>
    </row>
    <row r="60" customFormat="false" ht="31.5" hidden="false" customHeight="true" outlineLevel="0" collapsed="false">
      <c r="A60" s="102"/>
      <c r="B60" s="110" t="s">
        <v>5199</v>
      </c>
      <c r="C60" s="15" t="s">
        <v>5200</v>
      </c>
      <c r="D60" s="15"/>
      <c r="E60" s="15"/>
      <c r="F60" s="15"/>
      <c r="G60" s="15"/>
      <c r="H60" s="102"/>
      <c r="I60" s="102"/>
      <c r="J60" s="102"/>
      <c r="K60" s="102"/>
      <c r="L60" s="102"/>
      <c r="M60" s="102"/>
      <c r="N60" s="102"/>
      <c r="O60" s="102"/>
    </row>
    <row r="61" customFormat="false" ht="17.25" hidden="false" customHeight="true" outlineLevel="0" collapsed="false">
      <c r="A61" s="102"/>
      <c r="B61" s="110" t="s">
        <v>5201</v>
      </c>
      <c r="C61" s="15" t="s">
        <v>5202</v>
      </c>
      <c r="D61" s="15"/>
      <c r="E61" s="15"/>
      <c r="F61" s="15"/>
      <c r="G61" s="15"/>
      <c r="H61" s="102"/>
      <c r="I61" s="102"/>
      <c r="J61" s="102"/>
      <c r="K61" s="102"/>
      <c r="L61" s="102"/>
      <c r="M61" s="102"/>
      <c r="N61" s="102"/>
      <c r="O61" s="102"/>
    </row>
    <row r="62" customFormat="false" ht="31.5" hidden="false" customHeight="true" outlineLevel="0" collapsed="false">
      <c r="A62" s="102"/>
      <c r="B62" s="110" t="s">
        <v>5123</v>
      </c>
      <c r="C62" s="15" t="s">
        <v>5203</v>
      </c>
      <c r="D62" s="15"/>
      <c r="E62" s="15"/>
      <c r="F62" s="15"/>
      <c r="G62" s="15"/>
      <c r="H62" s="102"/>
      <c r="I62" s="102"/>
      <c r="J62" s="102"/>
      <c r="K62" s="102"/>
      <c r="L62" s="102"/>
      <c r="M62" s="102"/>
      <c r="N62" s="102"/>
      <c r="O62" s="102"/>
    </row>
    <row r="63" customFormat="false" ht="17.25" hidden="false" customHeight="true" outlineLevel="0" collapsed="false">
      <c r="A63" s="102"/>
      <c r="B63" s="110" t="s">
        <v>5204</v>
      </c>
      <c r="C63" s="15" t="s">
        <v>5205</v>
      </c>
      <c r="D63" s="15"/>
      <c r="E63" s="15"/>
      <c r="F63" s="15"/>
      <c r="G63" s="15"/>
      <c r="H63" s="102"/>
      <c r="I63" s="102"/>
      <c r="J63" s="102"/>
      <c r="K63" s="102"/>
      <c r="L63" s="102"/>
      <c r="M63" s="102"/>
      <c r="N63" s="102"/>
      <c r="O63" s="102"/>
    </row>
    <row r="64" customFormat="false" ht="31.5" hidden="false" customHeight="true" outlineLevel="0" collapsed="false">
      <c r="A64" s="102"/>
      <c r="B64" s="110" t="s">
        <v>5206</v>
      </c>
      <c r="C64" s="15" t="s">
        <v>5207</v>
      </c>
      <c r="D64" s="15"/>
      <c r="E64" s="15"/>
      <c r="F64" s="15"/>
      <c r="G64" s="15"/>
      <c r="H64" s="102"/>
      <c r="I64" s="102"/>
      <c r="J64" s="102"/>
      <c r="K64" s="102"/>
      <c r="L64" s="102"/>
      <c r="M64" s="102"/>
      <c r="N64" s="102"/>
      <c r="O64" s="102"/>
    </row>
    <row r="65" customFormat="false" ht="17.25" hidden="false" customHeight="true" outlineLevel="0" collapsed="false">
      <c r="A65" s="102"/>
      <c r="B65" s="110" t="s">
        <v>5208</v>
      </c>
      <c r="C65" s="15" t="s">
        <v>5209</v>
      </c>
      <c r="D65" s="15"/>
      <c r="E65" s="15"/>
      <c r="F65" s="15"/>
      <c r="G65" s="15"/>
      <c r="H65" s="102"/>
      <c r="I65" s="102"/>
      <c r="J65" s="102"/>
      <c r="K65" s="102"/>
      <c r="L65" s="102"/>
      <c r="M65" s="102"/>
      <c r="N65" s="102"/>
      <c r="O65" s="102"/>
    </row>
    <row r="66" customFormat="false" ht="15" hidden="false" customHeight="true" outlineLevel="0" collapsed="false">
      <c r="A66" s="102"/>
      <c r="B66" s="102"/>
      <c r="C66" s="102"/>
      <c r="D66" s="102"/>
      <c r="E66" s="102"/>
      <c r="F66" s="102"/>
      <c r="G66" s="102"/>
      <c r="H66" s="102"/>
      <c r="I66" s="102"/>
      <c r="J66" s="102"/>
      <c r="K66" s="102"/>
      <c r="L66" s="102"/>
      <c r="M66" s="102"/>
      <c r="N66" s="102"/>
      <c r="O66" s="102"/>
    </row>
    <row r="67" customFormat="false" ht="15.75" hidden="false" customHeight="true" outlineLevel="0" collapsed="false">
      <c r="A67" s="102"/>
      <c r="B67" s="103" t="s">
        <v>1493</v>
      </c>
      <c r="C67" s="104"/>
      <c r="D67" s="104"/>
      <c r="E67" s="104"/>
      <c r="F67" s="104"/>
      <c r="G67" s="104"/>
      <c r="H67" s="104"/>
      <c r="I67" s="104"/>
      <c r="J67" s="104"/>
      <c r="K67" s="104"/>
      <c r="L67" s="102"/>
      <c r="M67" s="102"/>
      <c r="N67" s="102"/>
      <c r="O67" s="102"/>
    </row>
    <row r="68" customFormat="false" ht="18.75" hidden="false" customHeight="true" outlineLevel="0" collapsed="false">
      <c r="A68" s="102"/>
      <c r="B68" s="105" t="s">
        <v>1494</v>
      </c>
      <c r="C68" s="117" t="str">
        <f aca="false">IF(C48="No",IF(C47&gt;4,"Start with E-44 Screening: too many factors to factorial-test them all at once.","Run a full factorial on E-42: few enough factors to test everything."),IF(C47&lt;=4,"Confirm with a full factorial on E-42.","Use a fractional factorial on E-43 to keep the run count manageable."))</f>
        <v>Run a full factorial on E-42: few enough factors to test everything.</v>
      </c>
      <c r="D68" s="117"/>
      <c r="E68" s="117"/>
      <c r="F68" s="102"/>
      <c r="G68" s="102"/>
      <c r="H68" s="102"/>
      <c r="I68" s="102"/>
      <c r="J68" s="102"/>
      <c r="K68" s="102"/>
      <c r="L68" s="102"/>
      <c r="M68" s="102"/>
      <c r="N68" s="102"/>
      <c r="O68" s="102"/>
    </row>
    <row r="69" customFormat="false" ht="15" hidden="false" customHeight="true" outlineLevel="0" collapsed="false">
      <c r="A69" s="102"/>
      <c r="B69" s="102"/>
      <c r="C69" s="102"/>
      <c r="D69" s="102"/>
      <c r="E69" s="102"/>
      <c r="F69" s="102"/>
      <c r="G69" s="102"/>
      <c r="H69" s="102"/>
      <c r="I69" s="102"/>
      <c r="J69" s="102"/>
      <c r="K69" s="102"/>
      <c r="L69" s="102"/>
      <c r="M69" s="102"/>
      <c r="N69" s="102"/>
      <c r="O69" s="102"/>
    </row>
    <row r="70" customFormat="false" ht="16.5" hidden="false" customHeight="true" outlineLevel="0" collapsed="false">
      <c r="A70" s="102"/>
      <c r="B70" s="108" t="s">
        <v>1495</v>
      </c>
      <c r="C70" s="108" t="s">
        <v>1496</v>
      </c>
      <c r="D70" s="108" t="s">
        <v>1497</v>
      </c>
      <c r="E70" s="102"/>
      <c r="F70" s="102"/>
      <c r="G70" s="102"/>
      <c r="H70" s="102"/>
      <c r="I70" s="102"/>
      <c r="J70" s="102"/>
      <c r="K70" s="102"/>
      <c r="L70" s="102"/>
      <c r="M70" s="102"/>
      <c r="N70" s="102"/>
      <c r="O70" s="102"/>
    </row>
    <row r="71" customFormat="false" ht="30.75" hidden="false" customHeight="true" outlineLevel="0" collapsed="false">
      <c r="A71" s="102"/>
      <c r="B71" s="110" t="s">
        <v>5210</v>
      </c>
      <c r="C71" s="111" t="s">
        <v>5211</v>
      </c>
      <c r="D71" s="15" t="s">
        <v>5212</v>
      </c>
      <c r="E71" s="102"/>
      <c r="F71" s="102"/>
      <c r="G71" s="102"/>
      <c r="H71" s="102"/>
      <c r="I71" s="102"/>
      <c r="J71" s="102"/>
      <c r="K71" s="102"/>
      <c r="L71" s="102"/>
      <c r="M71" s="102"/>
      <c r="N71" s="102"/>
      <c r="O71" s="102"/>
    </row>
    <row r="72" customFormat="false" ht="30.75" hidden="false" customHeight="true" outlineLevel="0" collapsed="false">
      <c r="A72" s="102"/>
      <c r="B72" s="110" t="s">
        <v>5210</v>
      </c>
      <c r="C72" s="111" t="s">
        <v>5213</v>
      </c>
      <c r="D72" s="15" t="s">
        <v>5214</v>
      </c>
      <c r="E72" s="102"/>
      <c r="F72" s="102"/>
      <c r="G72" s="102"/>
      <c r="H72" s="102"/>
      <c r="I72" s="102"/>
      <c r="J72" s="102"/>
      <c r="K72" s="102"/>
      <c r="L72" s="102"/>
      <c r="M72" s="102"/>
      <c r="N72" s="102"/>
      <c r="O72" s="102"/>
    </row>
    <row r="73" customFormat="false" ht="30.75" hidden="false" customHeight="true" outlineLevel="0" collapsed="false">
      <c r="A73" s="102"/>
      <c r="B73" s="110" t="s">
        <v>5215</v>
      </c>
      <c r="C73" s="111" t="s">
        <v>5216</v>
      </c>
      <c r="D73" s="15" t="s">
        <v>5217</v>
      </c>
      <c r="E73" s="102"/>
      <c r="F73" s="102"/>
      <c r="G73" s="102"/>
      <c r="H73" s="102"/>
      <c r="I73" s="102"/>
      <c r="J73" s="102"/>
      <c r="K73" s="102"/>
      <c r="L73" s="102"/>
      <c r="M73" s="102"/>
      <c r="N73" s="102"/>
      <c r="O73" s="102"/>
    </row>
    <row r="74" customFormat="false" ht="15" hidden="false" customHeight="true" outlineLevel="0" collapsed="false">
      <c r="A74" s="102"/>
      <c r="B74" s="102"/>
      <c r="C74" s="102"/>
      <c r="D74" s="102"/>
      <c r="E74" s="102"/>
      <c r="F74" s="102"/>
      <c r="G74" s="102"/>
      <c r="H74" s="102"/>
      <c r="I74" s="102"/>
      <c r="J74" s="102"/>
      <c r="K74" s="102"/>
      <c r="L74" s="102"/>
      <c r="M74" s="102"/>
      <c r="N74" s="102"/>
      <c r="O74" s="102"/>
    </row>
    <row r="75" customFormat="false" ht="15" hidden="false" customHeight="true" outlineLevel="0" collapsed="false">
      <c r="A75" s="102"/>
      <c r="B75" s="105" t="s">
        <v>1507</v>
      </c>
      <c r="C75" s="102"/>
      <c r="D75" s="102"/>
      <c r="E75" s="102"/>
      <c r="F75" s="102"/>
      <c r="G75" s="102"/>
      <c r="H75" s="102"/>
      <c r="I75" s="102"/>
      <c r="J75" s="102"/>
      <c r="K75" s="102"/>
      <c r="L75" s="102"/>
      <c r="M75" s="102"/>
      <c r="N75" s="102"/>
      <c r="O75" s="102"/>
    </row>
    <row r="76" customFormat="false" ht="17.25" hidden="false" customHeight="true" outlineLevel="0" collapsed="false">
      <c r="A76" s="102"/>
      <c r="B76" s="106" t="s">
        <v>5218</v>
      </c>
      <c r="C76" s="106"/>
      <c r="D76" s="106"/>
      <c r="E76" s="106"/>
      <c r="F76" s="106"/>
      <c r="G76" s="106"/>
      <c r="H76" s="106"/>
      <c r="I76" s="102"/>
      <c r="J76" s="102"/>
      <c r="K76" s="102"/>
      <c r="L76" s="102"/>
      <c r="M76" s="102"/>
      <c r="N76" s="102"/>
      <c r="O76" s="102"/>
    </row>
    <row r="77" customFormat="false" ht="17.25" hidden="false" customHeight="true" outlineLevel="0" collapsed="false">
      <c r="A77" s="102"/>
      <c r="B77" s="106" t="s">
        <v>5219</v>
      </c>
      <c r="C77" s="106"/>
      <c r="D77" s="106"/>
      <c r="E77" s="106"/>
      <c r="F77" s="106"/>
      <c r="G77" s="106"/>
      <c r="H77" s="106"/>
      <c r="I77" s="102"/>
      <c r="J77" s="102"/>
      <c r="K77" s="102"/>
      <c r="L77" s="102"/>
      <c r="M77" s="102"/>
      <c r="N77" s="102"/>
      <c r="O77" s="102"/>
    </row>
    <row r="78" customFormat="false" ht="17.25" hidden="false" customHeight="true" outlineLevel="0" collapsed="false">
      <c r="A78" s="102"/>
      <c r="B78" s="106" t="s">
        <v>5220</v>
      </c>
      <c r="C78" s="106"/>
      <c r="D78" s="106"/>
      <c r="E78" s="106"/>
      <c r="F78" s="106"/>
      <c r="G78" s="106"/>
      <c r="H78" s="106"/>
      <c r="I78" s="102"/>
      <c r="J78" s="102"/>
      <c r="K78" s="102"/>
      <c r="L78" s="102"/>
      <c r="M78" s="102"/>
      <c r="N78" s="102"/>
      <c r="O78" s="102"/>
    </row>
    <row r="79" customFormat="false" ht="17.25" hidden="false" customHeight="true" outlineLevel="0" collapsed="false">
      <c r="A79" s="102"/>
      <c r="B79" s="106" t="s">
        <v>5221</v>
      </c>
      <c r="C79" s="106"/>
      <c r="D79" s="106"/>
      <c r="E79" s="106"/>
      <c r="F79" s="106"/>
      <c r="G79" s="106"/>
      <c r="H79" s="106"/>
      <c r="I79" s="102"/>
      <c r="J79" s="102"/>
      <c r="K79" s="102"/>
      <c r="L79" s="102"/>
      <c r="M79" s="102"/>
      <c r="N79" s="102"/>
      <c r="O79" s="102"/>
    </row>
    <row r="80" customFormat="false" ht="15" hidden="false" customHeight="true" outlineLevel="0" collapsed="false">
      <c r="A80" s="102"/>
      <c r="B80" s="102"/>
      <c r="C80" s="102"/>
      <c r="D80" s="102"/>
      <c r="E80" s="102"/>
      <c r="F80" s="102"/>
      <c r="G80" s="102"/>
      <c r="H80" s="102"/>
      <c r="I80" s="102"/>
      <c r="J80" s="102"/>
      <c r="K80" s="102"/>
      <c r="L80" s="102"/>
      <c r="M80" s="102"/>
      <c r="N80" s="102"/>
      <c r="O80" s="102"/>
    </row>
    <row r="81" customFormat="false" ht="15.75" hidden="false" customHeight="true" outlineLevel="0" collapsed="false">
      <c r="A81" s="102"/>
      <c r="B81" s="103" t="s">
        <v>1513</v>
      </c>
      <c r="C81" s="104"/>
      <c r="D81" s="104"/>
      <c r="E81" s="104"/>
      <c r="F81" s="104"/>
      <c r="G81" s="104"/>
      <c r="H81" s="104"/>
      <c r="I81" s="104"/>
      <c r="J81" s="104"/>
      <c r="K81" s="104"/>
      <c r="L81" s="102"/>
      <c r="M81" s="102"/>
      <c r="N81" s="102"/>
      <c r="O81" s="102"/>
    </row>
    <row r="82" customFormat="false" ht="17.25" hidden="false" customHeight="true" outlineLevel="0" collapsed="false">
      <c r="A82" s="102"/>
      <c r="B82" s="118" t="s">
        <v>1514</v>
      </c>
      <c r="C82" s="118"/>
      <c r="D82" s="118"/>
      <c r="E82" s="118"/>
      <c r="F82" s="102"/>
      <c r="G82" s="102"/>
      <c r="H82" s="102"/>
      <c r="I82" s="102"/>
      <c r="J82" s="102"/>
      <c r="K82" s="102"/>
      <c r="L82" s="102"/>
      <c r="M82" s="102"/>
      <c r="N82" s="119" t="s">
        <v>1515</v>
      </c>
      <c r="O82" s="102"/>
    </row>
    <row r="83" customFormat="false" ht="44.25" hidden="false" customHeight="true" outlineLevel="0" collapsed="false">
      <c r="A83" s="102"/>
      <c r="B83" s="106" t="s">
        <v>5222</v>
      </c>
      <c r="C83" s="106"/>
      <c r="D83" s="106"/>
      <c r="E83" s="106"/>
      <c r="F83" s="102"/>
      <c r="G83" s="102"/>
      <c r="H83" s="102"/>
      <c r="I83" s="102"/>
      <c r="J83" s="102"/>
      <c r="K83" s="102"/>
      <c r="L83" s="102"/>
      <c r="M83" s="102"/>
      <c r="N83" s="120" t="s">
        <v>5223</v>
      </c>
      <c r="O83" s="102"/>
    </row>
    <row r="84" customFormat="false" ht="44.25" hidden="false" customHeight="true" outlineLevel="0" collapsed="false">
      <c r="A84" s="102"/>
      <c r="B84" s="106" t="s">
        <v>5224</v>
      </c>
      <c r="C84" s="106"/>
      <c r="D84" s="106"/>
      <c r="E84" s="106"/>
      <c r="F84" s="102"/>
      <c r="G84" s="102"/>
      <c r="H84" s="102"/>
      <c r="I84" s="102"/>
      <c r="J84" s="102"/>
      <c r="K84" s="102"/>
      <c r="L84" s="102"/>
      <c r="M84" s="102"/>
      <c r="N84" s="120" t="s">
        <v>5225</v>
      </c>
      <c r="O84" s="102"/>
    </row>
    <row r="85" customFormat="false" ht="44.25" hidden="false" customHeight="true" outlineLevel="0" collapsed="false">
      <c r="A85" s="102"/>
      <c r="B85" s="106" t="s">
        <v>5226</v>
      </c>
      <c r="C85" s="106"/>
      <c r="D85" s="106"/>
      <c r="E85" s="106"/>
      <c r="F85" s="102"/>
      <c r="G85" s="102"/>
      <c r="H85" s="102"/>
      <c r="I85" s="102"/>
      <c r="J85" s="102"/>
      <c r="K85" s="102"/>
      <c r="L85" s="102"/>
      <c r="M85" s="102"/>
      <c r="N85" s="120" t="s">
        <v>5227</v>
      </c>
      <c r="O85" s="102"/>
    </row>
    <row r="86" customFormat="false" ht="15" hidden="false" customHeight="true" outlineLevel="0" collapsed="false">
      <c r="A86" s="102"/>
      <c r="B86" s="102"/>
      <c r="C86" s="102"/>
      <c r="D86" s="102"/>
      <c r="E86" s="102"/>
      <c r="F86" s="102"/>
      <c r="G86" s="102"/>
      <c r="H86" s="102"/>
      <c r="I86" s="102"/>
      <c r="J86" s="102"/>
      <c r="K86" s="102"/>
      <c r="L86" s="102"/>
      <c r="M86" s="102"/>
      <c r="N86" s="102"/>
      <c r="O86" s="102"/>
    </row>
    <row r="87" customFormat="false" ht="15.75" hidden="false" customHeight="true" outlineLevel="0" collapsed="false">
      <c r="A87" s="102"/>
      <c r="B87" s="103" t="s">
        <v>1522</v>
      </c>
      <c r="C87" s="104"/>
      <c r="D87" s="104"/>
      <c r="E87" s="104"/>
      <c r="F87" s="104"/>
      <c r="G87" s="104"/>
      <c r="H87" s="104"/>
      <c r="I87" s="104"/>
      <c r="J87" s="104"/>
      <c r="K87" s="104"/>
      <c r="L87" s="102"/>
      <c r="M87" s="102"/>
      <c r="N87" s="102"/>
      <c r="O87" s="102"/>
    </row>
    <row r="88" customFormat="false" ht="16.5" hidden="false" customHeight="true" outlineLevel="0" collapsed="false">
      <c r="A88" s="102"/>
      <c r="B88" s="108" t="s">
        <v>1523</v>
      </c>
      <c r="C88" s="108" t="s">
        <v>1524</v>
      </c>
      <c r="D88" s="108" t="s">
        <v>1615</v>
      </c>
      <c r="E88" s="102"/>
      <c r="F88" s="102"/>
      <c r="G88" s="102"/>
      <c r="H88" s="102"/>
      <c r="I88" s="102"/>
      <c r="J88" s="102"/>
      <c r="K88" s="102"/>
      <c r="L88" s="102"/>
      <c r="M88" s="102"/>
      <c r="N88" s="102"/>
      <c r="O88" s="102"/>
    </row>
    <row r="89" customFormat="false" ht="15" hidden="false" customHeight="true" outlineLevel="0" collapsed="false">
      <c r="A89" s="102"/>
      <c r="B89" s="121" t="s">
        <v>1035</v>
      </c>
      <c r="C89" s="121" t="s">
        <v>1039</v>
      </c>
      <c r="D89" s="121" t="s">
        <v>5228</v>
      </c>
      <c r="E89" s="102"/>
      <c r="F89" s="102"/>
      <c r="G89" s="102"/>
      <c r="H89" s="102"/>
      <c r="I89" s="102"/>
      <c r="J89" s="102"/>
      <c r="K89" s="102"/>
      <c r="L89" s="102"/>
      <c r="M89" s="102"/>
      <c r="N89" s="102"/>
      <c r="O89" s="102"/>
    </row>
    <row r="90" customFormat="false" ht="15" hidden="false" customHeight="true" outlineLevel="0" collapsed="false">
      <c r="A90" s="102"/>
      <c r="B90" s="102"/>
      <c r="C90" s="102"/>
      <c r="D90" s="102"/>
      <c r="E90" s="102"/>
      <c r="F90" s="102"/>
      <c r="G90" s="102"/>
      <c r="H90" s="102"/>
      <c r="I90" s="102"/>
      <c r="J90" s="102"/>
      <c r="K90" s="102"/>
      <c r="L90" s="102"/>
      <c r="M90" s="102"/>
      <c r="N90" s="102"/>
      <c r="O90" s="102"/>
    </row>
    <row r="91" customFormat="false" ht="15" hidden="false" customHeight="true" outlineLevel="0" collapsed="false">
      <c r="A91" s="102"/>
      <c r="B91" s="102"/>
      <c r="C91" s="102"/>
      <c r="D91" s="102"/>
      <c r="E91" s="102"/>
      <c r="F91" s="102"/>
      <c r="G91" s="102"/>
      <c r="H91" s="102"/>
      <c r="I91" s="102"/>
      <c r="J91" s="102"/>
      <c r="K91" s="102"/>
      <c r="L91" s="102"/>
      <c r="M91" s="102"/>
      <c r="N91" s="102"/>
      <c r="O91" s="102"/>
    </row>
    <row r="92" customFormat="false" ht="15" hidden="false" customHeight="true" outlineLevel="0" collapsed="false">
      <c r="A92" s="102"/>
      <c r="B92" s="102"/>
      <c r="C92" s="102"/>
      <c r="D92" s="102"/>
      <c r="E92" s="102"/>
      <c r="F92" s="102"/>
      <c r="G92" s="102"/>
      <c r="H92" s="102"/>
      <c r="I92" s="102"/>
      <c r="J92" s="102"/>
      <c r="K92" s="102"/>
      <c r="L92" s="102"/>
      <c r="M92" s="102"/>
      <c r="N92" s="102"/>
      <c r="O92" s="102"/>
    </row>
    <row r="93" customFormat="false" ht="15" hidden="false" customHeight="true" outlineLevel="0" collapsed="false">
      <c r="A93" s="102"/>
      <c r="B93" s="102"/>
      <c r="C93" s="102"/>
      <c r="D93" s="102"/>
      <c r="E93" s="102"/>
      <c r="F93" s="102"/>
      <c r="G93" s="102"/>
      <c r="H93" s="102"/>
      <c r="I93" s="102"/>
      <c r="J93" s="102"/>
      <c r="K93" s="102"/>
      <c r="L93" s="102"/>
      <c r="M93" s="102"/>
      <c r="N93" s="102"/>
      <c r="O93" s="102"/>
    </row>
    <row r="94" customFormat="false" ht="15" hidden="false" customHeight="true" outlineLevel="0" collapsed="false">
      <c r="A94" s="102"/>
      <c r="B94" s="102"/>
      <c r="C94" s="102"/>
      <c r="D94" s="102"/>
      <c r="E94" s="102"/>
      <c r="F94" s="102"/>
      <c r="G94" s="102"/>
      <c r="H94" s="102"/>
      <c r="I94" s="102"/>
      <c r="J94" s="102"/>
      <c r="K94" s="102"/>
      <c r="L94" s="102"/>
      <c r="M94" s="102"/>
      <c r="N94" s="102"/>
      <c r="O94" s="102"/>
    </row>
    <row r="95" customFormat="false" ht="15" hidden="false" customHeight="true" outlineLevel="0" collapsed="false">
      <c r="A95" s="102"/>
      <c r="B95" s="102"/>
      <c r="C95" s="102"/>
      <c r="D95" s="102"/>
      <c r="E95" s="102"/>
      <c r="F95" s="102"/>
      <c r="G95" s="102"/>
      <c r="H95" s="102"/>
      <c r="I95" s="102"/>
      <c r="J95" s="102"/>
      <c r="K95" s="102"/>
      <c r="L95" s="102"/>
      <c r="M95" s="102"/>
      <c r="N95" s="102"/>
      <c r="O95" s="102"/>
    </row>
    <row r="96" customFormat="false" ht="15" hidden="false" customHeight="true" outlineLevel="0" collapsed="false">
      <c r="A96" s="102"/>
      <c r="B96" s="102"/>
      <c r="C96" s="102"/>
      <c r="D96" s="102"/>
      <c r="E96" s="102"/>
      <c r="F96" s="102"/>
      <c r="G96" s="102"/>
      <c r="H96" s="102"/>
      <c r="I96" s="102"/>
      <c r="J96" s="102"/>
      <c r="K96" s="102"/>
      <c r="L96" s="102"/>
      <c r="M96" s="102"/>
      <c r="N96" s="102"/>
      <c r="O96" s="102"/>
    </row>
    <row r="97" customFormat="false" ht="15" hidden="false" customHeight="true" outlineLevel="0" collapsed="false">
      <c r="A97" s="102"/>
      <c r="B97" s="102"/>
      <c r="C97" s="102"/>
      <c r="D97" s="102"/>
      <c r="E97" s="102"/>
      <c r="F97" s="102"/>
      <c r="G97" s="102"/>
      <c r="H97" s="102"/>
      <c r="I97" s="102"/>
      <c r="J97" s="102"/>
      <c r="K97" s="102"/>
      <c r="L97" s="102"/>
      <c r="M97" s="102"/>
      <c r="N97" s="102"/>
      <c r="O97" s="102"/>
    </row>
    <row r="98" customFormat="false" ht="15" hidden="false" customHeight="true" outlineLevel="0" collapsed="false">
      <c r="A98" s="102"/>
      <c r="B98" s="102"/>
      <c r="C98" s="102"/>
      <c r="D98" s="102"/>
      <c r="E98" s="102"/>
      <c r="F98" s="102"/>
      <c r="G98" s="102"/>
      <c r="H98" s="102"/>
      <c r="I98" s="102"/>
      <c r="J98" s="102"/>
      <c r="K98" s="102"/>
      <c r="L98" s="102"/>
      <c r="M98" s="102"/>
      <c r="N98" s="102"/>
      <c r="O98" s="102"/>
    </row>
    <row r="99" customFormat="false" ht="15" hidden="false" customHeight="true" outlineLevel="0" collapsed="false">
      <c r="A99" s="102"/>
      <c r="B99" s="102"/>
      <c r="C99" s="102"/>
      <c r="D99" s="102"/>
      <c r="E99" s="102"/>
      <c r="F99" s="102"/>
      <c r="G99" s="102"/>
      <c r="H99" s="102"/>
      <c r="I99" s="102"/>
      <c r="J99" s="102"/>
      <c r="K99" s="102"/>
      <c r="L99" s="102"/>
      <c r="M99" s="102"/>
      <c r="N99" s="102"/>
      <c r="O99" s="102"/>
    </row>
    <row r="100" customFormat="false" ht="15" hidden="false" customHeight="true" outlineLevel="0" collapsed="false">
      <c r="A100" s="102"/>
      <c r="B100" s="102"/>
      <c r="C100" s="102"/>
      <c r="D100" s="102"/>
      <c r="E100" s="102"/>
      <c r="F100" s="102"/>
      <c r="G100" s="102"/>
      <c r="H100" s="102"/>
      <c r="I100" s="102"/>
      <c r="J100" s="102"/>
      <c r="K100" s="102"/>
      <c r="L100" s="102"/>
      <c r="M100" s="102"/>
      <c r="N100" s="102"/>
      <c r="O100" s="102"/>
    </row>
    <row r="101" customFormat="false" ht="15" hidden="false" customHeight="true" outlineLevel="0" collapsed="false">
      <c r="A101" s="102"/>
      <c r="B101" s="102"/>
      <c r="C101" s="102"/>
      <c r="D101" s="102"/>
      <c r="E101" s="102"/>
      <c r="F101" s="102"/>
      <c r="G101" s="102"/>
      <c r="H101" s="102"/>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 hidden="false" customHeight="true" outlineLevel="0" collapsed="false">
      <c r="A120" s="102"/>
      <c r="B120" s="102"/>
      <c r="C120" s="102"/>
      <c r="D120" s="102"/>
      <c r="E120" s="102"/>
      <c r="F120" s="102"/>
      <c r="G120" s="102"/>
      <c r="H120" s="102"/>
      <c r="I120" s="102"/>
      <c r="J120" s="102"/>
      <c r="K120" s="102"/>
      <c r="L120" s="102"/>
      <c r="M120" s="102"/>
      <c r="N120" s="102"/>
      <c r="O120" s="102"/>
    </row>
    <row r="121" customFormat="false" ht="15" hidden="false" customHeight="true" outlineLevel="0" collapsed="false">
      <c r="A121" s="102"/>
      <c r="B121" s="102"/>
      <c r="C121" s="102"/>
      <c r="D121" s="102"/>
      <c r="E121" s="102"/>
      <c r="F121" s="102"/>
      <c r="G121" s="102"/>
      <c r="H121" s="102"/>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 hidden="false" customHeight="true" outlineLevel="0" collapsed="false">
      <c r="A124" s="102"/>
      <c r="B124" s="102"/>
      <c r="C124" s="102"/>
      <c r="D124" s="102"/>
      <c r="E124" s="102"/>
      <c r="F124" s="102"/>
      <c r="G124" s="102"/>
      <c r="H124" s="102"/>
      <c r="I124" s="102"/>
      <c r="J124" s="102"/>
      <c r="K124" s="102"/>
      <c r="L124" s="102"/>
      <c r="M124" s="102"/>
      <c r="N124" s="102"/>
      <c r="O124" s="102"/>
    </row>
    <row r="125" customFormat="false" ht="15" hidden="false" customHeight="true" outlineLevel="0" collapsed="false">
      <c r="A125" s="102"/>
      <c r="B125" s="102"/>
      <c r="C125" s="102"/>
      <c r="D125" s="102"/>
      <c r="E125" s="102"/>
      <c r="F125" s="102"/>
      <c r="G125" s="102"/>
      <c r="H125" s="102"/>
      <c r="I125" s="102"/>
      <c r="J125" s="102"/>
      <c r="K125" s="102"/>
      <c r="L125" s="102"/>
      <c r="M125" s="102"/>
      <c r="N125" s="102"/>
      <c r="O125" s="102"/>
    </row>
    <row r="126" customFormat="false" ht="15" hidden="false" customHeight="true" outlineLevel="0" collapsed="false">
      <c r="A126" s="102"/>
      <c r="B126" s="102"/>
      <c r="C126" s="102"/>
      <c r="D126" s="102"/>
      <c r="E126" s="102"/>
      <c r="F126" s="102"/>
      <c r="G126" s="102"/>
      <c r="H126" s="102"/>
      <c r="I126" s="102"/>
      <c r="J126" s="102"/>
      <c r="K126" s="102"/>
      <c r="L126" s="102"/>
      <c r="M126" s="102"/>
      <c r="N126" s="102"/>
      <c r="O126" s="102"/>
    </row>
    <row r="127" customFormat="false" ht="15" hidden="false" customHeight="true" outlineLevel="0" collapsed="false">
      <c r="A127" s="102"/>
      <c r="B127" s="102"/>
      <c r="C127" s="102"/>
      <c r="D127" s="102"/>
      <c r="E127" s="102"/>
      <c r="F127" s="102"/>
      <c r="G127" s="102"/>
      <c r="H127" s="102"/>
      <c r="I127" s="102"/>
      <c r="J127" s="102"/>
      <c r="K127" s="102"/>
      <c r="L127" s="102"/>
      <c r="M127" s="102"/>
      <c r="N127" s="102"/>
      <c r="O127" s="102"/>
    </row>
    <row r="128" customFormat="false" ht="15" hidden="false" customHeight="true" outlineLevel="0" collapsed="false">
      <c r="A128" s="102"/>
      <c r="B128" s="102"/>
      <c r="C128" s="102"/>
      <c r="D128" s="102"/>
      <c r="E128" s="102"/>
      <c r="F128" s="102"/>
      <c r="G128" s="102"/>
      <c r="H128" s="102"/>
      <c r="I128" s="102"/>
      <c r="J128" s="102"/>
      <c r="K128" s="102"/>
      <c r="L128" s="102"/>
      <c r="M128" s="102"/>
      <c r="N128" s="102"/>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5" hidden="false" customHeight="true" outlineLevel="0" collapsed="false">
      <c r="A130" s="102"/>
      <c r="B130" s="102"/>
      <c r="C130" s="102"/>
      <c r="D130" s="102"/>
      <c r="E130" s="102"/>
      <c r="F130" s="102"/>
      <c r="G130" s="102"/>
      <c r="H130" s="102"/>
      <c r="I130" s="102"/>
      <c r="J130" s="102"/>
      <c r="K130" s="102"/>
      <c r="L130" s="102"/>
      <c r="M130" s="102"/>
      <c r="N130" s="102"/>
      <c r="O130" s="102"/>
    </row>
    <row r="131" customFormat="false" ht="15" hidden="false" customHeight="true" outlineLevel="0" collapsed="false">
      <c r="A131" s="102"/>
      <c r="B131" s="102"/>
      <c r="C131" s="102"/>
      <c r="D131" s="102"/>
      <c r="E131" s="102"/>
      <c r="F131" s="102"/>
      <c r="G131" s="102"/>
      <c r="H131" s="102"/>
      <c r="I131" s="102"/>
      <c r="J131" s="102"/>
      <c r="K131" s="102"/>
      <c r="L131" s="102"/>
      <c r="M131" s="102"/>
      <c r="N131" s="102"/>
      <c r="O131" s="102"/>
    </row>
    <row r="132" customFormat="false" ht="15" hidden="false" customHeight="true" outlineLevel="0" collapsed="false">
      <c r="A132" s="102"/>
      <c r="B132" s="102"/>
      <c r="C132" s="102"/>
      <c r="D132" s="102"/>
      <c r="E132" s="102"/>
      <c r="F132" s="102"/>
      <c r="G132" s="102"/>
      <c r="H132" s="102"/>
      <c r="I132" s="102"/>
      <c r="J132" s="102"/>
      <c r="K132" s="102"/>
      <c r="L132" s="102"/>
      <c r="M132" s="102"/>
      <c r="N132" s="102"/>
      <c r="O132" s="102"/>
    </row>
    <row r="133" customFormat="false" ht="15" hidden="false" customHeight="true" outlineLevel="0" collapsed="false">
      <c r="A133" s="102"/>
      <c r="B133" s="102"/>
      <c r="C133" s="102"/>
      <c r="D133" s="102"/>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 hidden="false" customHeight="true" outlineLevel="0" collapsed="false">
      <c r="A137" s="102"/>
      <c r="B137" s="102"/>
      <c r="C137" s="102"/>
      <c r="D137" s="102"/>
      <c r="E137" s="102"/>
      <c r="F137" s="102"/>
      <c r="G137" s="102"/>
      <c r="H137" s="102"/>
      <c r="I137" s="102"/>
      <c r="J137" s="102"/>
      <c r="K137" s="102"/>
      <c r="L137" s="102"/>
      <c r="M137" s="102"/>
      <c r="N137" s="102"/>
      <c r="O137" s="102"/>
    </row>
    <row r="138" customFormat="false" ht="15" hidden="false" customHeight="true" outlineLevel="0" collapsed="false">
      <c r="A138" s="102"/>
      <c r="B138" s="102"/>
      <c r="C138" s="102"/>
      <c r="D138" s="102"/>
      <c r="E138" s="102"/>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40">
    <mergeCell ref="B2:J2"/>
    <mergeCell ref="D3:E3"/>
    <mergeCell ref="C6:G6"/>
    <mergeCell ref="C7:G7"/>
    <mergeCell ref="C8:G8"/>
    <mergeCell ref="B11:H13"/>
    <mergeCell ref="B14:H16"/>
    <mergeCell ref="B17:H18"/>
    <mergeCell ref="B21:D21"/>
    <mergeCell ref="E21:H21"/>
    <mergeCell ref="B22:D22"/>
    <mergeCell ref="E22:H22"/>
    <mergeCell ref="B23:D23"/>
    <mergeCell ref="E23:H23"/>
    <mergeCell ref="B24:D24"/>
    <mergeCell ref="E24:H24"/>
    <mergeCell ref="B25:H25"/>
    <mergeCell ref="B33:H33"/>
    <mergeCell ref="B34:H34"/>
    <mergeCell ref="B35:H35"/>
    <mergeCell ref="B36:H36"/>
    <mergeCell ref="B44:H44"/>
    <mergeCell ref="C45:D45"/>
    <mergeCell ref="C50:D50"/>
    <mergeCell ref="C59:G59"/>
    <mergeCell ref="C60:G60"/>
    <mergeCell ref="C61:G61"/>
    <mergeCell ref="C62:G62"/>
    <mergeCell ref="C63:G63"/>
    <mergeCell ref="C64:G64"/>
    <mergeCell ref="C65:G65"/>
    <mergeCell ref="C68:E68"/>
    <mergeCell ref="B76:H76"/>
    <mergeCell ref="B77:H77"/>
    <mergeCell ref="B78:H78"/>
    <mergeCell ref="B79:H79"/>
    <mergeCell ref="B82:E82"/>
    <mergeCell ref="B83:E83"/>
    <mergeCell ref="B84:E84"/>
    <mergeCell ref="B85:E85"/>
  </mergeCells>
  <hyperlinks>
    <hyperlink ref="B3" location="'N-03 Index DMAIC'!A1" display="← Back to Index"/>
    <hyperlink ref="E28" location="'E-59 Gage R and R'!A1" display="E-59  Gage R&amp;R: ANOVA and Range Methods"/>
    <hyperlink ref="E29" location="'E-40 Multi-Vari Analysis'!A1" display="E-40  Multi-Vari Analysis"/>
    <hyperlink ref="E30" location="'E-05 Sampling Subgroups'!A1" display="E-05  Sampling Strategies and Rational Subgrouping"/>
    <hyperlink ref="E53" location="'E-42 Full Factorial'!A1" display="E-42 Full Factorial"/>
    <hyperlink ref="E54" location="'E-43 Fractional Factorial'!A1" display="E-43 Fractional Factorial"/>
    <hyperlink ref="E55" location="'E-44 Screening Designs'!A1" display="E-44 Screening Designs"/>
    <hyperlink ref="E56" location="'E-45 Center Points Curvature'!A1" display="E-45 Center Points Curvature"/>
    <hyperlink ref="E57" location="'E-46 Response Surface'!A1" display="E-46 Response Surface"/>
    <hyperlink ref="B89" location="'E-40 Multi-Vari Analysis'!A1" display="E-40  Multi-Vari Analysis"/>
    <hyperlink ref="C89" location="'E-42 Full Factorial'!A1" display="E-42  Full Factorial Designs (2^k)"/>
    <hyperlink ref="D89" location="'E-44 Screening Designs'!A1" display="E-44  Screening Designs (Plackett-Burm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5"/>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5229</v>
      </c>
      <c r="C2" s="3"/>
      <c r="D2" s="3"/>
      <c r="E2" s="3"/>
      <c r="F2" s="3"/>
      <c r="G2" s="3"/>
      <c r="H2" s="3"/>
      <c r="I2" s="3"/>
      <c r="J2" s="3"/>
      <c r="K2" s="101" t="s">
        <v>5137</v>
      </c>
    </row>
    <row r="3" customFormat="false" ht="28.5" hidden="false" customHeight="true" outlineLevel="0" collapsed="false">
      <c r="B3" s="5" t="s">
        <v>3</v>
      </c>
      <c r="D3" s="6" t="s">
        <v>5230</v>
      </c>
      <c r="E3" s="6"/>
      <c r="F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5231</v>
      </c>
      <c r="D6" s="106"/>
      <c r="E6" s="106"/>
      <c r="F6" s="102"/>
      <c r="G6" s="102"/>
      <c r="H6" s="102"/>
      <c r="I6" s="102"/>
      <c r="J6" s="102"/>
      <c r="K6" s="102"/>
      <c r="L6" s="102"/>
      <c r="M6" s="102"/>
      <c r="N6" s="102"/>
      <c r="O6" s="102"/>
    </row>
    <row r="7" customFormat="false" ht="17.25" hidden="false" customHeight="true" outlineLevel="0" collapsed="false">
      <c r="A7" s="102"/>
      <c r="B7" s="105" t="s">
        <v>1394</v>
      </c>
      <c r="C7" s="106" t="s">
        <v>5232</v>
      </c>
      <c r="D7" s="106"/>
      <c r="E7" s="106"/>
      <c r="F7" s="102"/>
      <c r="G7" s="102"/>
      <c r="H7" s="102"/>
      <c r="I7" s="102"/>
      <c r="J7" s="102"/>
      <c r="K7" s="102"/>
      <c r="L7" s="102"/>
      <c r="M7" s="102"/>
      <c r="N7" s="102"/>
      <c r="O7" s="102"/>
    </row>
    <row r="8" customFormat="false" ht="31.5" hidden="false" customHeight="true" outlineLevel="0" collapsed="false">
      <c r="A8" s="102"/>
      <c r="B8" s="105" t="s">
        <v>1396</v>
      </c>
      <c r="C8" s="106" t="s">
        <v>5233</v>
      </c>
      <c r="D8" s="106"/>
      <c r="E8" s="106"/>
      <c r="F8" s="102"/>
      <c r="G8" s="102"/>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1.25" hidden="false" customHeight="true" outlineLevel="0" collapsed="false">
      <c r="A11" s="102"/>
      <c r="B11" s="106" t="s">
        <v>5234</v>
      </c>
      <c r="C11" s="106"/>
      <c r="D11" s="106"/>
      <c r="E11" s="106"/>
      <c r="F11" s="106"/>
      <c r="G11" s="106"/>
      <c r="H11" s="106"/>
      <c r="I11" s="102"/>
      <c r="J11" s="102"/>
      <c r="K11" s="102"/>
      <c r="L11" s="102"/>
      <c r="M11" s="102"/>
      <c r="N11" s="102"/>
      <c r="O11" s="102"/>
    </row>
    <row r="12" customFormat="false" ht="11.25" hidden="false" customHeight="true" outlineLevel="0" collapsed="false">
      <c r="A12" s="102"/>
      <c r="B12" s="106"/>
      <c r="C12" s="106"/>
      <c r="D12" s="106"/>
      <c r="E12" s="106"/>
      <c r="F12" s="106"/>
      <c r="G12" s="106"/>
      <c r="H12" s="106"/>
      <c r="I12" s="102"/>
      <c r="J12" s="102"/>
      <c r="K12" s="102"/>
      <c r="L12" s="102"/>
      <c r="M12" s="102"/>
      <c r="N12" s="102"/>
      <c r="O12" s="102"/>
    </row>
    <row r="13" customFormat="false" ht="11.25" hidden="false" customHeight="true" outlineLevel="0" collapsed="false">
      <c r="A13" s="102"/>
      <c r="B13" s="106"/>
      <c r="C13" s="106"/>
      <c r="D13" s="106"/>
      <c r="E13" s="106"/>
      <c r="F13" s="106"/>
      <c r="G13" s="106"/>
      <c r="H13" s="106"/>
      <c r="I13" s="102"/>
      <c r="J13" s="102"/>
      <c r="K13" s="102"/>
      <c r="L13" s="102"/>
      <c r="M13" s="102"/>
      <c r="N13" s="102"/>
      <c r="O13" s="102"/>
    </row>
    <row r="14" customFormat="false" ht="11.25" hidden="false" customHeight="true" outlineLevel="0" collapsed="false">
      <c r="A14" s="102"/>
      <c r="B14" s="106"/>
      <c r="C14" s="106"/>
      <c r="D14" s="106"/>
      <c r="E14" s="106"/>
      <c r="F14" s="106"/>
      <c r="G14" s="106"/>
      <c r="H14" s="106"/>
      <c r="I14" s="102"/>
      <c r="J14" s="102"/>
      <c r="K14" s="102"/>
      <c r="L14" s="102"/>
      <c r="M14" s="102"/>
      <c r="N14" s="102"/>
      <c r="O14" s="102"/>
    </row>
    <row r="15" customFormat="false" ht="17.25" hidden="false" customHeight="true" outlineLevel="0" collapsed="false">
      <c r="A15" s="102"/>
      <c r="B15" s="106" t="s">
        <v>5235</v>
      </c>
      <c r="C15" s="106"/>
      <c r="D15" s="106"/>
      <c r="E15" s="106"/>
      <c r="F15" s="106"/>
      <c r="G15" s="106"/>
      <c r="H15" s="106"/>
      <c r="I15" s="102"/>
      <c r="J15" s="102"/>
      <c r="K15" s="102"/>
      <c r="L15" s="102"/>
      <c r="M15" s="102"/>
      <c r="N15" s="102"/>
      <c r="O15" s="102"/>
    </row>
    <row r="16" customFormat="false" ht="10.5" hidden="false" customHeight="true" outlineLevel="0" collapsed="false">
      <c r="A16" s="102"/>
      <c r="B16" s="106" t="s">
        <v>5236</v>
      </c>
      <c r="C16" s="106"/>
      <c r="D16" s="106"/>
      <c r="E16" s="106"/>
      <c r="F16" s="106"/>
      <c r="G16" s="106"/>
      <c r="H16" s="106"/>
      <c r="I16" s="102"/>
      <c r="J16" s="102"/>
      <c r="K16" s="102"/>
      <c r="L16" s="102"/>
      <c r="M16" s="102"/>
      <c r="N16" s="102"/>
      <c r="O16" s="102"/>
    </row>
    <row r="17" customFormat="false" ht="10.5" hidden="false" customHeight="true" outlineLevel="0" collapsed="false">
      <c r="A17" s="102"/>
      <c r="B17" s="106"/>
      <c r="C17" s="106"/>
      <c r="D17" s="106"/>
      <c r="E17" s="106"/>
      <c r="F17" s="106"/>
      <c r="G17" s="106"/>
      <c r="H17" s="106"/>
      <c r="I17" s="102"/>
      <c r="J17" s="102"/>
      <c r="K17" s="102"/>
      <c r="L17" s="102"/>
      <c r="M17" s="102"/>
      <c r="N17" s="102"/>
      <c r="O17" s="102"/>
    </row>
    <row r="18" customFormat="false" ht="10.5" hidden="false" customHeight="true" outlineLevel="0" collapsed="false">
      <c r="A18" s="102"/>
      <c r="B18" s="106"/>
      <c r="C18" s="106"/>
      <c r="D18" s="106"/>
      <c r="E18" s="106"/>
      <c r="F18" s="106"/>
      <c r="G18" s="106"/>
      <c r="H18" s="106"/>
      <c r="I18" s="102"/>
      <c r="J18" s="102"/>
      <c r="K18" s="102"/>
      <c r="L18" s="102"/>
      <c r="M18" s="102"/>
      <c r="N18" s="102"/>
      <c r="O18" s="102"/>
    </row>
    <row r="19" customFormat="false" ht="15" hidden="false" customHeight="true" outlineLevel="0" collapsed="false">
      <c r="A19" s="102"/>
      <c r="B19" s="102"/>
      <c r="C19" s="102"/>
      <c r="D19" s="102"/>
      <c r="E19" s="102"/>
      <c r="F19" s="102"/>
      <c r="G19" s="102"/>
      <c r="H19" s="102"/>
      <c r="I19" s="102"/>
      <c r="J19" s="102"/>
      <c r="K19" s="102"/>
      <c r="L19" s="102"/>
      <c r="M19" s="102"/>
      <c r="N19" s="102"/>
      <c r="O19" s="102"/>
    </row>
    <row r="20" customFormat="false" ht="15.75" hidden="false" customHeight="true" outlineLevel="0" collapsed="false">
      <c r="A20" s="102"/>
      <c r="B20" s="103" t="s">
        <v>1406</v>
      </c>
      <c r="C20" s="104"/>
      <c r="D20" s="104"/>
      <c r="E20" s="104"/>
      <c r="F20" s="104"/>
      <c r="G20" s="104"/>
      <c r="H20" s="104"/>
      <c r="I20" s="104"/>
      <c r="J20" s="104"/>
      <c r="K20" s="104"/>
      <c r="L20" s="102"/>
      <c r="M20" s="102"/>
      <c r="N20" s="102"/>
      <c r="O20" s="102"/>
    </row>
    <row r="21" customFormat="false" ht="17.25" hidden="false" customHeight="true" outlineLevel="0" collapsed="false">
      <c r="A21" s="102"/>
      <c r="B21" s="107" t="s">
        <v>1407</v>
      </c>
      <c r="C21" s="107"/>
      <c r="D21" s="107"/>
      <c r="E21" s="107" t="s">
        <v>1408</v>
      </c>
      <c r="F21" s="107"/>
      <c r="G21" s="107"/>
      <c r="H21" s="102"/>
      <c r="I21" s="102"/>
      <c r="J21" s="102"/>
      <c r="K21" s="102"/>
      <c r="L21" s="102"/>
      <c r="M21" s="102"/>
      <c r="N21" s="102"/>
      <c r="O21" s="102"/>
    </row>
    <row r="22" customFormat="false" ht="31.5" hidden="false" customHeight="true" outlineLevel="0" collapsed="false">
      <c r="A22" s="102"/>
      <c r="B22" s="106" t="s">
        <v>5237</v>
      </c>
      <c r="C22" s="106"/>
      <c r="D22" s="106"/>
      <c r="E22" s="106" t="s">
        <v>5238</v>
      </c>
      <c r="F22" s="106"/>
      <c r="G22" s="106"/>
      <c r="H22" s="102"/>
      <c r="I22" s="102"/>
      <c r="J22" s="102"/>
      <c r="K22" s="102"/>
      <c r="L22" s="102"/>
      <c r="M22" s="102"/>
      <c r="N22" s="102"/>
      <c r="O22" s="102"/>
    </row>
    <row r="23" customFormat="false" ht="31.5" hidden="false" customHeight="true" outlineLevel="0" collapsed="false">
      <c r="A23" s="102"/>
      <c r="B23" s="106" t="s">
        <v>5239</v>
      </c>
      <c r="C23" s="106"/>
      <c r="D23" s="106"/>
      <c r="E23" s="106" t="s">
        <v>5240</v>
      </c>
      <c r="F23" s="106"/>
      <c r="G23" s="106"/>
      <c r="H23" s="102"/>
      <c r="I23" s="102"/>
      <c r="J23" s="102"/>
      <c r="K23" s="102"/>
      <c r="L23" s="102"/>
      <c r="M23" s="102"/>
      <c r="N23" s="102"/>
      <c r="O23" s="102"/>
    </row>
    <row r="24" customFormat="false" ht="31.5" hidden="false" customHeight="true" outlineLevel="0" collapsed="false">
      <c r="A24" s="102"/>
      <c r="B24" s="106" t="s">
        <v>5241</v>
      </c>
      <c r="C24" s="106"/>
      <c r="D24" s="106"/>
      <c r="E24" s="106" t="s">
        <v>5242</v>
      </c>
      <c r="F24" s="106"/>
      <c r="G24" s="106"/>
      <c r="H24" s="102"/>
      <c r="I24" s="102"/>
      <c r="J24" s="102"/>
      <c r="K24" s="102"/>
      <c r="L24" s="102"/>
      <c r="M24" s="102"/>
      <c r="N24" s="102"/>
      <c r="O24" s="102"/>
    </row>
    <row r="25" customFormat="false" ht="15" hidden="false" customHeight="true" outlineLevel="0" collapsed="false">
      <c r="A25" s="102"/>
      <c r="B25" s="102"/>
      <c r="C25" s="102"/>
      <c r="D25" s="102"/>
      <c r="E25" s="102"/>
      <c r="F25" s="102"/>
      <c r="G25" s="102"/>
      <c r="H25" s="102"/>
      <c r="I25" s="102"/>
      <c r="J25" s="102"/>
      <c r="K25" s="102"/>
      <c r="L25" s="102"/>
      <c r="M25" s="102"/>
      <c r="N25" s="102"/>
      <c r="O25" s="102"/>
    </row>
    <row r="26" customFormat="false" ht="16.5" hidden="false" customHeight="true" outlineLevel="0" collapsed="false">
      <c r="A26" s="102"/>
      <c r="B26" s="108" t="s">
        <v>1416</v>
      </c>
      <c r="C26" s="108" t="s">
        <v>1417</v>
      </c>
      <c r="D26" s="108" t="s">
        <v>1418</v>
      </c>
      <c r="E26" s="108" t="s">
        <v>1419</v>
      </c>
      <c r="F26" s="102"/>
      <c r="G26" s="102"/>
      <c r="H26" s="102"/>
      <c r="I26" s="102"/>
      <c r="J26" s="102"/>
      <c r="K26" s="102"/>
      <c r="L26" s="102"/>
      <c r="M26" s="102"/>
      <c r="N26" s="102"/>
      <c r="O26" s="102"/>
    </row>
    <row r="27" customFormat="false" ht="58.5" hidden="false" customHeight="true" outlineLevel="0" collapsed="false">
      <c r="A27" s="102"/>
      <c r="B27" s="15" t="s">
        <v>5243</v>
      </c>
      <c r="C27" s="15" t="s">
        <v>5244</v>
      </c>
      <c r="D27" s="15" t="s">
        <v>5245</v>
      </c>
      <c r="E27" s="109" t="s">
        <v>1546</v>
      </c>
      <c r="F27" s="102"/>
      <c r="G27" s="102"/>
      <c r="H27" s="102"/>
      <c r="I27" s="102"/>
      <c r="J27" s="102"/>
      <c r="K27" s="102"/>
      <c r="L27" s="102"/>
      <c r="M27" s="102"/>
      <c r="N27" s="102"/>
      <c r="O27" s="102"/>
    </row>
    <row r="28" customFormat="false" ht="44.25" hidden="false" customHeight="true" outlineLevel="0" collapsed="false">
      <c r="A28" s="102"/>
      <c r="B28" s="15" t="s">
        <v>5246</v>
      </c>
      <c r="C28" s="15" t="s">
        <v>5247</v>
      </c>
      <c r="D28" s="15" t="s">
        <v>5248</v>
      </c>
      <c r="E28" s="109" t="s">
        <v>970</v>
      </c>
      <c r="F28" s="102"/>
      <c r="G28" s="102"/>
      <c r="H28" s="102"/>
      <c r="I28" s="102"/>
      <c r="J28" s="102"/>
      <c r="K28" s="102"/>
      <c r="L28" s="102"/>
      <c r="M28" s="102"/>
      <c r="N28" s="102"/>
      <c r="O28" s="102"/>
    </row>
    <row r="29" customFormat="false" ht="58.5" hidden="false" customHeight="true" outlineLevel="0" collapsed="false">
      <c r="A29" s="102"/>
      <c r="B29" s="15" t="s">
        <v>5249</v>
      </c>
      <c r="C29" s="15" t="s">
        <v>5250</v>
      </c>
      <c r="D29" s="15" t="s">
        <v>5251</v>
      </c>
      <c r="E29" s="109" t="s">
        <v>5252</v>
      </c>
      <c r="F29" s="102"/>
      <c r="G29" s="102"/>
      <c r="H29" s="102"/>
      <c r="I29" s="102"/>
      <c r="J29" s="102"/>
      <c r="K29" s="102"/>
      <c r="L29" s="102"/>
      <c r="M29" s="102"/>
      <c r="N29" s="102"/>
      <c r="O29" s="102"/>
    </row>
    <row r="30" customFormat="false" ht="15" hidden="false" customHeight="true" outlineLevel="0" collapsed="false">
      <c r="A30" s="102"/>
      <c r="B30" s="102"/>
      <c r="C30" s="102"/>
      <c r="D30" s="102"/>
      <c r="E30" s="102"/>
      <c r="F30" s="102"/>
      <c r="G30" s="102"/>
      <c r="H30" s="102"/>
      <c r="I30" s="102"/>
      <c r="J30" s="102"/>
      <c r="K30" s="102"/>
      <c r="L30" s="102"/>
      <c r="M30" s="102"/>
      <c r="N30" s="102"/>
      <c r="O30" s="102"/>
    </row>
    <row r="31" customFormat="false" ht="15.75" hidden="false" customHeight="true" outlineLevel="0" collapsed="false">
      <c r="A31" s="102"/>
      <c r="B31" s="103" t="s">
        <v>1429</v>
      </c>
      <c r="C31" s="104"/>
      <c r="D31" s="104"/>
      <c r="E31" s="104"/>
      <c r="F31" s="104"/>
      <c r="G31" s="104"/>
      <c r="H31" s="104"/>
      <c r="I31" s="104"/>
      <c r="J31" s="104"/>
      <c r="K31" s="104"/>
      <c r="L31" s="102"/>
      <c r="M31" s="102"/>
      <c r="N31" s="102"/>
      <c r="O31" s="102"/>
    </row>
    <row r="32" customFormat="false" ht="17.25" hidden="false" customHeight="true" outlineLevel="0" collapsed="false">
      <c r="A32" s="102"/>
      <c r="B32" s="106" t="s">
        <v>5253</v>
      </c>
      <c r="C32" s="106"/>
      <c r="D32" s="106"/>
      <c r="E32" s="106"/>
      <c r="F32" s="106"/>
      <c r="G32" s="106"/>
      <c r="H32" s="106"/>
      <c r="I32" s="102"/>
      <c r="J32" s="102"/>
      <c r="K32" s="102"/>
      <c r="L32" s="102"/>
      <c r="M32" s="102"/>
      <c r="N32" s="102"/>
      <c r="O32" s="102"/>
    </row>
    <row r="33" customFormat="false" ht="11.25" hidden="false" customHeight="true" outlineLevel="0" collapsed="false">
      <c r="A33" s="102"/>
      <c r="B33" s="106" t="s">
        <v>5254</v>
      </c>
      <c r="C33" s="106"/>
      <c r="D33" s="106"/>
      <c r="E33" s="106"/>
      <c r="F33" s="106"/>
      <c r="G33" s="106"/>
      <c r="H33" s="106"/>
      <c r="I33" s="102"/>
      <c r="J33" s="102"/>
      <c r="K33" s="102"/>
      <c r="L33" s="102"/>
      <c r="M33" s="102"/>
      <c r="N33" s="102"/>
      <c r="O33" s="102"/>
    </row>
    <row r="34" customFormat="false" ht="11.25" hidden="false" customHeight="true" outlineLevel="0" collapsed="false">
      <c r="A34" s="102"/>
      <c r="B34" s="106"/>
      <c r="C34" s="106"/>
      <c r="D34" s="106"/>
      <c r="E34" s="106"/>
      <c r="F34" s="106"/>
      <c r="G34" s="106"/>
      <c r="H34" s="106"/>
      <c r="I34" s="102"/>
      <c r="J34" s="102"/>
      <c r="K34" s="102"/>
      <c r="L34" s="102"/>
      <c r="M34" s="102"/>
      <c r="N34" s="102"/>
      <c r="O34" s="102"/>
    </row>
    <row r="35" customFormat="false" ht="11.25" hidden="false" customHeight="true" outlineLevel="0" collapsed="false">
      <c r="A35" s="102"/>
      <c r="B35" s="106"/>
      <c r="C35" s="106"/>
      <c r="D35" s="106"/>
      <c r="E35" s="106"/>
      <c r="F35" s="106"/>
      <c r="G35" s="106"/>
      <c r="H35" s="106"/>
      <c r="I35" s="102"/>
      <c r="J35" s="102"/>
      <c r="K35" s="102"/>
      <c r="L35" s="102"/>
      <c r="M35" s="102"/>
      <c r="N35" s="102"/>
      <c r="O35" s="102"/>
    </row>
    <row r="36" customFormat="false" ht="11.25" hidden="false" customHeight="true" outlineLevel="0" collapsed="false">
      <c r="A36" s="102"/>
      <c r="B36" s="106"/>
      <c r="C36" s="106"/>
      <c r="D36" s="106"/>
      <c r="E36" s="106"/>
      <c r="F36" s="106"/>
      <c r="G36" s="106"/>
      <c r="H36" s="106"/>
      <c r="I36" s="102"/>
      <c r="J36" s="102"/>
      <c r="K36" s="102"/>
      <c r="L36" s="102"/>
      <c r="M36" s="102"/>
      <c r="N36" s="102"/>
      <c r="O36" s="102"/>
    </row>
    <row r="37" customFormat="false" ht="17.25" hidden="false" customHeight="true" outlineLevel="0" collapsed="false">
      <c r="A37" s="102"/>
      <c r="B37" s="106" t="s">
        <v>5255</v>
      </c>
      <c r="C37" s="106"/>
      <c r="D37" s="106"/>
      <c r="E37" s="106"/>
      <c r="F37" s="106"/>
      <c r="G37" s="106"/>
      <c r="H37" s="106"/>
      <c r="I37" s="102"/>
      <c r="J37" s="102"/>
      <c r="K37" s="102"/>
      <c r="L37" s="102"/>
      <c r="M37" s="102"/>
      <c r="N37" s="102"/>
      <c r="O37" s="102"/>
    </row>
    <row r="38" customFormat="false" ht="16.5" hidden="false" customHeight="true" outlineLevel="0" collapsed="false">
      <c r="A38" s="102"/>
      <c r="B38" s="122" t="s">
        <v>5256</v>
      </c>
      <c r="C38" s="102"/>
      <c r="D38" s="102"/>
      <c r="E38" s="102"/>
      <c r="F38" s="102"/>
      <c r="G38" s="102"/>
      <c r="H38" s="102"/>
      <c r="I38" s="102"/>
      <c r="J38" s="102"/>
      <c r="K38" s="102"/>
      <c r="L38" s="102"/>
      <c r="M38" s="102"/>
      <c r="N38" s="102"/>
      <c r="O38" s="102"/>
    </row>
    <row r="39" customFormat="false" ht="8.25" hidden="false" customHeight="true" outlineLevel="0" collapsed="false">
      <c r="A39" s="102"/>
      <c r="B39" s="106" t="s">
        <v>5257</v>
      </c>
      <c r="C39" s="106"/>
      <c r="D39" s="106"/>
      <c r="E39" s="106"/>
      <c r="F39" s="106"/>
      <c r="G39" s="106"/>
      <c r="H39" s="106"/>
      <c r="I39" s="102"/>
      <c r="J39" s="102"/>
      <c r="K39" s="102"/>
      <c r="L39" s="102"/>
      <c r="M39" s="102"/>
      <c r="N39" s="102"/>
      <c r="O39" s="102"/>
    </row>
    <row r="40" customFormat="false" ht="8.25" hidden="false" customHeight="true" outlineLevel="0" collapsed="false">
      <c r="A40" s="102"/>
      <c r="B40" s="106"/>
      <c r="C40" s="106"/>
      <c r="D40" s="106"/>
      <c r="E40" s="106"/>
      <c r="F40" s="106"/>
      <c r="G40" s="106"/>
      <c r="H40" s="106"/>
      <c r="I40" s="102"/>
      <c r="J40" s="102"/>
      <c r="K40" s="102"/>
      <c r="L40" s="102"/>
      <c r="M40" s="102"/>
      <c r="N40" s="102"/>
      <c r="O40" s="102"/>
    </row>
    <row r="41" customFormat="false" ht="15" hidden="false" customHeight="true" outlineLevel="0" collapsed="false">
      <c r="A41" s="102"/>
      <c r="B41" s="102"/>
      <c r="C41" s="102"/>
      <c r="D41" s="102"/>
      <c r="E41" s="102"/>
      <c r="F41" s="102"/>
      <c r="G41" s="102"/>
      <c r="H41" s="102"/>
      <c r="I41" s="102"/>
      <c r="J41" s="102"/>
      <c r="K41" s="102"/>
      <c r="L41" s="102"/>
      <c r="M41" s="102"/>
      <c r="N41" s="102"/>
      <c r="O41" s="102"/>
    </row>
    <row r="42" customFormat="false" ht="15.75" hidden="false" customHeight="true" outlineLevel="0" collapsed="false">
      <c r="A42" s="102"/>
      <c r="B42" s="103" t="s">
        <v>1437</v>
      </c>
      <c r="C42" s="104"/>
      <c r="D42" s="104"/>
      <c r="E42" s="104"/>
      <c r="F42" s="104"/>
      <c r="G42" s="104"/>
      <c r="H42" s="104"/>
      <c r="I42" s="104"/>
      <c r="J42" s="104"/>
      <c r="K42" s="104"/>
      <c r="L42" s="102"/>
      <c r="M42" s="102"/>
      <c r="N42" s="102"/>
      <c r="O42" s="102"/>
    </row>
    <row r="43" customFormat="false" ht="16.5" hidden="false" customHeight="true" outlineLevel="0" collapsed="false">
      <c r="A43" s="102"/>
      <c r="B43" s="108" t="s">
        <v>1438</v>
      </c>
      <c r="C43" s="108" t="s">
        <v>1439</v>
      </c>
      <c r="D43" s="108" t="s">
        <v>1440</v>
      </c>
      <c r="E43" s="102"/>
      <c r="F43" s="102"/>
      <c r="G43" s="102"/>
      <c r="H43" s="102"/>
      <c r="I43" s="102"/>
      <c r="J43" s="102"/>
      <c r="K43" s="102"/>
      <c r="L43" s="102"/>
      <c r="M43" s="102"/>
      <c r="N43" s="102"/>
      <c r="O43" s="102"/>
    </row>
    <row r="44" customFormat="false" ht="30.75" hidden="false" customHeight="true" outlineLevel="0" collapsed="false">
      <c r="A44" s="102"/>
      <c r="B44" s="110" t="s">
        <v>3677</v>
      </c>
      <c r="C44" s="111" t="s">
        <v>5258</v>
      </c>
      <c r="D44" s="15" t="s">
        <v>5259</v>
      </c>
      <c r="E44" s="102"/>
      <c r="F44" s="102"/>
      <c r="G44" s="102"/>
      <c r="H44" s="102"/>
      <c r="I44" s="102"/>
      <c r="J44" s="102"/>
      <c r="K44" s="102"/>
      <c r="L44" s="102"/>
      <c r="M44" s="102"/>
      <c r="N44" s="102"/>
      <c r="O44" s="102"/>
    </row>
    <row r="45" customFormat="false" ht="30.75" hidden="false" customHeight="true" outlineLevel="0" collapsed="false">
      <c r="A45" s="102"/>
      <c r="B45" s="110" t="s">
        <v>2127</v>
      </c>
      <c r="C45" s="111" t="s">
        <v>5260</v>
      </c>
      <c r="D45" s="15" t="s">
        <v>5261</v>
      </c>
      <c r="E45" s="102"/>
      <c r="F45" s="102"/>
      <c r="G45" s="102"/>
      <c r="H45" s="102"/>
      <c r="I45" s="102"/>
      <c r="J45" s="102"/>
      <c r="K45" s="102"/>
      <c r="L45" s="102"/>
      <c r="M45" s="102"/>
      <c r="N45" s="102"/>
      <c r="O45" s="102"/>
    </row>
    <row r="46" customFormat="false" ht="30.75" hidden="false" customHeight="true" outlineLevel="0" collapsed="false">
      <c r="A46" s="102"/>
      <c r="B46" s="110" t="s">
        <v>5262</v>
      </c>
      <c r="C46" s="111" t="s">
        <v>5263</v>
      </c>
      <c r="D46" s="15" t="s">
        <v>5264</v>
      </c>
      <c r="E46" s="102"/>
      <c r="F46" s="102"/>
      <c r="G46" s="102"/>
      <c r="H46" s="102"/>
      <c r="I46" s="102"/>
      <c r="J46" s="102"/>
      <c r="K46" s="102"/>
      <c r="L46" s="102"/>
      <c r="M46" s="102"/>
      <c r="N46" s="102"/>
      <c r="O46" s="102"/>
    </row>
    <row r="47" customFormat="false" ht="30.75" hidden="false" customHeight="true" outlineLevel="0" collapsed="false">
      <c r="A47" s="102"/>
      <c r="B47" s="110" t="s">
        <v>5265</v>
      </c>
      <c r="C47" s="111" t="s">
        <v>5266</v>
      </c>
      <c r="D47" s="15" t="s">
        <v>5267</v>
      </c>
      <c r="E47" s="102"/>
      <c r="F47" s="102"/>
      <c r="G47" s="102"/>
      <c r="H47" s="102"/>
      <c r="I47" s="102"/>
      <c r="J47" s="102"/>
      <c r="K47" s="102"/>
      <c r="L47" s="102"/>
      <c r="M47" s="102"/>
      <c r="N47" s="102"/>
      <c r="O47" s="102"/>
    </row>
    <row r="48" customFormat="false" ht="15" hidden="false" customHeight="true" outlineLevel="0" collapsed="false">
      <c r="A48" s="102"/>
      <c r="B48" s="102"/>
      <c r="C48" s="102"/>
      <c r="D48" s="102"/>
      <c r="E48" s="102"/>
      <c r="F48" s="102"/>
      <c r="G48" s="102"/>
      <c r="H48" s="102"/>
      <c r="I48" s="102"/>
      <c r="J48" s="102"/>
      <c r="K48" s="102"/>
      <c r="L48" s="102"/>
      <c r="M48" s="102"/>
      <c r="N48" s="102"/>
      <c r="O48" s="102"/>
    </row>
    <row r="49" customFormat="false" ht="15.75" hidden="false" customHeight="true" outlineLevel="0" collapsed="false">
      <c r="A49" s="102"/>
      <c r="B49" s="103" t="s">
        <v>1454</v>
      </c>
      <c r="C49" s="104"/>
      <c r="D49" s="104"/>
      <c r="E49" s="104"/>
      <c r="F49" s="104"/>
      <c r="G49" s="104"/>
      <c r="H49" s="104"/>
      <c r="I49" s="104"/>
      <c r="J49" s="104"/>
      <c r="K49" s="104"/>
      <c r="L49" s="102"/>
      <c r="M49" s="102"/>
      <c r="N49" s="102"/>
      <c r="O49" s="102"/>
    </row>
    <row r="50" customFormat="false" ht="17.25" hidden="false" customHeight="true" outlineLevel="0" collapsed="false">
      <c r="A50" s="102"/>
      <c r="B50" s="106" t="s">
        <v>5268</v>
      </c>
      <c r="C50" s="106"/>
      <c r="D50" s="106"/>
      <c r="E50" s="106"/>
      <c r="F50" s="106"/>
      <c r="G50" s="106"/>
      <c r="H50" s="106"/>
      <c r="I50" s="102"/>
      <c r="J50" s="102"/>
      <c r="K50" s="102"/>
      <c r="L50" s="102"/>
      <c r="M50" s="102"/>
      <c r="N50" s="102"/>
      <c r="O50" s="102"/>
    </row>
    <row r="51" customFormat="false" ht="17.25" hidden="false" customHeight="true" outlineLevel="0" collapsed="false">
      <c r="A51" s="102"/>
      <c r="B51" s="112" t="s">
        <v>85</v>
      </c>
      <c r="C51" s="113" t="s">
        <v>86</v>
      </c>
      <c r="D51" s="113"/>
      <c r="E51" s="102"/>
      <c r="F51" s="102"/>
      <c r="G51" s="102"/>
      <c r="H51" s="102"/>
      <c r="I51" s="102"/>
      <c r="J51" s="102"/>
      <c r="K51" s="102"/>
      <c r="L51" s="102"/>
      <c r="M51" s="102"/>
      <c r="N51" s="102"/>
      <c r="O51" s="102"/>
    </row>
    <row r="52" customFormat="false" ht="15" hidden="false" customHeight="true" outlineLevel="0" collapsed="false">
      <c r="A52" s="102"/>
      <c r="B52" s="102"/>
      <c r="C52" s="102"/>
      <c r="D52" s="102"/>
      <c r="E52" s="102"/>
      <c r="F52" s="102"/>
      <c r="G52" s="102"/>
      <c r="H52" s="102"/>
      <c r="I52" s="102"/>
      <c r="J52" s="102"/>
      <c r="K52" s="102"/>
      <c r="L52" s="102"/>
      <c r="M52" s="102"/>
      <c r="N52" s="102"/>
      <c r="O52" s="102"/>
    </row>
    <row r="53" customFormat="false" ht="16.5" hidden="false" customHeight="true" outlineLevel="0" collapsed="false">
      <c r="A53" s="102"/>
      <c r="B53" s="108" t="s">
        <v>5269</v>
      </c>
      <c r="C53" s="108" t="s">
        <v>5270</v>
      </c>
      <c r="D53" s="108" t="s">
        <v>5271</v>
      </c>
      <c r="E53" s="102"/>
      <c r="F53" s="102"/>
      <c r="G53" s="102"/>
      <c r="H53" s="102"/>
      <c r="I53" s="102"/>
      <c r="J53" s="102"/>
      <c r="K53" s="102"/>
      <c r="L53" s="102"/>
      <c r="M53" s="102"/>
      <c r="N53" s="102"/>
      <c r="O53" s="102"/>
    </row>
    <row r="54" customFormat="false" ht="15" hidden="false" customHeight="true" outlineLevel="0" collapsed="false">
      <c r="A54" s="102"/>
      <c r="B54" s="102" t="s">
        <v>5272</v>
      </c>
      <c r="C54" s="114" t="n">
        <v>32</v>
      </c>
      <c r="D54" s="114" t="n">
        <v>38</v>
      </c>
      <c r="E54" s="102"/>
      <c r="F54" s="102"/>
      <c r="G54" s="102"/>
      <c r="H54" s="102"/>
      <c r="I54" s="102"/>
      <c r="J54" s="102"/>
      <c r="K54" s="102"/>
      <c r="L54" s="102"/>
      <c r="M54" s="102"/>
      <c r="N54" s="102"/>
      <c r="O54" s="102"/>
    </row>
    <row r="55" customFormat="false" ht="15" hidden="false" customHeight="true" outlineLevel="0" collapsed="false">
      <c r="A55" s="102"/>
      <c r="B55" s="102" t="s">
        <v>5273</v>
      </c>
      <c r="C55" s="114" t="n">
        <v>110</v>
      </c>
      <c r="D55" s="114" t="n">
        <v>130</v>
      </c>
      <c r="E55" s="102"/>
      <c r="F55" s="102"/>
      <c r="G55" s="102"/>
      <c r="H55" s="102"/>
      <c r="I55" s="102"/>
      <c r="J55" s="102"/>
      <c r="K55" s="102"/>
      <c r="L55" s="102"/>
      <c r="M55" s="102"/>
      <c r="N55" s="102"/>
      <c r="O55" s="102"/>
    </row>
    <row r="56" customFormat="false" ht="15" hidden="false" customHeight="true" outlineLevel="0" collapsed="false">
      <c r="A56" s="102"/>
      <c r="B56" s="102" t="s">
        <v>5274</v>
      </c>
      <c r="C56" s="114" t="n">
        <v>16000</v>
      </c>
      <c r="D56" s="114" t="n">
        <v>20000</v>
      </c>
      <c r="E56" s="102"/>
      <c r="F56" s="102"/>
      <c r="G56" s="102"/>
      <c r="H56" s="102"/>
      <c r="I56" s="102"/>
      <c r="J56" s="102"/>
      <c r="K56" s="102"/>
      <c r="L56" s="102"/>
      <c r="M56" s="102"/>
      <c r="N56" s="102"/>
      <c r="O56" s="102"/>
    </row>
    <row r="57" customFormat="false" ht="15" hidden="false" customHeight="true" outlineLevel="0" collapsed="false">
      <c r="A57" s="102"/>
      <c r="B57" s="102"/>
      <c r="C57" s="102"/>
      <c r="D57" s="102"/>
      <c r="E57" s="102"/>
      <c r="F57" s="102"/>
      <c r="G57" s="102"/>
      <c r="H57" s="102"/>
      <c r="I57" s="102"/>
      <c r="J57" s="102"/>
      <c r="K57" s="102"/>
      <c r="L57" s="102"/>
      <c r="M57" s="102"/>
      <c r="N57" s="102"/>
      <c r="O57" s="102"/>
    </row>
    <row r="58" customFormat="false" ht="17.25" hidden="false" customHeight="true" outlineLevel="0" collapsed="false">
      <c r="A58" s="102"/>
      <c r="B58" s="108" t="s">
        <v>5275</v>
      </c>
      <c r="C58" s="108" t="s">
        <v>5276</v>
      </c>
      <c r="D58" s="108" t="s">
        <v>5277</v>
      </c>
      <c r="E58" s="108" t="s">
        <v>5278</v>
      </c>
      <c r="F58" s="108" t="s">
        <v>5279</v>
      </c>
      <c r="G58" s="108" t="s">
        <v>5280</v>
      </c>
      <c r="H58" s="108" t="s">
        <v>5281</v>
      </c>
      <c r="I58" s="108" t="s">
        <v>5282</v>
      </c>
      <c r="J58" s="108"/>
      <c r="K58" s="102"/>
      <c r="L58" s="102"/>
      <c r="M58" s="102"/>
      <c r="N58" s="102"/>
      <c r="O58" s="102"/>
    </row>
    <row r="59" customFormat="false" ht="17.25" hidden="false" customHeight="true" outlineLevel="0" collapsed="false">
      <c r="A59" s="102"/>
      <c r="B59" s="123" t="n">
        <v>1</v>
      </c>
      <c r="C59" s="114" t="n">
        <v>-1</v>
      </c>
      <c r="D59" s="114" t="n">
        <v>-1</v>
      </c>
      <c r="E59" s="114" t="n">
        <v>-1</v>
      </c>
      <c r="F59" s="124" t="n">
        <f aca="false">IF(C59=1,$D$54,$C$54)</f>
        <v>32</v>
      </c>
      <c r="G59" s="124" t="n">
        <f aca="false">IF(D59=1,$D$55,$C$55)</f>
        <v>110</v>
      </c>
      <c r="H59" s="124" t="n">
        <f aca="false">IF(E59=1,$D$56,$C$56)</f>
        <v>16000</v>
      </c>
      <c r="I59" s="125" t="n">
        <v>0.192</v>
      </c>
      <c r="J59" s="125"/>
      <c r="K59" s="102"/>
      <c r="L59" s="102"/>
      <c r="M59" s="102"/>
      <c r="N59" s="102"/>
      <c r="O59" s="102"/>
    </row>
    <row r="60" customFormat="false" ht="17.25" hidden="false" customHeight="true" outlineLevel="0" collapsed="false">
      <c r="A60" s="102"/>
      <c r="B60" s="123" t="n">
        <v>2</v>
      </c>
      <c r="C60" s="114" t="n">
        <v>1</v>
      </c>
      <c r="D60" s="114" t="n">
        <v>-1</v>
      </c>
      <c r="E60" s="114" t="n">
        <v>-1</v>
      </c>
      <c r="F60" s="124" t="n">
        <f aca="false">IF(C60=1,$D$54,$C$54)</f>
        <v>38</v>
      </c>
      <c r="G60" s="124" t="n">
        <f aca="false">IF(D60=1,$D$55,$C$55)</f>
        <v>110</v>
      </c>
      <c r="H60" s="124" t="n">
        <f aca="false">IF(E60=1,$D$56,$C$56)</f>
        <v>16000</v>
      </c>
      <c r="I60" s="125" t="n">
        <v>0.178</v>
      </c>
      <c r="J60" s="125"/>
      <c r="K60" s="102"/>
      <c r="L60" s="102"/>
      <c r="M60" s="102"/>
      <c r="N60" s="102"/>
      <c r="O60" s="102"/>
    </row>
    <row r="61" customFormat="false" ht="17.25" hidden="false" customHeight="true" outlineLevel="0" collapsed="false">
      <c r="A61" s="102"/>
      <c r="B61" s="123" t="n">
        <v>3</v>
      </c>
      <c r="C61" s="114" t="n">
        <v>-1</v>
      </c>
      <c r="D61" s="114" t="n">
        <v>1</v>
      </c>
      <c r="E61" s="114" t="n">
        <v>-1</v>
      </c>
      <c r="F61" s="124" t="n">
        <f aca="false">IF(C61=1,$D$54,$C$54)</f>
        <v>32</v>
      </c>
      <c r="G61" s="124" t="n">
        <f aca="false">IF(D61=1,$D$55,$C$55)</f>
        <v>130</v>
      </c>
      <c r="H61" s="124" t="n">
        <f aca="false">IF(E61=1,$D$56,$C$56)</f>
        <v>16000</v>
      </c>
      <c r="I61" s="125" t="n">
        <v>0.205</v>
      </c>
      <c r="J61" s="125"/>
      <c r="K61" s="102"/>
      <c r="L61" s="102"/>
      <c r="M61" s="102"/>
      <c r="N61" s="102"/>
      <c r="O61" s="102"/>
    </row>
    <row r="62" customFormat="false" ht="17.25" hidden="false" customHeight="true" outlineLevel="0" collapsed="false">
      <c r="A62" s="102"/>
      <c r="B62" s="123" t="n">
        <v>4</v>
      </c>
      <c r="C62" s="114" t="n">
        <v>1</v>
      </c>
      <c r="D62" s="114" t="n">
        <v>1</v>
      </c>
      <c r="E62" s="114" t="n">
        <v>-1</v>
      </c>
      <c r="F62" s="124" t="n">
        <f aca="false">IF(C62=1,$D$54,$C$54)</f>
        <v>38</v>
      </c>
      <c r="G62" s="124" t="n">
        <f aca="false">IF(D62=1,$D$55,$C$55)</f>
        <v>130</v>
      </c>
      <c r="H62" s="124" t="n">
        <f aca="false">IF(E62=1,$D$56,$C$56)</f>
        <v>16000</v>
      </c>
      <c r="I62" s="125" t="n">
        <v>0.186</v>
      </c>
      <c r="J62" s="125"/>
      <c r="K62" s="102"/>
      <c r="L62" s="102"/>
      <c r="M62" s="102"/>
      <c r="N62" s="102"/>
      <c r="O62" s="102"/>
    </row>
    <row r="63" customFormat="false" ht="17.25" hidden="false" customHeight="true" outlineLevel="0" collapsed="false">
      <c r="A63" s="102"/>
      <c r="B63" s="123" t="n">
        <v>5</v>
      </c>
      <c r="C63" s="114" t="n">
        <v>-1</v>
      </c>
      <c r="D63" s="114" t="n">
        <v>-1</v>
      </c>
      <c r="E63" s="114" t="n">
        <v>1</v>
      </c>
      <c r="F63" s="124" t="n">
        <f aca="false">IF(C63=1,$D$54,$C$54)</f>
        <v>32</v>
      </c>
      <c r="G63" s="124" t="n">
        <f aca="false">IF(D63=1,$D$55,$C$55)</f>
        <v>110</v>
      </c>
      <c r="H63" s="124" t="n">
        <f aca="false">IF(E63=1,$D$56,$C$56)</f>
        <v>20000</v>
      </c>
      <c r="I63" s="125" t="n">
        <v>0.198</v>
      </c>
      <c r="J63" s="125"/>
      <c r="K63" s="102"/>
      <c r="L63" s="102"/>
      <c r="M63" s="102"/>
      <c r="N63" s="102"/>
      <c r="O63" s="102"/>
    </row>
    <row r="64" customFormat="false" ht="17.25" hidden="false" customHeight="true" outlineLevel="0" collapsed="false">
      <c r="A64" s="102"/>
      <c r="B64" s="123" t="n">
        <v>6</v>
      </c>
      <c r="C64" s="114" t="n">
        <v>1</v>
      </c>
      <c r="D64" s="114" t="n">
        <v>-1</v>
      </c>
      <c r="E64" s="114" t="n">
        <v>1</v>
      </c>
      <c r="F64" s="124" t="n">
        <f aca="false">IF(C64=1,$D$54,$C$54)</f>
        <v>38</v>
      </c>
      <c r="G64" s="124" t="n">
        <f aca="false">IF(D64=1,$D$55,$C$55)</f>
        <v>110</v>
      </c>
      <c r="H64" s="124" t="n">
        <f aca="false">IF(E64=1,$D$56,$C$56)</f>
        <v>20000</v>
      </c>
      <c r="I64" s="125" t="n">
        <v>0.181</v>
      </c>
      <c r="J64" s="125"/>
      <c r="K64" s="102"/>
      <c r="L64" s="102"/>
      <c r="M64" s="102"/>
      <c r="N64" s="102"/>
      <c r="O64" s="102"/>
    </row>
    <row r="65" customFormat="false" ht="17.25" hidden="false" customHeight="true" outlineLevel="0" collapsed="false">
      <c r="A65" s="102"/>
      <c r="B65" s="123" t="n">
        <v>7</v>
      </c>
      <c r="C65" s="114" t="n">
        <v>-1</v>
      </c>
      <c r="D65" s="114" t="n">
        <v>1</v>
      </c>
      <c r="E65" s="114" t="n">
        <v>1</v>
      </c>
      <c r="F65" s="124" t="n">
        <f aca="false">IF(C65=1,$D$54,$C$54)</f>
        <v>32</v>
      </c>
      <c r="G65" s="124" t="n">
        <f aca="false">IF(D65=1,$D$55,$C$55)</f>
        <v>130</v>
      </c>
      <c r="H65" s="124" t="n">
        <f aca="false">IF(E65=1,$D$56,$C$56)</f>
        <v>20000</v>
      </c>
      <c r="I65" s="125" t="n">
        <v>0.211</v>
      </c>
      <c r="J65" s="125"/>
      <c r="K65" s="102"/>
      <c r="L65" s="102"/>
      <c r="M65" s="102"/>
      <c r="N65" s="102"/>
      <c r="O65" s="102"/>
    </row>
    <row r="66" customFormat="false" ht="17.25" hidden="false" customHeight="true" outlineLevel="0" collapsed="false">
      <c r="A66" s="102"/>
      <c r="B66" s="123" t="n">
        <v>8</v>
      </c>
      <c r="C66" s="114" t="n">
        <v>1</v>
      </c>
      <c r="D66" s="114" t="n">
        <v>1</v>
      </c>
      <c r="E66" s="114" t="n">
        <v>1</v>
      </c>
      <c r="F66" s="124" t="n">
        <f aca="false">IF(C66=1,$D$54,$C$54)</f>
        <v>38</v>
      </c>
      <c r="G66" s="124" t="n">
        <f aca="false">IF(D66=1,$D$55,$C$55)</f>
        <v>130</v>
      </c>
      <c r="H66" s="124" t="n">
        <f aca="false">IF(E66=1,$D$56,$C$56)</f>
        <v>20000</v>
      </c>
      <c r="I66" s="125" t="n">
        <v>0.189</v>
      </c>
      <c r="J66" s="125"/>
      <c r="K66" s="102"/>
      <c r="L66" s="102"/>
      <c r="M66" s="102"/>
      <c r="N66" s="102"/>
      <c r="O66" s="102"/>
    </row>
    <row r="67" customFormat="false" ht="15" hidden="false" customHeight="true" outlineLevel="0" collapsed="false">
      <c r="A67" s="102"/>
      <c r="B67" s="102"/>
      <c r="C67" s="102"/>
      <c r="D67" s="102"/>
      <c r="E67" s="102"/>
      <c r="F67" s="102"/>
      <c r="G67" s="102"/>
      <c r="H67" s="102"/>
      <c r="I67" s="102"/>
      <c r="J67" s="102"/>
      <c r="K67" s="102"/>
      <c r="L67" s="102"/>
      <c r="M67" s="102"/>
      <c r="N67" s="102"/>
      <c r="O67" s="102"/>
    </row>
    <row r="68" customFormat="false" ht="16.5" hidden="false" customHeight="true" outlineLevel="0" collapsed="false">
      <c r="A68" s="102"/>
      <c r="B68" s="108" t="s">
        <v>5275</v>
      </c>
      <c r="C68" s="108" t="s">
        <v>5283</v>
      </c>
      <c r="D68" s="108" t="s">
        <v>5284</v>
      </c>
      <c r="E68" s="108" t="s">
        <v>5285</v>
      </c>
      <c r="F68" s="108" t="s">
        <v>5286</v>
      </c>
      <c r="G68" s="102"/>
      <c r="H68" s="102"/>
      <c r="I68" s="102"/>
      <c r="J68" s="102"/>
      <c r="K68" s="102"/>
      <c r="L68" s="102"/>
      <c r="M68" s="102"/>
      <c r="N68" s="102"/>
      <c r="O68" s="102"/>
    </row>
    <row r="69" customFormat="false" ht="15" hidden="false" customHeight="true" outlineLevel="0" collapsed="false">
      <c r="A69" s="102"/>
      <c r="B69" s="123" t="n">
        <v>1</v>
      </c>
      <c r="C69" s="124" t="n">
        <f aca="false">C59*D59</f>
        <v>1</v>
      </c>
      <c r="D69" s="124" t="n">
        <f aca="false">C59*E59</f>
        <v>1</v>
      </c>
      <c r="E69" s="124" t="n">
        <f aca="false">D59*E59</f>
        <v>1</v>
      </c>
      <c r="F69" s="124" t="n">
        <f aca="false">C59*D59*E59</f>
        <v>-1</v>
      </c>
      <c r="G69" s="102"/>
      <c r="H69" s="102"/>
      <c r="I69" s="102"/>
      <c r="J69" s="102"/>
      <c r="K69" s="102"/>
      <c r="L69" s="102"/>
      <c r="M69" s="102"/>
      <c r="N69" s="102"/>
      <c r="O69" s="102"/>
    </row>
    <row r="70" customFormat="false" ht="15" hidden="false" customHeight="true" outlineLevel="0" collapsed="false">
      <c r="A70" s="102"/>
      <c r="B70" s="123" t="n">
        <v>2</v>
      </c>
      <c r="C70" s="124" t="n">
        <f aca="false">C60*D60</f>
        <v>-1</v>
      </c>
      <c r="D70" s="124" t="n">
        <f aca="false">C60*E60</f>
        <v>-1</v>
      </c>
      <c r="E70" s="124" t="n">
        <f aca="false">D60*E60</f>
        <v>1</v>
      </c>
      <c r="F70" s="124" t="n">
        <f aca="false">C60*D60*E60</f>
        <v>1</v>
      </c>
      <c r="G70" s="102"/>
      <c r="H70" s="102"/>
      <c r="I70" s="102"/>
      <c r="J70" s="102"/>
      <c r="K70" s="102"/>
      <c r="L70" s="102"/>
      <c r="M70" s="102"/>
      <c r="N70" s="102"/>
      <c r="O70" s="102"/>
    </row>
    <row r="71" customFormat="false" ht="15" hidden="false" customHeight="true" outlineLevel="0" collapsed="false">
      <c r="A71" s="102"/>
      <c r="B71" s="123" t="n">
        <v>3</v>
      </c>
      <c r="C71" s="124" t="n">
        <f aca="false">C61*D61</f>
        <v>-1</v>
      </c>
      <c r="D71" s="124" t="n">
        <f aca="false">C61*E61</f>
        <v>1</v>
      </c>
      <c r="E71" s="124" t="n">
        <f aca="false">D61*E61</f>
        <v>-1</v>
      </c>
      <c r="F71" s="124" t="n">
        <f aca="false">C61*D61*E61</f>
        <v>1</v>
      </c>
      <c r="G71" s="102"/>
      <c r="H71" s="102"/>
      <c r="I71" s="102"/>
      <c r="J71" s="102"/>
      <c r="K71" s="102"/>
      <c r="L71" s="102"/>
      <c r="M71" s="102"/>
      <c r="N71" s="102"/>
      <c r="O71" s="102"/>
    </row>
    <row r="72" customFormat="false" ht="15" hidden="false" customHeight="true" outlineLevel="0" collapsed="false">
      <c r="A72" s="102"/>
      <c r="B72" s="123" t="n">
        <v>4</v>
      </c>
      <c r="C72" s="124" t="n">
        <f aca="false">C62*D62</f>
        <v>1</v>
      </c>
      <c r="D72" s="124" t="n">
        <f aca="false">C62*E62</f>
        <v>-1</v>
      </c>
      <c r="E72" s="124" t="n">
        <f aca="false">D62*E62</f>
        <v>-1</v>
      </c>
      <c r="F72" s="124" t="n">
        <f aca="false">C62*D62*E62</f>
        <v>-1</v>
      </c>
      <c r="G72" s="102"/>
      <c r="H72" s="102"/>
      <c r="I72" s="102"/>
      <c r="J72" s="102"/>
      <c r="K72" s="102"/>
      <c r="L72" s="102"/>
      <c r="M72" s="102"/>
      <c r="N72" s="102"/>
      <c r="O72" s="102"/>
    </row>
    <row r="73" customFormat="false" ht="15" hidden="false" customHeight="true" outlineLevel="0" collapsed="false">
      <c r="A73" s="102"/>
      <c r="B73" s="123" t="n">
        <v>5</v>
      </c>
      <c r="C73" s="124" t="n">
        <f aca="false">C63*D63</f>
        <v>1</v>
      </c>
      <c r="D73" s="124" t="n">
        <f aca="false">C63*E63</f>
        <v>-1</v>
      </c>
      <c r="E73" s="124" t="n">
        <f aca="false">D63*E63</f>
        <v>-1</v>
      </c>
      <c r="F73" s="124" t="n">
        <f aca="false">C63*D63*E63</f>
        <v>1</v>
      </c>
      <c r="G73" s="102"/>
      <c r="H73" s="102"/>
      <c r="I73" s="102"/>
      <c r="J73" s="102"/>
      <c r="K73" s="102"/>
      <c r="L73" s="102"/>
      <c r="M73" s="102"/>
      <c r="N73" s="102"/>
      <c r="O73" s="102"/>
    </row>
    <row r="74" customFormat="false" ht="15" hidden="false" customHeight="true" outlineLevel="0" collapsed="false">
      <c r="A74" s="102"/>
      <c r="B74" s="123" t="n">
        <v>6</v>
      </c>
      <c r="C74" s="124" t="n">
        <f aca="false">C64*D64</f>
        <v>-1</v>
      </c>
      <c r="D74" s="124" t="n">
        <f aca="false">C64*E64</f>
        <v>1</v>
      </c>
      <c r="E74" s="124" t="n">
        <f aca="false">D64*E64</f>
        <v>-1</v>
      </c>
      <c r="F74" s="124" t="n">
        <f aca="false">C64*D64*E64</f>
        <v>-1</v>
      </c>
      <c r="G74" s="102"/>
      <c r="H74" s="102"/>
      <c r="I74" s="102"/>
      <c r="J74" s="102"/>
      <c r="K74" s="102"/>
      <c r="L74" s="102"/>
      <c r="M74" s="102"/>
      <c r="N74" s="102"/>
      <c r="O74" s="102"/>
    </row>
    <row r="75" customFormat="false" ht="15" hidden="false" customHeight="true" outlineLevel="0" collapsed="false">
      <c r="A75" s="102"/>
      <c r="B75" s="123" t="n">
        <v>7</v>
      </c>
      <c r="C75" s="124" t="n">
        <f aca="false">C65*D65</f>
        <v>-1</v>
      </c>
      <c r="D75" s="124" t="n">
        <f aca="false">C65*E65</f>
        <v>-1</v>
      </c>
      <c r="E75" s="124" t="n">
        <f aca="false">D65*E65</f>
        <v>1</v>
      </c>
      <c r="F75" s="124" t="n">
        <f aca="false">C65*D65*E65</f>
        <v>-1</v>
      </c>
      <c r="G75" s="102"/>
      <c r="H75" s="102"/>
      <c r="I75" s="102"/>
      <c r="J75" s="102"/>
      <c r="K75" s="102"/>
      <c r="L75" s="102"/>
      <c r="M75" s="102"/>
      <c r="N75" s="102"/>
      <c r="O75" s="102"/>
    </row>
    <row r="76" customFormat="false" ht="15" hidden="false" customHeight="true" outlineLevel="0" collapsed="false">
      <c r="A76" s="102"/>
      <c r="B76" s="123" t="n">
        <v>8</v>
      </c>
      <c r="C76" s="124" t="n">
        <f aca="false">C66*D66</f>
        <v>1</v>
      </c>
      <c r="D76" s="124" t="n">
        <f aca="false">C66*E66</f>
        <v>1</v>
      </c>
      <c r="E76" s="124" t="n">
        <f aca="false">D66*E66</f>
        <v>1</v>
      </c>
      <c r="F76" s="124" t="n">
        <f aca="false">C66*D66*E66</f>
        <v>1</v>
      </c>
      <c r="G76" s="102"/>
      <c r="H76" s="102"/>
      <c r="I76" s="102"/>
      <c r="J76" s="102"/>
      <c r="K76" s="102"/>
      <c r="L76" s="102"/>
      <c r="M76" s="102"/>
      <c r="N76" s="102"/>
      <c r="O76" s="102"/>
    </row>
    <row r="77" customFormat="false" ht="15" hidden="false" customHeight="true" outlineLevel="0" collapsed="false">
      <c r="A77" s="102"/>
      <c r="B77" s="102"/>
      <c r="C77" s="102"/>
      <c r="D77" s="102"/>
      <c r="E77" s="102"/>
      <c r="F77" s="102"/>
      <c r="G77" s="102"/>
      <c r="H77" s="102"/>
      <c r="I77" s="102"/>
      <c r="J77" s="102"/>
      <c r="K77" s="102"/>
      <c r="L77" s="102"/>
      <c r="M77" s="102"/>
      <c r="N77" s="102"/>
      <c r="O77" s="102"/>
    </row>
    <row r="78" customFormat="false" ht="16.5" hidden="false" customHeight="true" outlineLevel="0" collapsed="false">
      <c r="A78" s="102"/>
      <c r="B78" s="108" t="s">
        <v>5201</v>
      </c>
      <c r="C78" s="108" t="s">
        <v>5287</v>
      </c>
      <c r="D78" s="108" t="s">
        <v>3705</v>
      </c>
      <c r="E78" s="108" t="s">
        <v>5288</v>
      </c>
      <c r="F78" s="102"/>
      <c r="G78" s="102"/>
      <c r="H78" s="102"/>
      <c r="I78" s="102"/>
      <c r="J78" s="102"/>
      <c r="K78" s="102"/>
      <c r="L78" s="102"/>
      <c r="M78" s="102"/>
      <c r="N78" s="102"/>
      <c r="O78" s="102"/>
    </row>
    <row r="79" customFormat="false" ht="15" hidden="false" customHeight="true" outlineLevel="0" collapsed="false">
      <c r="A79" s="102"/>
      <c r="B79" s="110" t="s">
        <v>5289</v>
      </c>
      <c r="C79" s="126" t="n">
        <f aca="false">SUMPRODUCT(C59:C66,I59:I66)/4</f>
        <v>-0.018</v>
      </c>
      <c r="D79" s="127" t="n">
        <f aca="false">8*C79^2/4</f>
        <v>0.000648</v>
      </c>
      <c r="E79" s="128" t="n">
        <f aca="false">IFERROR(D79/$D$86,0)</f>
        <v>0.699784017278618</v>
      </c>
      <c r="F79" s="126" t="n">
        <f aca="false">ABS(C79)</f>
        <v>0.018</v>
      </c>
      <c r="G79" s="102"/>
      <c r="H79" s="102"/>
      <c r="I79" s="102"/>
      <c r="J79" s="102"/>
      <c r="K79" s="102"/>
      <c r="L79" s="102"/>
      <c r="M79" s="102"/>
      <c r="N79" s="102"/>
      <c r="O79" s="102"/>
    </row>
    <row r="80" customFormat="false" ht="15" hidden="false" customHeight="true" outlineLevel="0" collapsed="false">
      <c r="A80" s="102"/>
      <c r="B80" s="110" t="s">
        <v>5290</v>
      </c>
      <c r="C80" s="126" t="n">
        <f aca="false">SUMPRODUCT(D59:D66,I59:I66)/4</f>
        <v>0.0105</v>
      </c>
      <c r="D80" s="127" t="n">
        <f aca="false">8*C80^2/4</f>
        <v>0.0002205</v>
      </c>
      <c r="E80" s="128" t="n">
        <f aca="false">IFERROR(D80/$D$86,0)</f>
        <v>0.238120950323974</v>
      </c>
      <c r="F80" s="126" t="n">
        <f aca="false">ABS(C80)</f>
        <v>0.0105</v>
      </c>
      <c r="G80" s="102"/>
      <c r="H80" s="102"/>
      <c r="I80" s="102"/>
      <c r="J80" s="102"/>
      <c r="K80" s="102"/>
      <c r="L80" s="102"/>
      <c r="M80" s="102"/>
      <c r="N80" s="102"/>
      <c r="O80" s="102"/>
    </row>
    <row r="81" customFormat="false" ht="15" hidden="false" customHeight="true" outlineLevel="0" collapsed="false">
      <c r="A81" s="102"/>
      <c r="B81" s="110" t="s">
        <v>5291</v>
      </c>
      <c r="C81" s="126" t="n">
        <f aca="false">SUMPRODUCT(E59:E66,I59:I66)/4</f>
        <v>0.0045</v>
      </c>
      <c r="D81" s="127" t="n">
        <f aca="false">8*C81^2/4</f>
        <v>4.05000000000001E-005</v>
      </c>
      <c r="E81" s="128" t="n">
        <f aca="false">IFERROR(D81/$D$86,0)</f>
        <v>0.0437365010799137</v>
      </c>
      <c r="F81" s="126" t="n">
        <f aca="false">ABS(C81)</f>
        <v>0.0045</v>
      </c>
      <c r="G81" s="102"/>
      <c r="H81" s="102"/>
      <c r="I81" s="102"/>
      <c r="J81" s="102"/>
      <c r="K81" s="102"/>
      <c r="L81" s="102"/>
      <c r="M81" s="102"/>
      <c r="N81" s="102"/>
      <c r="O81" s="102"/>
    </row>
    <row r="82" customFormat="false" ht="15" hidden="false" customHeight="true" outlineLevel="0" collapsed="false">
      <c r="A82" s="102"/>
      <c r="B82" s="110" t="s">
        <v>5283</v>
      </c>
      <c r="C82" s="126" t="n">
        <f aca="false">SUMPRODUCT(C69:C76,I59:I66)/4</f>
        <v>-0.00249999999999999</v>
      </c>
      <c r="D82" s="127" t="n">
        <f aca="false">8*C82^2/4</f>
        <v>1.24999999999999E-005</v>
      </c>
      <c r="E82" s="128" t="n">
        <f aca="false">IFERROR(D82/$D$86,0)</f>
        <v>0.013498920086393</v>
      </c>
      <c r="F82" s="126" t="n">
        <f aca="false">ABS(C82)</f>
        <v>0.00249999999999999</v>
      </c>
      <c r="G82" s="102"/>
      <c r="H82" s="102"/>
      <c r="I82" s="102"/>
      <c r="J82" s="102"/>
      <c r="K82" s="102"/>
      <c r="L82" s="102"/>
      <c r="M82" s="102"/>
      <c r="N82" s="102"/>
      <c r="O82" s="102"/>
    </row>
    <row r="83" customFormat="false" ht="15" hidden="false" customHeight="true" outlineLevel="0" collapsed="false">
      <c r="A83" s="102"/>
      <c r="B83" s="110" t="s">
        <v>5284</v>
      </c>
      <c r="C83" s="126" t="n">
        <f aca="false">SUMPRODUCT(D69:D76,I59:I66)/4</f>
        <v>-0.0015</v>
      </c>
      <c r="D83" s="127" t="n">
        <f aca="false">8*C83^2/4</f>
        <v>4.50000000000001E-006</v>
      </c>
      <c r="E83" s="128" t="n">
        <f aca="false">IFERROR(D83/$D$86,0)</f>
        <v>0.00485961123110152</v>
      </c>
      <c r="F83" s="126" t="n">
        <f aca="false">ABS(C83)</f>
        <v>0.0015</v>
      </c>
      <c r="G83" s="102"/>
      <c r="H83" s="102"/>
      <c r="I83" s="102"/>
      <c r="J83" s="102"/>
      <c r="K83" s="102"/>
      <c r="L83" s="102"/>
      <c r="M83" s="102"/>
      <c r="N83" s="102"/>
      <c r="O83" s="102"/>
    </row>
    <row r="84" customFormat="false" ht="15" hidden="false" customHeight="true" outlineLevel="0" collapsed="false">
      <c r="A84" s="102"/>
      <c r="B84" s="110" t="s">
        <v>5285</v>
      </c>
      <c r="C84" s="126" t="n">
        <f aca="false">SUMPRODUCT(E69:E76,I59:I66)/4</f>
        <v>0</v>
      </c>
      <c r="D84" s="127" t="n">
        <f aca="false">8*C84^2/4</f>
        <v>0</v>
      </c>
      <c r="E84" s="128" t="n">
        <f aca="false">IFERROR(D84/$D$86,0)</f>
        <v>0</v>
      </c>
      <c r="F84" s="126" t="n">
        <f aca="false">ABS(C84)</f>
        <v>0</v>
      </c>
      <c r="G84" s="102"/>
      <c r="H84" s="102"/>
      <c r="I84" s="102"/>
      <c r="J84" s="102"/>
      <c r="K84" s="102"/>
      <c r="L84" s="102"/>
      <c r="M84" s="102"/>
      <c r="N84" s="102"/>
      <c r="O84" s="102"/>
    </row>
    <row r="85" customFormat="false" ht="15" hidden="false" customHeight="true" outlineLevel="0" collapsed="false">
      <c r="A85" s="102"/>
      <c r="B85" s="110" t="s">
        <v>5286</v>
      </c>
      <c r="C85" s="126" t="n">
        <f aca="false">SUMPRODUCT(F69:F76,I59:I66)/4</f>
        <v>0</v>
      </c>
      <c r="D85" s="127" t="n">
        <f aca="false">8*C85^2/4</f>
        <v>0</v>
      </c>
      <c r="E85" s="128" t="n">
        <f aca="false">IFERROR(D85/$D$86,0)</f>
        <v>0</v>
      </c>
      <c r="F85" s="126" t="n">
        <f aca="false">ABS(C85)</f>
        <v>0</v>
      </c>
      <c r="G85" s="102"/>
      <c r="H85" s="102"/>
      <c r="I85" s="102"/>
      <c r="J85" s="102"/>
      <c r="K85" s="102"/>
      <c r="L85" s="102"/>
      <c r="M85" s="102"/>
      <c r="N85" s="102"/>
      <c r="O85" s="102"/>
    </row>
    <row r="86" customFormat="false" ht="15" hidden="false" customHeight="true" outlineLevel="0" collapsed="false">
      <c r="A86" s="102"/>
      <c r="B86" s="110" t="s">
        <v>5292</v>
      </c>
      <c r="C86" s="102"/>
      <c r="D86" s="127" t="n">
        <f aca="false">SUM(D79:D85)</f>
        <v>0.000926</v>
      </c>
      <c r="E86" s="102"/>
      <c r="F86" s="102"/>
      <c r="G86" s="102"/>
      <c r="H86" s="102"/>
      <c r="I86" s="102"/>
      <c r="J86" s="102"/>
      <c r="K86" s="102"/>
      <c r="L86" s="102"/>
      <c r="M86" s="102"/>
      <c r="N86" s="102"/>
      <c r="O86" s="102"/>
    </row>
    <row r="87" customFormat="false" ht="15" hidden="false" customHeight="true" outlineLevel="0" collapsed="false">
      <c r="A87" s="102"/>
      <c r="B87" s="102"/>
      <c r="C87" s="102"/>
      <c r="D87" s="102"/>
      <c r="E87" s="102"/>
      <c r="F87" s="102"/>
      <c r="G87" s="102"/>
      <c r="H87" s="102"/>
      <c r="I87" s="102"/>
      <c r="J87" s="102"/>
      <c r="K87" s="102"/>
      <c r="L87" s="102"/>
      <c r="M87" s="102"/>
      <c r="N87" s="102"/>
      <c r="O87" s="102"/>
    </row>
    <row r="88" customFormat="false" ht="23.25" hidden="false" customHeight="true" outlineLevel="0" collapsed="false">
      <c r="A88" s="102"/>
      <c r="B88" s="108" t="s">
        <v>5293</v>
      </c>
      <c r="C88" s="108" t="s">
        <v>5289</v>
      </c>
      <c r="D88" s="108" t="s">
        <v>5290</v>
      </c>
      <c r="E88" s="108" t="s">
        <v>5291</v>
      </c>
      <c r="F88" s="102"/>
      <c r="G88" s="102"/>
      <c r="H88" s="102"/>
      <c r="I88" s="102"/>
      <c r="J88" s="102"/>
      <c r="K88" s="102"/>
      <c r="L88" s="102"/>
      <c r="M88" s="102"/>
      <c r="N88" s="102"/>
      <c r="O88" s="102"/>
    </row>
    <row r="89" customFormat="false" ht="15" hidden="false" customHeight="true" outlineLevel="0" collapsed="false">
      <c r="A89" s="102"/>
      <c r="B89" s="111" t="s">
        <v>5270</v>
      </c>
      <c r="C89" s="129" t="n">
        <f aca="false">AVERAGEIF(C59:C66,-1,$I$59:$I$66)</f>
        <v>0.2015</v>
      </c>
      <c r="D89" s="129" t="n">
        <f aca="false">AVERAGEIF(D59:D66,-1,$I$59:$I$66)</f>
        <v>0.18725</v>
      </c>
      <c r="E89" s="129" t="n">
        <f aca="false">AVERAGEIF(E59:E66,-1,$I$59:$I$66)</f>
        <v>0.19025</v>
      </c>
      <c r="F89" s="102"/>
      <c r="G89" s="102"/>
      <c r="H89" s="102"/>
      <c r="I89" s="102"/>
      <c r="J89" s="102"/>
      <c r="K89" s="102"/>
      <c r="L89" s="102"/>
      <c r="M89" s="102"/>
      <c r="N89" s="102"/>
      <c r="O89" s="102"/>
    </row>
    <row r="90" customFormat="false" ht="15" hidden="false" customHeight="true" outlineLevel="0" collapsed="false">
      <c r="A90" s="102"/>
      <c r="B90" s="111" t="s">
        <v>5271</v>
      </c>
      <c r="C90" s="129" t="n">
        <f aca="false">AVERAGEIF(C59:C66,1,$I$59:$I$66)</f>
        <v>0.1835</v>
      </c>
      <c r="D90" s="129" t="n">
        <f aca="false">AVERAGEIF(D59:D66,1,$I$59:$I$66)</f>
        <v>0.19775</v>
      </c>
      <c r="E90" s="129" t="n">
        <f aca="false">AVERAGEIF(E59:E66,1,$I$59:$I$66)</f>
        <v>0.19475</v>
      </c>
      <c r="F90" s="102"/>
      <c r="G90" s="102"/>
      <c r="H90" s="102"/>
      <c r="I90" s="102"/>
      <c r="J90" s="102"/>
      <c r="K90" s="102"/>
      <c r="L90" s="102"/>
      <c r="M90" s="102"/>
      <c r="N90" s="102"/>
      <c r="O90" s="102"/>
    </row>
    <row r="91" customFormat="false" ht="15" hidden="false" customHeight="true" outlineLevel="0" collapsed="false">
      <c r="A91" s="102"/>
      <c r="B91" s="102"/>
      <c r="C91" s="102"/>
      <c r="D91" s="102"/>
      <c r="E91" s="102"/>
      <c r="F91" s="102"/>
      <c r="G91" s="102"/>
      <c r="H91" s="102"/>
      <c r="I91" s="102"/>
      <c r="J91" s="102"/>
      <c r="K91" s="102"/>
      <c r="L91" s="102"/>
      <c r="M91" s="102"/>
      <c r="N91" s="102"/>
      <c r="O91" s="102"/>
    </row>
    <row r="92" customFormat="false" ht="16.5" hidden="false" customHeight="true" outlineLevel="0" collapsed="false">
      <c r="A92" s="102"/>
      <c r="B92" s="108" t="s">
        <v>5294</v>
      </c>
      <c r="C92" s="108" t="s">
        <v>5295</v>
      </c>
      <c r="D92" s="108" t="s">
        <v>5296</v>
      </c>
      <c r="E92" s="102"/>
      <c r="F92" s="102"/>
      <c r="G92" s="102"/>
      <c r="H92" s="102"/>
      <c r="I92" s="102"/>
      <c r="J92" s="102"/>
      <c r="K92" s="102"/>
      <c r="L92" s="102"/>
      <c r="M92" s="102"/>
      <c r="N92" s="102"/>
      <c r="O92" s="102"/>
    </row>
    <row r="93" customFormat="false" ht="15" hidden="false" customHeight="true" outlineLevel="0" collapsed="false">
      <c r="A93" s="102"/>
      <c r="B93" s="111" t="s">
        <v>5270</v>
      </c>
      <c r="C93" s="129" t="n">
        <f aca="false">AVERAGEIFS($I$59:$I$66,C59:C66,-1,D59:D66,-1)</f>
        <v>0.195</v>
      </c>
      <c r="D93" s="129" t="n">
        <f aca="false">AVERAGEIFS($I$59:$I$66,C59:C66,-1,D59:D66,1)</f>
        <v>0.208</v>
      </c>
      <c r="E93" s="102"/>
      <c r="F93" s="102"/>
      <c r="G93" s="102"/>
      <c r="H93" s="102"/>
      <c r="I93" s="102"/>
      <c r="J93" s="102"/>
      <c r="K93" s="102"/>
      <c r="L93" s="102"/>
      <c r="M93" s="102"/>
      <c r="N93" s="102"/>
      <c r="O93" s="102"/>
    </row>
    <row r="94" customFormat="false" ht="15" hidden="false" customHeight="true" outlineLevel="0" collapsed="false">
      <c r="A94" s="102"/>
      <c r="B94" s="111" t="s">
        <v>5271</v>
      </c>
      <c r="C94" s="129" t="n">
        <f aca="false">AVERAGEIFS($I$59:$I$66,C59:C66,1,D59:D66,-1)</f>
        <v>0.1795</v>
      </c>
      <c r="D94" s="129" t="n">
        <f aca="false">AVERAGEIFS($I$59:$I$66,C59:C66,1,D59:D66,1)</f>
        <v>0.1875</v>
      </c>
      <c r="E94" s="102"/>
      <c r="F94" s="102"/>
      <c r="G94" s="102"/>
      <c r="H94" s="102"/>
      <c r="I94" s="102"/>
      <c r="J94" s="102"/>
      <c r="K94" s="102"/>
      <c r="L94" s="102"/>
      <c r="M94" s="102"/>
      <c r="N94" s="102"/>
      <c r="O94" s="102"/>
    </row>
    <row r="95" customFormat="false" ht="15" hidden="false" customHeight="true" outlineLevel="0" collapsed="false">
      <c r="A95" s="102"/>
      <c r="B95" s="102"/>
      <c r="C95" s="102"/>
      <c r="D95" s="102"/>
      <c r="E95" s="102"/>
      <c r="F95" s="102"/>
      <c r="G95" s="102"/>
      <c r="H95" s="102"/>
      <c r="I95" s="102"/>
      <c r="J95" s="102"/>
      <c r="K95" s="102"/>
      <c r="L95" s="102"/>
      <c r="M95" s="102"/>
      <c r="N95" s="102"/>
      <c r="O95" s="102"/>
    </row>
    <row r="96" customFormat="false" ht="53.25" hidden="false" customHeight="true" outlineLevel="0" collapsed="false">
      <c r="A96" s="102"/>
      <c r="B96" s="130" t="s">
        <v>5297</v>
      </c>
      <c r="C96" s="130"/>
      <c r="D96" s="130"/>
      <c r="E96" s="130"/>
      <c r="F96" s="130"/>
      <c r="G96" s="130"/>
      <c r="H96" s="130"/>
      <c r="I96" s="102"/>
      <c r="J96" s="102"/>
      <c r="K96" s="102"/>
      <c r="L96" s="102"/>
      <c r="M96" s="102"/>
      <c r="N96" s="102"/>
      <c r="O96" s="102"/>
    </row>
    <row r="97" customFormat="false" ht="15" hidden="false" customHeight="true" outlineLevel="0" collapsed="false">
      <c r="A97" s="102"/>
      <c r="B97" s="102"/>
      <c r="C97" s="102"/>
      <c r="D97" s="102"/>
      <c r="E97" s="102"/>
      <c r="F97" s="102"/>
      <c r="G97" s="102"/>
      <c r="H97" s="102"/>
      <c r="I97" s="102"/>
      <c r="J97" s="102"/>
      <c r="K97" s="102"/>
      <c r="L97" s="102"/>
      <c r="M97" s="102"/>
      <c r="N97" s="102"/>
      <c r="O97" s="102"/>
    </row>
    <row r="98" customFormat="false" ht="15" hidden="false" customHeight="true" outlineLevel="0" collapsed="false">
      <c r="A98" s="102"/>
      <c r="B98" s="102"/>
      <c r="C98" s="102"/>
      <c r="D98" s="102"/>
      <c r="E98" s="102"/>
      <c r="F98" s="102"/>
      <c r="G98" s="102"/>
      <c r="H98" s="102"/>
      <c r="I98" s="102"/>
      <c r="J98" s="102"/>
      <c r="K98" s="102"/>
      <c r="L98" s="102"/>
      <c r="M98" s="102"/>
      <c r="N98" s="102"/>
      <c r="O98" s="102"/>
    </row>
    <row r="99" customFormat="false" ht="15" hidden="false" customHeight="true" outlineLevel="0" collapsed="false">
      <c r="A99" s="102"/>
      <c r="B99" s="102"/>
      <c r="C99" s="102"/>
      <c r="D99" s="102"/>
      <c r="E99" s="102"/>
      <c r="F99" s="102"/>
      <c r="G99" s="102"/>
      <c r="H99" s="102"/>
      <c r="I99" s="102"/>
      <c r="J99" s="102"/>
      <c r="K99" s="102"/>
      <c r="L99" s="102"/>
      <c r="M99" s="102"/>
      <c r="N99" s="102"/>
      <c r="O99" s="102"/>
    </row>
    <row r="100" customFormat="false" ht="15" hidden="false" customHeight="true" outlineLevel="0" collapsed="false">
      <c r="A100" s="102"/>
      <c r="B100" s="102"/>
      <c r="C100" s="102"/>
      <c r="D100" s="102"/>
      <c r="E100" s="102"/>
      <c r="F100" s="102"/>
      <c r="G100" s="102"/>
      <c r="H100" s="102"/>
      <c r="I100" s="102"/>
      <c r="J100" s="102"/>
      <c r="K100" s="102"/>
      <c r="L100" s="102"/>
      <c r="M100" s="102"/>
      <c r="N100" s="102"/>
      <c r="O100" s="102"/>
    </row>
    <row r="101" customFormat="false" ht="15" hidden="false" customHeight="true" outlineLevel="0" collapsed="false">
      <c r="A101" s="102"/>
      <c r="B101" s="102"/>
      <c r="C101" s="102"/>
      <c r="D101" s="102"/>
      <c r="E101" s="102"/>
      <c r="F101" s="102"/>
      <c r="G101" s="102"/>
      <c r="H101" s="102"/>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8" hidden="false" customHeight="true" outlineLevel="0" collapsed="false">
      <c r="A116" s="102"/>
      <c r="B116" s="103" t="s">
        <v>1493</v>
      </c>
      <c r="C116" s="104"/>
      <c r="D116" s="104"/>
      <c r="E116" s="104"/>
      <c r="F116" s="104"/>
      <c r="G116" s="104"/>
      <c r="H116" s="104"/>
      <c r="I116" s="104"/>
      <c r="J116" s="104"/>
      <c r="K116" s="104"/>
      <c r="L116" s="102"/>
      <c r="M116" s="102"/>
      <c r="N116" s="102"/>
      <c r="O116" s="102"/>
    </row>
    <row r="117" customFormat="false" ht="191.25" hidden="false" customHeight="true" outlineLevel="0" collapsed="false">
      <c r="A117" s="102"/>
      <c r="B117" s="105" t="s">
        <v>1494</v>
      </c>
      <c r="C117" s="117" t="str">
        <f aca="false">"Largest effect: "&amp;INDEX(B79:B85,MATCH(MAX(F79:F85),F79:F85,0))&amp;" ("&amp;TEXT(INDEX(C79:C85,MATCH(MAX(F79:F85),F79:F85,0)),"0.0000")&amp;" mm). Check the % of SS column: any interaction above roughly 10% of the total means the main effects cannot be read in isolation."</f>
        <v>Largest effect: A: Blow pressure (-0.0180 mm). Check the % of SS column: any interaction above roughly 10% of the total means the main effects cannot be read in isolation.</v>
      </c>
      <c r="D117" s="117"/>
      <c r="E117" s="117"/>
      <c r="F117" s="117"/>
      <c r="G117" s="117"/>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7.25" hidden="false" customHeight="true" outlineLevel="0" collapsed="false">
      <c r="A119" s="102"/>
      <c r="B119" s="108" t="s">
        <v>1495</v>
      </c>
      <c r="C119" s="108" t="s">
        <v>1496</v>
      </c>
      <c r="D119" s="108" t="s">
        <v>1497</v>
      </c>
      <c r="E119" s="108"/>
      <c r="F119" s="102"/>
      <c r="G119" s="102"/>
      <c r="H119" s="102"/>
      <c r="I119" s="102"/>
      <c r="J119" s="102"/>
      <c r="K119" s="102"/>
      <c r="L119" s="102"/>
      <c r="M119" s="102"/>
      <c r="N119" s="102"/>
      <c r="O119" s="102"/>
    </row>
    <row r="120" customFormat="false" ht="31.5" hidden="false" customHeight="true" outlineLevel="0" collapsed="false">
      <c r="A120" s="102"/>
      <c r="B120" s="110" t="s">
        <v>5298</v>
      </c>
      <c r="C120" s="111" t="s">
        <v>5299</v>
      </c>
      <c r="D120" s="15" t="s">
        <v>5300</v>
      </c>
      <c r="E120" s="15"/>
      <c r="F120" s="102"/>
      <c r="G120" s="102"/>
      <c r="H120" s="102"/>
      <c r="I120" s="102"/>
      <c r="J120" s="102"/>
      <c r="K120" s="102"/>
      <c r="L120" s="102"/>
      <c r="M120" s="102"/>
      <c r="N120" s="102"/>
      <c r="O120" s="102"/>
    </row>
    <row r="121" customFormat="false" ht="17.25" hidden="false" customHeight="true" outlineLevel="0" collapsed="false">
      <c r="A121" s="102"/>
      <c r="B121" s="110" t="s">
        <v>5301</v>
      </c>
      <c r="C121" s="111" t="s">
        <v>5302</v>
      </c>
      <c r="D121" s="15" t="s">
        <v>5303</v>
      </c>
      <c r="E121" s="15"/>
      <c r="F121" s="102"/>
      <c r="G121" s="102"/>
      <c r="H121" s="102"/>
      <c r="I121" s="102"/>
      <c r="J121" s="102"/>
      <c r="K121" s="102"/>
      <c r="L121" s="102"/>
      <c r="M121" s="102"/>
      <c r="N121" s="102"/>
      <c r="O121" s="102"/>
    </row>
    <row r="122" customFormat="false" ht="17.25" hidden="false" customHeight="true" outlineLevel="0" collapsed="false">
      <c r="A122" s="102"/>
      <c r="B122" s="110" t="s">
        <v>5304</v>
      </c>
      <c r="C122" s="111" t="s">
        <v>5305</v>
      </c>
      <c r="D122" s="15" t="s">
        <v>5306</v>
      </c>
      <c r="E122" s="15"/>
      <c r="F122" s="102"/>
      <c r="G122" s="102"/>
      <c r="H122" s="102"/>
      <c r="I122" s="102"/>
      <c r="J122" s="102"/>
      <c r="K122" s="102"/>
      <c r="L122" s="102"/>
      <c r="M122" s="102"/>
      <c r="N122" s="102"/>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 hidden="false" customHeight="true" outlineLevel="0" collapsed="false">
      <c r="A124" s="102"/>
      <c r="B124" s="105" t="s">
        <v>1507</v>
      </c>
      <c r="C124" s="102"/>
      <c r="D124" s="102"/>
      <c r="E124" s="102"/>
      <c r="F124" s="102"/>
      <c r="G124" s="102"/>
      <c r="H124" s="102"/>
      <c r="I124" s="102"/>
      <c r="J124" s="102"/>
      <c r="K124" s="102"/>
      <c r="L124" s="102"/>
      <c r="M124" s="102"/>
      <c r="N124" s="102"/>
      <c r="O124" s="102"/>
    </row>
    <row r="125" customFormat="false" ht="17.25" hidden="false" customHeight="true" outlineLevel="0" collapsed="false">
      <c r="A125" s="102"/>
      <c r="B125" s="106" t="s">
        <v>5307</v>
      </c>
      <c r="C125" s="106"/>
      <c r="D125" s="106"/>
      <c r="E125" s="106"/>
      <c r="F125" s="106"/>
      <c r="G125" s="106"/>
      <c r="H125" s="106"/>
      <c r="I125" s="102"/>
      <c r="J125" s="102"/>
      <c r="K125" s="102"/>
      <c r="L125" s="102"/>
      <c r="M125" s="102"/>
      <c r="N125" s="102"/>
      <c r="O125" s="102"/>
    </row>
    <row r="126" customFormat="false" ht="17.25" hidden="false" customHeight="true" outlineLevel="0" collapsed="false">
      <c r="A126" s="102"/>
      <c r="B126" s="106" t="s">
        <v>5308</v>
      </c>
      <c r="C126" s="106"/>
      <c r="D126" s="106"/>
      <c r="E126" s="106"/>
      <c r="F126" s="106"/>
      <c r="G126" s="106"/>
      <c r="H126" s="106"/>
      <c r="I126" s="102"/>
      <c r="J126" s="102"/>
      <c r="K126" s="102"/>
      <c r="L126" s="102"/>
      <c r="M126" s="102"/>
      <c r="N126" s="102"/>
      <c r="O126" s="102"/>
    </row>
    <row r="127" customFormat="false" ht="17.25" hidden="false" customHeight="true" outlineLevel="0" collapsed="false">
      <c r="A127" s="102"/>
      <c r="B127" s="106" t="s">
        <v>5309</v>
      </c>
      <c r="C127" s="106"/>
      <c r="D127" s="106"/>
      <c r="E127" s="106"/>
      <c r="F127" s="106"/>
      <c r="G127" s="106"/>
      <c r="H127" s="106"/>
      <c r="I127" s="102"/>
      <c r="J127" s="102"/>
      <c r="K127" s="102"/>
      <c r="L127" s="102"/>
      <c r="M127" s="102"/>
      <c r="N127" s="102"/>
      <c r="O127" s="102"/>
    </row>
    <row r="128" customFormat="false" ht="17.25" hidden="false" customHeight="true" outlineLevel="0" collapsed="false">
      <c r="A128" s="102"/>
      <c r="B128" s="106" t="s">
        <v>5310</v>
      </c>
      <c r="C128" s="106"/>
      <c r="D128" s="106"/>
      <c r="E128" s="106"/>
      <c r="F128" s="106"/>
      <c r="G128" s="106"/>
      <c r="H128" s="106"/>
      <c r="I128" s="102"/>
      <c r="J128" s="102"/>
      <c r="K128" s="102"/>
      <c r="L128" s="102"/>
      <c r="M128" s="102"/>
      <c r="N128" s="102"/>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5.75" hidden="false" customHeight="true" outlineLevel="0" collapsed="false">
      <c r="A130" s="102"/>
      <c r="B130" s="103" t="s">
        <v>1513</v>
      </c>
      <c r="C130" s="104"/>
      <c r="D130" s="104"/>
      <c r="E130" s="104"/>
      <c r="F130" s="104"/>
      <c r="G130" s="104"/>
      <c r="H130" s="104"/>
      <c r="I130" s="104"/>
      <c r="J130" s="104"/>
      <c r="K130" s="104"/>
      <c r="L130" s="102"/>
      <c r="M130" s="102"/>
      <c r="N130" s="102"/>
      <c r="O130" s="102"/>
    </row>
    <row r="131" customFormat="false" ht="17.25" hidden="false" customHeight="true" outlineLevel="0" collapsed="false">
      <c r="A131" s="102"/>
      <c r="B131" s="118" t="s">
        <v>1514</v>
      </c>
      <c r="C131" s="118"/>
      <c r="D131" s="118"/>
      <c r="E131" s="118"/>
      <c r="F131" s="102"/>
      <c r="G131" s="102"/>
      <c r="H131" s="102"/>
      <c r="I131" s="102"/>
      <c r="J131" s="102"/>
      <c r="K131" s="102"/>
      <c r="L131" s="102"/>
      <c r="M131" s="102"/>
      <c r="N131" s="119" t="s">
        <v>1515</v>
      </c>
      <c r="O131" s="102"/>
    </row>
    <row r="132" customFormat="false" ht="44.25" hidden="false" customHeight="true" outlineLevel="0" collapsed="false">
      <c r="A132" s="102"/>
      <c r="B132" s="106" t="s">
        <v>5311</v>
      </c>
      <c r="C132" s="106"/>
      <c r="D132" s="106"/>
      <c r="E132" s="106"/>
      <c r="F132" s="102"/>
      <c r="G132" s="102"/>
      <c r="H132" s="102"/>
      <c r="I132" s="102"/>
      <c r="J132" s="102"/>
      <c r="K132" s="102"/>
      <c r="L132" s="102"/>
      <c r="M132" s="102"/>
      <c r="N132" s="120" t="s">
        <v>5312</v>
      </c>
      <c r="O132" s="102"/>
    </row>
    <row r="133" customFormat="false" ht="44.25" hidden="false" customHeight="true" outlineLevel="0" collapsed="false">
      <c r="A133" s="102"/>
      <c r="B133" s="106" t="s">
        <v>5313</v>
      </c>
      <c r="C133" s="106"/>
      <c r="D133" s="106"/>
      <c r="E133" s="106"/>
      <c r="F133" s="102"/>
      <c r="G133" s="102"/>
      <c r="H133" s="102"/>
      <c r="I133" s="102"/>
      <c r="J133" s="102"/>
      <c r="K133" s="102"/>
      <c r="L133" s="102"/>
      <c r="M133" s="102"/>
      <c r="N133" s="120" t="s">
        <v>5314</v>
      </c>
      <c r="O133" s="102"/>
    </row>
    <row r="134" customFormat="false" ht="30.75" hidden="false" customHeight="true" outlineLevel="0" collapsed="false">
      <c r="A134" s="102"/>
      <c r="B134" s="106" t="s">
        <v>5315</v>
      </c>
      <c r="C134" s="106"/>
      <c r="D134" s="106"/>
      <c r="E134" s="106"/>
      <c r="F134" s="102"/>
      <c r="G134" s="102"/>
      <c r="H134" s="102"/>
      <c r="I134" s="102"/>
      <c r="J134" s="102"/>
      <c r="K134" s="102"/>
      <c r="L134" s="102"/>
      <c r="M134" s="102"/>
      <c r="N134" s="120" t="s">
        <v>5316</v>
      </c>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75" hidden="false" customHeight="true" outlineLevel="0" collapsed="false">
      <c r="A136" s="102"/>
      <c r="B136" s="103" t="s">
        <v>1522</v>
      </c>
      <c r="C136" s="104"/>
      <c r="D136" s="104"/>
      <c r="E136" s="104"/>
      <c r="F136" s="104"/>
      <c r="G136" s="104"/>
      <c r="H136" s="104"/>
      <c r="I136" s="104"/>
      <c r="J136" s="104"/>
      <c r="K136" s="104"/>
      <c r="L136" s="102"/>
      <c r="M136" s="102"/>
      <c r="N136" s="102"/>
      <c r="O136" s="102"/>
    </row>
    <row r="137" customFormat="false" ht="16.5" hidden="false" customHeight="true" outlineLevel="0" collapsed="false">
      <c r="A137" s="102"/>
      <c r="B137" s="108" t="s">
        <v>1523</v>
      </c>
      <c r="C137" s="108" t="s">
        <v>1524</v>
      </c>
      <c r="D137" s="108" t="s">
        <v>1615</v>
      </c>
      <c r="E137" s="102"/>
      <c r="F137" s="102"/>
      <c r="G137" s="102"/>
      <c r="H137" s="102"/>
      <c r="I137" s="102"/>
      <c r="J137" s="102"/>
      <c r="K137" s="102"/>
      <c r="L137" s="102"/>
      <c r="M137" s="102"/>
      <c r="N137" s="102"/>
      <c r="O137" s="102"/>
    </row>
    <row r="138" customFormat="false" ht="15" hidden="false" customHeight="true" outlineLevel="0" collapsed="false">
      <c r="A138" s="102"/>
      <c r="B138" s="121" t="s">
        <v>3794</v>
      </c>
      <c r="C138" s="121" t="s">
        <v>5317</v>
      </c>
      <c r="D138" s="121" t="s">
        <v>5252</v>
      </c>
      <c r="E138" s="102"/>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45">
    <mergeCell ref="B2:J2"/>
    <mergeCell ref="D3:F3"/>
    <mergeCell ref="C6:E6"/>
    <mergeCell ref="C7:E7"/>
    <mergeCell ref="C8:E8"/>
    <mergeCell ref="B11:H14"/>
    <mergeCell ref="B15:H15"/>
    <mergeCell ref="B16:H18"/>
    <mergeCell ref="B21:D21"/>
    <mergeCell ref="E21:G21"/>
    <mergeCell ref="B22:D22"/>
    <mergeCell ref="E22:G22"/>
    <mergeCell ref="B23:D23"/>
    <mergeCell ref="E23:G23"/>
    <mergeCell ref="B24:D24"/>
    <mergeCell ref="E24:G24"/>
    <mergeCell ref="B32:H32"/>
    <mergeCell ref="B33:H36"/>
    <mergeCell ref="B37:H37"/>
    <mergeCell ref="B39:H40"/>
    <mergeCell ref="B50:H50"/>
    <mergeCell ref="C51:D51"/>
    <mergeCell ref="I58:J58"/>
    <mergeCell ref="I59:J59"/>
    <mergeCell ref="I60:J60"/>
    <mergeCell ref="I61:J61"/>
    <mergeCell ref="I62:J62"/>
    <mergeCell ref="I63:J63"/>
    <mergeCell ref="I64:J64"/>
    <mergeCell ref="I65:J65"/>
    <mergeCell ref="I66:J66"/>
    <mergeCell ref="B96:H96"/>
    <mergeCell ref="C117:G117"/>
    <mergeCell ref="D119:E119"/>
    <mergeCell ref="D120:E120"/>
    <mergeCell ref="D121:E121"/>
    <mergeCell ref="D122:E122"/>
    <mergeCell ref="B125:H125"/>
    <mergeCell ref="B126:H126"/>
    <mergeCell ref="B127:H127"/>
    <mergeCell ref="B128:H128"/>
    <mergeCell ref="B131:E131"/>
    <mergeCell ref="B132:E132"/>
    <mergeCell ref="B133:E133"/>
    <mergeCell ref="B134:E134"/>
  </mergeCells>
  <hyperlinks>
    <hyperlink ref="B3" location="'N-03 Index DMAIC'!A1" display="← Back to Index"/>
    <hyperlink ref="E27" location="'E-05 Sampling Subgroups'!A1" display="E-05  Sampling Strategies and Rational Subgrouping"/>
    <hyperlink ref="E28" location="'E-33 When Assumptions Fail'!A1" display="E-33  When Assumptions Fail: Transformations and Alternatives"/>
    <hyperlink ref="E29" location="'E-45 Center Points Curvature'!A1" display="E-45  Centre Points and Curvature Detection"/>
    <hyperlink ref="B138" location="'E-41 DOE Fundamentals'!A1" display="E-41  DOE Fundamentals and Terminology"/>
    <hyperlink ref="C138" location="'E-43 Fractional Factorial'!A1" display="E-43  Fractional Factorial, Resolution and Aliasing"/>
    <hyperlink ref="D138" location="'E-45 Center Points Curvature'!A1" display="E-45  Centre Points and Curvature Detec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5"/>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5318</v>
      </c>
      <c r="C2" s="3"/>
      <c r="D2" s="3"/>
      <c r="E2" s="3"/>
      <c r="F2" s="3"/>
      <c r="G2" s="3"/>
      <c r="H2" s="3"/>
      <c r="I2" s="3"/>
      <c r="J2" s="3"/>
      <c r="K2" s="101" t="s">
        <v>5137</v>
      </c>
    </row>
    <row r="3" customFormat="false" ht="28.5" hidden="false" customHeight="true" outlineLevel="0" collapsed="false">
      <c r="B3" s="5" t="s">
        <v>3</v>
      </c>
      <c r="D3" s="6" t="s">
        <v>5319</v>
      </c>
      <c r="E3" s="6"/>
      <c r="F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5320</v>
      </c>
      <c r="D6" s="106"/>
      <c r="E6" s="106"/>
      <c r="F6" s="106"/>
      <c r="G6" s="106"/>
      <c r="H6" s="102"/>
      <c r="I6" s="102"/>
      <c r="J6" s="102"/>
      <c r="K6" s="102"/>
      <c r="L6" s="102"/>
      <c r="M6" s="102"/>
      <c r="N6" s="102"/>
      <c r="O6" s="102"/>
    </row>
    <row r="7" customFormat="false" ht="17.25" hidden="false" customHeight="true" outlineLevel="0" collapsed="false">
      <c r="A7" s="102"/>
      <c r="B7" s="105" t="s">
        <v>1394</v>
      </c>
      <c r="C7" s="106" t="s">
        <v>5321</v>
      </c>
      <c r="D7" s="106"/>
      <c r="E7" s="106"/>
      <c r="F7" s="106"/>
      <c r="G7" s="106"/>
      <c r="H7" s="102"/>
      <c r="I7" s="102"/>
      <c r="J7" s="102"/>
      <c r="K7" s="102"/>
      <c r="L7" s="102"/>
      <c r="M7" s="102"/>
      <c r="N7" s="102"/>
      <c r="O7" s="102"/>
    </row>
    <row r="8" customFormat="false" ht="31.5" hidden="false" customHeight="true" outlineLevel="0" collapsed="false">
      <c r="A8" s="102"/>
      <c r="B8" s="105" t="s">
        <v>1396</v>
      </c>
      <c r="C8" s="106" t="s">
        <v>5322</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5" hidden="false" customHeight="true" outlineLevel="0" collapsed="false">
      <c r="A11" s="102"/>
      <c r="B11" s="106" t="s">
        <v>5323</v>
      </c>
      <c r="C11" s="106"/>
      <c r="D11" s="106"/>
      <c r="E11" s="106"/>
      <c r="F11" s="106"/>
      <c r="G11" s="106"/>
      <c r="H11" s="106"/>
      <c r="I11" s="102"/>
      <c r="J11" s="102"/>
      <c r="K11" s="102"/>
      <c r="L11" s="102"/>
      <c r="M11" s="102"/>
      <c r="N11" s="102"/>
      <c r="O11" s="102"/>
    </row>
    <row r="12" customFormat="false" ht="15" hidden="false" customHeight="true" outlineLevel="0" collapsed="false">
      <c r="A12" s="102"/>
      <c r="B12" s="106"/>
      <c r="C12" s="106"/>
      <c r="D12" s="106"/>
      <c r="E12" s="106"/>
      <c r="F12" s="106"/>
      <c r="G12" s="106"/>
      <c r="H12" s="106"/>
      <c r="I12" s="102"/>
      <c r="J12" s="102"/>
      <c r="K12" s="102"/>
      <c r="L12" s="102"/>
      <c r="M12" s="102"/>
      <c r="N12" s="102"/>
      <c r="O12" s="102"/>
    </row>
    <row r="13" customFormat="false" ht="15" hidden="false" customHeight="true" outlineLevel="0" collapsed="false">
      <c r="A13" s="102"/>
      <c r="B13" s="106"/>
      <c r="C13" s="106"/>
      <c r="D13" s="106"/>
      <c r="E13" s="106"/>
      <c r="F13" s="106"/>
      <c r="G13" s="106"/>
      <c r="H13" s="106"/>
      <c r="I13" s="102"/>
      <c r="J13" s="102"/>
      <c r="K13" s="102"/>
      <c r="L13" s="102"/>
      <c r="M13" s="102"/>
      <c r="N13" s="102"/>
      <c r="O13" s="102"/>
    </row>
    <row r="14" customFormat="false" ht="15" hidden="false" customHeight="true" outlineLevel="0" collapsed="false">
      <c r="A14" s="102"/>
      <c r="B14" s="106" t="s">
        <v>5324</v>
      </c>
      <c r="C14" s="106"/>
      <c r="D14" s="106"/>
      <c r="E14" s="106"/>
      <c r="F14" s="106"/>
      <c r="G14" s="106"/>
      <c r="H14" s="106"/>
      <c r="I14" s="102"/>
      <c r="J14" s="102"/>
      <c r="K14" s="102"/>
      <c r="L14" s="102"/>
      <c r="M14" s="102"/>
      <c r="N14" s="102"/>
      <c r="O14" s="102"/>
    </row>
    <row r="15" customFormat="false" ht="15" hidden="false" customHeight="true" outlineLevel="0" collapsed="false">
      <c r="A15" s="102"/>
      <c r="B15" s="106"/>
      <c r="C15" s="106"/>
      <c r="D15" s="106"/>
      <c r="E15" s="106"/>
      <c r="F15" s="106"/>
      <c r="G15" s="106"/>
      <c r="H15" s="106"/>
      <c r="I15" s="102"/>
      <c r="J15" s="102"/>
      <c r="K15" s="102"/>
      <c r="L15" s="102"/>
      <c r="M15" s="102"/>
      <c r="N15" s="102"/>
      <c r="O15" s="102"/>
    </row>
    <row r="16" customFormat="false" ht="15" hidden="false" customHeight="true" outlineLevel="0" collapsed="false">
      <c r="A16" s="102"/>
      <c r="B16" s="106"/>
      <c r="C16" s="106"/>
      <c r="D16" s="106"/>
      <c r="E16" s="106"/>
      <c r="F16" s="106"/>
      <c r="G16" s="106"/>
      <c r="H16" s="106"/>
      <c r="I16" s="102"/>
      <c r="J16" s="102"/>
      <c r="K16" s="102"/>
      <c r="L16" s="102"/>
      <c r="M16" s="102"/>
      <c r="N16" s="102"/>
      <c r="O16" s="102"/>
    </row>
    <row r="17" customFormat="false" ht="17.25" hidden="false" customHeight="true" outlineLevel="0" collapsed="false">
      <c r="A17" s="102"/>
      <c r="B17" s="106" t="s">
        <v>5325</v>
      </c>
      <c r="C17" s="106"/>
      <c r="D17" s="106"/>
      <c r="E17" s="106"/>
      <c r="F17" s="106"/>
      <c r="G17" s="106"/>
      <c r="H17" s="106"/>
      <c r="I17" s="102"/>
      <c r="J17" s="102"/>
      <c r="K17" s="102"/>
      <c r="L17" s="102"/>
      <c r="M17" s="102"/>
      <c r="N17" s="102"/>
      <c r="O17" s="102"/>
    </row>
    <row r="18" customFormat="false" ht="12" hidden="false" customHeight="true" outlineLevel="0" collapsed="false">
      <c r="A18" s="102"/>
      <c r="B18" s="106" t="s">
        <v>5326</v>
      </c>
      <c r="C18" s="106"/>
      <c r="D18" s="106"/>
      <c r="E18" s="106"/>
      <c r="F18" s="106"/>
      <c r="G18" s="106"/>
      <c r="H18" s="106"/>
      <c r="I18" s="102"/>
      <c r="J18" s="102"/>
      <c r="K18" s="102"/>
      <c r="L18" s="102"/>
      <c r="M18" s="102"/>
      <c r="N18" s="102"/>
      <c r="O18" s="102"/>
    </row>
    <row r="19" customFormat="false" ht="12" hidden="false" customHeight="true" outlineLevel="0" collapsed="false">
      <c r="A19" s="102"/>
      <c r="B19" s="106"/>
      <c r="C19" s="106"/>
      <c r="D19" s="106"/>
      <c r="E19" s="106"/>
      <c r="F19" s="106"/>
      <c r="G19" s="106"/>
      <c r="H19" s="106"/>
      <c r="I19" s="102"/>
      <c r="J19" s="102"/>
      <c r="K19" s="102"/>
      <c r="L19" s="102"/>
      <c r="M19" s="102"/>
      <c r="N19" s="102"/>
      <c r="O19" s="102"/>
    </row>
    <row r="20" customFormat="false" ht="12" hidden="false" customHeight="true" outlineLevel="0" collapsed="false">
      <c r="A20" s="102"/>
      <c r="B20" s="106"/>
      <c r="C20" s="106"/>
      <c r="D20" s="106"/>
      <c r="E20" s="106"/>
      <c r="F20" s="106"/>
      <c r="G20" s="106"/>
      <c r="H20" s="106"/>
      <c r="I20" s="102"/>
      <c r="J20" s="102"/>
      <c r="K20" s="102"/>
      <c r="L20" s="102"/>
      <c r="M20" s="102"/>
      <c r="N20" s="102"/>
      <c r="O20" s="102"/>
    </row>
    <row r="21" customFormat="false" ht="12" hidden="false" customHeight="true" outlineLevel="0" collapsed="false">
      <c r="A21" s="102"/>
      <c r="B21" s="106"/>
      <c r="C21" s="106"/>
      <c r="D21" s="106"/>
      <c r="E21" s="106"/>
      <c r="F21" s="106"/>
      <c r="G21" s="106"/>
      <c r="H21" s="106"/>
      <c r="I21" s="102"/>
      <c r="J21" s="102"/>
      <c r="K21" s="102"/>
      <c r="L21" s="102"/>
      <c r="M21" s="102"/>
      <c r="N21" s="102"/>
      <c r="O21" s="102"/>
    </row>
    <row r="22" customFormat="false" ht="12" hidden="false" customHeight="true" outlineLevel="0" collapsed="false">
      <c r="A22" s="102"/>
      <c r="B22" s="106"/>
      <c r="C22" s="106"/>
      <c r="D22" s="106"/>
      <c r="E22" s="106"/>
      <c r="F22" s="106"/>
      <c r="G22" s="106"/>
      <c r="H22" s="106"/>
      <c r="I22" s="102"/>
      <c r="J22" s="102"/>
      <c r="K22" s="102"/>
      <c r="L22" s="102"/>
      <c r="M22" s="102"/>
      <c r="N22" s="102"/>
      <c r="O22" s="102"/>
    </row>
    <row r="23" customFormat="false" ht="15" hidden="false" customHeight="true" outlineLevel="0" collapsed="false">
      <c r="A23" s="102"/>
      <c r="B23" s="102"/>
      <c r="C23" s="102"/>
      <c r="D23" s="102"/>
      <c r="E23" s="102"/>
      <c r="F23" s="102"/>
      <c r="G23" s="102"/>
      <c r="H23" s="102"/>
      <c r="I23" s="102"/>
      <c r="J23" s="102"/>
      <c r="K23" s="102"/>
      <c r="L23" s="102"/>
      <c r="M23" s="102"/>
      <c r="N23" s="102"/>
      <c r="O23" s="102"/>
    </row>
    <row r="24" customFormat="false" ht="15.75" hidden="false" customHeight="true" outlineLevel="0" collapsed="false">
      <c r="A24" s="102"/>
      <c r="B24" s="103" t="s">
        <v>1406</v>
      </c>
      <c r="C24" s="104"/>
      <c r="D24" s="104"/>
      <c r="E24" s="104"/>
      <c r="F24" s="104"/>
      <c r="G24" s="104"/>
      <c r="H24" s="104"/>
      <c r="I24" s="104"/>
      <c r="J24" s="104"/>
      <c r="K24" s="104"/>
      <c r="L24" s="102"/>
      <c r="M24" s="102"/>
      <c r="N24" s="102"/>
      <c r="O24" s="102"/>
    </row>
    <row r="25" customFormat="false" ht="17.25" hidden="false" customHeight="true" outlineLevel="0" collapsed="false">
      <c r="A25" s="102"/>
      <c r="B25" s="107" t="s">
        <v>1407</v>
      </c>
      <c r="C25" s="107"/>
      <c r="D25" s="107"/>
      <c r="E25" s="107" t="s">
        <v>1408</v>
      </c>
      <c r="F25" s="107"/>
      <c r="G25" s="107"/>
      <c r="H25" s="102"/>
      <c r="I25" s="102"/>
      <c r="J25" s="102"/>
      <c r="K25" s="102"/>
      <c r="L25" s="102"/>
      <c r="M25" s="102"/>
      <c r="N25" s="102"/>
      <c r="O25" s="102"/>
    </row>
    <row r="26" customFormat="false" ht="31.5" hidden="false" customHeight="true" outlineLevel="0" collapsed="false">
      <c r="A26" s="102"/>
      <c r="B26" s="106" t="s">
        <v>5327</v>
      </c>
      <c r="C26" s="106"/>
      <c r="D26" s="106"/>
      <c r="E26" s="106" t="s">
        <v>5328</v>
      </c>
      <c r="F26" s="106"/>
      <c r="G26" s="106"/>
      <c r="H26" s="102"/>
      <c r="I26" s="102"/>
      <c r="J26" s="102"/>
      <c r="K26" s="102"/>
      <c r="L26" s="102"/>
      <c r="M26" s="102"/>
      <c r="N26" s="102"/>
      <c r="O26" s="102"/>
    </row>
    <row r="27" customFormat="false" ht="31.5" hidden="false" customHeight="true" outlineLevel="0" collapsed="false">
      <c r="A27" s="102"/>
      <c r="B27" s="106" t="s">
        <v>5329</v>
      </c>
      <c r="C27" s="106"/>
      <c r="D27" s="106"/>
      <c r="E27" s="106" t="s">
        <v>5330</v>
      </c>
      <c r="F27" s="106"/>
      <c r="G27" s="106"/>
      <c r="H27" s="102"/>
      <c r="I27" s="102"/>
      <c r="J27" s="102"/>
      <c r="K27" s="102"/>
      <c r="L27" s="102"/>
      <c r="M27" s="102"/>
      <c r="N27" s="102"/>
      <c r="O27" s="102"/>
    </row>
    <row r="28" customFormat="false" ht="45.75" hidden="false" customHeight="true" outlineLevel="0" collapsed="false">
      <c r="A28" s="102"/>
      <c r="B28" s="106" t="s">
        <v>5331</v>
      </c>
      <c r="C28" s="106"/>
      <c r="D28" s="106"/>
      <c r="E28" s="106" t="s">
        <v>5332</v>
      </c>
      <c r="F28" s="106"/>
      <c r="G28" s="106"/>
      <c r="H28" s="102"/>
      <c r="I28" s="102"/>
      <c r="J28" s="102"/>
      <c r="K28" s="102"/>
      <c r="L28" s="102"/>
      <c r="M28" s="102"/>
      <c r="N28" s="102"/>
      <c r="O28" s="102"/>
    </row>
    <row r="29" customFormat="false" ht="15" hidden="false" customHeight="true" outlineLevel="0" collapsed="false">
      <c r="A29" s="102"/>
      <c r="B29" s="102"/>
      <c r="C29" s="102"/>
      <c r="D29" s="102"/>
      <c r="E29" s="102"/>
      <c r="F29" s="102"/>
      <c r="G29" s="102"/>
      <c r="H29" s="102"/>
      <c r="I29" s="102"/>
      <c r="J29" s="102"/>
      <c r="K29" s="102"/>
      <c r="L29" s="102"/>
      <c r="M29" s="102"/>
      <c r="N29" s="102"/>
      <c r="O29" s="102"/>
    </row>
    <row r="30" customFormat="false" ht="16.5" hidden="false" customHeight="true" outlineLevel="0" collapsed="false">
      <c r="A30" s="102"/>
      <c r="B30" s="108" t="s">
        <v>1416</v>
      </c>
      <c r="C30" s="108" t="s">
        <v>1417</v>
      </c>
      <c r="D30" s="108" t="s">
        <v>1418</v>
      </c>
      <c r="E30" s="108" t="s">
        <v>1419</v>
      </c>
      <c r="F30" s="102"/>
      <c r="G30" s="102"/>
      <c r="H30" s="102"/>
      <c r="I30" s="102"/>
      <c r="J30" s="102"/>
      <c r="K30" s="102"/>
      <c r="L30" s="102"/>
      <c r="M30" s="102"/>
      <c r="N30" s="102"/>
      <c r="O30" s="102"/>
    </row>
    <row r="31" customFormat="false" ht="72" hidden="false" customHeight="true" outlineLevel="0" collapsed="false">
      <c r="A31" s="102"/>
      <c r="B31" s="15" t="s">
        <v>5333</v>
      </c>
      <c r="C31" s="15" t="s">
        <v>5334</v>
      </c>
      <c r="D31" s="15" t="s">
        <v>5335</v>
      </c>
      <c r="E31" s="109" t="s">
        <v>3794</v>
      </c>
      <c r="F31" s="102"/>
      <c r="G31" s="102"/>
      <c r="H31" s="102"/>
      <c r="I31" s="102"/>
      <c r="J31" s="102"/>
      <c r="K31" s="102"/>
      <c r="L31" s="102"/>
      <c r="M31" s="102"/>
      <c r="N31" s="102"/>
      <c r="O31" s="102"/>
    </row>
    <row r="32" customFormat="false" ht="44.25" hidden="false" customHeight="true" outlineLevel="0" collapsed="false">
      <c r="A32" s="102"/>
      <c r="B32" s="15" t="s">
        <v>5336</v>
      </c>
      <c r="C32" s="15" t="s">
        <v>5337</v>
      </c>
      <c r="D32" s="15" t="s">
        <v>5338</v>
      </c>
      <c r="E32" s="109" t="s">
        <v>1039</v>
      </c>
      <c r="F32" s="102"/>
      <c r="G32" s="102"/>
      <c r="H32" s="102"/>
      <c r="I32" s="102"/>
      <c r="J32" s="102"/>
      <c r="K32" s="102"/>
      <c r="L32" s="102"/>
      <c r="M32" s="102"/>
      <c r="N32" s="102"/>
      <c r="O32" s="102"/>
    </row>
    <row r="33" customFormat="false" ht="30.75" hidden="false" customHeight="true" outlineLevel="0" collapsed="false">
      <c r="A33" s="102"/>
      <c r="B33" s="15" t="s">
        <v>5339</v>
      </c>
      <c r="C33" s="15" t="s">
        <v>5340</v>
      </c>
      <c r="D33" s="15" t="s">
        <v>5341</v>
      </c>
      <c r="E33" s="109" t="s">
        <v>1546</v>
      </c>
      <c r="F33" s="102"/>
      <c r="G33" s="102"/>
      <c r="H33" s="102"/>
      <c r="I33" s="102"/>
      <c r="J33" s="102"/>
      <c r="K33" s="102"/>
      <c r="L33" s="102"/>
      <c r="M33" s="102"/>
      <c r="N33" s="102"/>
      <c r="O33" s="102"/>
    </row>
    <row r="34" customFormat="false" ht="15" hidden="false" customHeight="true" outlineLevel="0" collapsed="false">
      <c r="A34" s="102"/>
      <c r="B34" s="102"/>
      <c r="C34" s="102"/>
      <c r="D34" s="102"/>
      <c r="E34" s="102"/>
      <c r="F34" s="102"/>
      <c r="G34" s="102"/>
      <c r="H34" s="102"/>
      <c r="I34" s="102"/>
      <c r="J34" s="102"/>
      <c r="K34" s="102"/>
      <c r="L34" s="102"/>
      <c r="M34" s="102"/>
      <c r="N34" s="102"/>
      <c r="O34" s="102"/>
    </row>
    <row r="35" customFormat="false" ht="15.75" hidden="false" customHeight="true" outlineLevel="0" collapsed="false">
      <c r="A35" s="102"/>
      <c r="B35" s="103" t="s">
        <v>1429</v>
      </c>
      <c r="C35" s="104"/>
      <c r="D35" s="104"/>
      <c r="E35" s="104"/>
      <c r="F35" s="104"/>
      <c r="G35" s="104"/>
      <c r="H35" s="104"/>
      <c r="I35" s="104"/>
      <c r="J35" s="104"/>
      <c r="K35" s="104"/>
      <c r="L35" s="102"/>
      <c r="M35" s="102"/>
      <c r="N35" s="102"/>
      <c r="O35" s="102"/>
    </row>
    <row r="36" customFormat="false" ht="15.75" hidden="false" customHeight="true" outlineLevel="0" collapsed="false">
      <c r="A36" s="102"/>
      <c r="B36" s="106" t="s">
        <v>5342</v>
      </c>
      <c r="C36" s="106"/>
      <c r="D36" s="106"/>
      <c r="E36" s="106"/>
      <c r="F36" s="106"/>
      <c r="G36" s="106"/>
      <c r="H36" s="106"/>
      <c r="I36" s="102"/>
      <c r="J36" s="102"/>
      <c r="K36" s="102"/>
      <c r="L36" s="102"/>
      <c r="M36" s="102"/>
      <c r="N36" s="102"/>
      <c r="O36" s="102"/>
    </row>
    <row r="37" customFormat="false" ht="15.75" hidden="false" customHeight="true" outlineLevel="0" collapsed="false">
      <c r="A37" s="102"/>
      <c r="B37" s="106"/>
      <c r="C37" s="106"/>
      <c r="D37" s="106"/>
      <c r="E37" s="106"/>
      <c r="F37" s="106"/>
      <c r="G37" s="106"/>
      <c r="H37" s="106"/>
      <c r="I37" s="102"/>
      <c r="J37" s="102"/>
      <c r="K37" s="102"/>
      <c r="L37" s="102"/>
      <c r="M37" s="102"/>
      <c r="N37" s="102"/>
      <c r="O37" s="102"/>
    </row>
    <row r="38" customFormat="false" ht="15.75" hidden="false" customHeight="true" outlineLevel="0" collapsed="false">
      <c r="A38" s="102"/>
      <c r="B38" s="106" t="s">
        <v>5343</v>
      </c>
      <c r="C38" s="106"/>
      <c r="D38" s="106"/>
      <c r="E38" s="106"/>
      <c r="F38" s="106"/>
      <c r="G38" s="106"/>
      <c r="H38" s="106"/>
      <c r="I38" s="102"/>
      <c r="J38" s="102"/>
      <c r="K38" s="102"/>
      <c r="L38" s="102"/>
      <c r="M38" s="102"/>
      <c r="N38" s="102"/>
      <c r="O38" s="102"/>
    </row>
    <row r="39" customFormat="false" ht="15.75" hidden="false" customHeight="true" outlineLevel="0" collapsed="false">
      <c r="A39" s="102"/>
      <c r="B39" s="106"/>
      <c r="C39" s="106"/>
      <c r="D39" s="106"/>
      <c r="E39" s="106"/>
      <c r="F39" s="106"/>
      <c r="G39" s="106"/>
      <c r="H39" s="106"/>
      <c r="I39" s="102"/>
      <c r="J39" s="102"/>
      <c r="K39" s="102"/>
      <c r="L39" s="102"/>
      <c r="M39" s="102"/>
      <c r="N39" s="102"/>
      <c r="O39" s="102"/>
    </row>
    <row r="40" customFormat="false" ht="10.5" hidden="false" customHeight="true" outlineLevel="0" collapsed="false">
      <c r="A40" s="102"/>
      <c r="B40" s="106" t="s">
        <v>5344</v>
      </c>
      <c r="C40" s="106"/>
      <c r="D40" s="106"/>
      <c r="E40" s="106"/>
      <c r="F40" s="106"/>
      <c r="G40" s="106"/>
      <c r="H40" s="106"/>
      <c r="I40" s="102"/>
      <c r="J40" s="102"/>
      <c r="K40" s="102"/>
      <c r="L40" s="102"/>
      <c r="M40" s="102"/>
      <c r="N40" s="102"/>
      <c r="O40" s="102"/>
    </row>
    <row r="41" customFormat="false" ht="10.5" hidden="false" customHeight="true" outlineLevel="0" collapsed="false">
      <c r="A41" s="102"/>
      <c r="B41" s="106"/>
      <c r="C41" s="106"/>
      <c r="D41" s="106"/>
      <c r="E41" s="106"/>
      <c r="F41" s="106"/>
      <c r="G41" s="106"/>
      <c r="H41" s="106"/>
      <c r="I41" s="102"/>
      <c r="J41" s="102"/>
      <c r="K41" s="102"/>
      <c r="L41" s="102"/>
      <c r="M41" s="102"/>
      <c r="N41" s="102"/>
      <c r="O41" s="102"/>
    </row>
    <row r="42" customFormat="false" ht="10.5" hidden="false" customHeight="true" outlineLevel="0" collapsed="false">
      <c r="A42" s="102"/>
      <c r="B42" s="106"/>
      <c r="C42" s="106"/>
      <c r="D42" s="106"/>
      <c r="E42" s="106"/>
      <c r="F42" s="106"/>
      <c r="G42" s="106"/>
      <c r="H42" s="106"/>
      <c r="I42" s="102"/>
      <c r="J42" s="102"/>
      <c r="K42" s="102"/>
      <c r="L42" s="102"/>
      <c r="M42" s="102"/>
      <c r="N42" s="102"/>
      <c r="O42" s="102"/>
    </row>
    <row r="43" customFormat="false" ht="15.75" hidden="false" customHeight="true" outlineLevel="0" collapsed="false">
      <c r="A43" s="102"/>
      <c r="B43" s="106" t="s">
        <v>5345</v>
      </c>
      <c r="C43" s="106"/>
      <c r="D43" s="106"/>
      <c r="E43" s="106"/>
      <c r="F43" s="106"/>
      <c r="G43" s="106"/>
      <c r="H43" s="106"/>
      <c r="I43" s="102"/>
      <c r="J43" s="102"/>
      <c r="K43" s="102"/>
      <c r="L43" s="102"/>
      <c r="M43" s="102"/>
      <c r="N43" s="102"/>
      <c r="O43" s="102"/>
    </row>
    <row r="44" customFormat="false" ht="15.75" hidden="false" customHeight="true" outlineLevel="0" collapsed="false">
      <c r="A44" s="102"/>
      <c r="B44" s="106"/>
      <c r="C44" s="106"/>
      <c r="D44" s="106"/>
      <c r="E44" s="106"/>
      <c r="F44" s="106"/>
      <c r="G44" s="106"/>
      <c r="H44" s="106"/>
      <c r="I44" s="102"/>
      <c r="J44" s="102"/>
      <c r="K44" s="102"/>
      <c r="L44" s="102"/>
      <c r="M44" s="102"/>
      <c r="N44" s="102"/>
      <c r="O44" s="102"/>
    </row>
    <row r="45" customFormat="false" ht="17.25" hidden="false" customHeight="true" outlineLevel="0" collapsed="false">
      <c r="A45" s="102"/>
      <c r="B45" s="106" t="s">
        <v>5346</v>
      </c>
      <c r="C45" s="106"/>
      <c r="D45" s="106"/>
      <c r="E45" s="106"/>
      <c r="F45" s="106"/>
      <c r="G45" s="106"/>
      <c r="H45" s="106"/>
      <c r="I45" s="102"/>
      <c r="J45" s="102"/>
      <c r="K45" s="102"/>
      <c r="L45" s="102"/>
      <c r="M45" s="102"/>
      <c r="N45" s="102"/>
      <c r="O45" s="102"/>
    </row>
    <row r="46" customFormat="false" ht="17.25" hidden="false" customHeight="true" outlineLevel="0" collapsed="false">
      <c r="A46" s="102"/>
      <c r="B46" s="106" t="s">
        <v>5347</v>
      </c>
      <c r="C46" s="106"/>
      <c r="D46" s="106"/>
      <c r="E46" s="106"/>
      <c r="F46" s="106"/>
      <c r="G46" s="106"/>
      <c r="H46" s="106"/>
      <c r="I46" s="102"/>
      <c r="J46" s="102"/>
      <c r="K46" s="102"/>
      <c r="L46" s="102"/>
      <c r="M46" s="102"/>
      <c r="N46" s="102"/>
      <c r="O46" s="102"/>
    </row>
    <row r="47" customFormat="false" ht="15" hidden="false" customHeight="true" outlineLevel="0" collapsed="false">
      <c r="A47" s="102"/>
      <c r="B47" s="102"/>
      <c r="C47" s="102"/>
      <c r="D47" s="102"/>
      <c r="E47" s="102"/>
      <c r="F47" s="102"/>
      <c r="G47" s="102"/>
      <c r="H47" s="102"/>
      <c r="I47" s="102"/>
      <c r="J47" s="102"/>
      <c r="K47" s="102"/>
      <c r="L47" s="102"/>
      <c r="M47" s="102"/>
      <c r="N47" s="102"/>
      <c r="O47" s="102"/>
    </row>
    <row r="48" customFormat="false" ht="15.75" hidden="false" customHeight="true" outlineLevel="0" collapsed="false">
      <c r="A48" s="102"/>
      <c r="B48" s="103" t="s">
        <v>1437</v>
      </c>
      <c r="C48" s="104"/>
      <c r="D48" s="104"/>
      <c r="E48" s="104"/>
      <c r="F48" s="104"/>
      <c r="G48" s="104"/>
      <c r="H48" s="104"/>
      <c r="I48" s="104"/>
      <c r="J48" s="104"/>
      <c r="K48" s="104"/>
      <c r="L48" s="102"/>
      <c r="M48" s="102"/>
      <c r="N48" s="102"/>
      <c r="O48" s="102"/>
    </row>
    <row r="49" customFormat="false" ht="17.25" hidden="false" customHeight="true" outlineLevel="0" collapsed="false">
      <c r="A49" s="102"/>
      <c r="B49" s="108" t="s">
        <v>1438</v>
      </c>
      <c r="C49" s="108" t="s">
        <v>1439</v>
      </c>
      <c r="D49" s="108" t="s">
        <v>1440</v>
      </c>
      <c r="E49" s="108"/>
      <c r="F49" s="102"/>
      <c r="G49" s="102"/>
      <c r="H49" s="102"/>
      <c r="I49" s="102"/>
      <c r="J49" s="102"/>
      <c r="K49" s="102"/>
      <c r="L49" s="102"/>
      <c r="M49" s="102"/>
      <c r="N49" s="102"/>
      <c r="O49" s="102"/>
    </row>
    <row r="50" customFormat="false" ht="17.25" hidden="false" customHeight="true" outlineLevel="0" collapsed="false">
      <c r="A50" s="102"/>
      <c r="B50" s="110" t="s">
        <v>3677</v>
      </c>
      <c r="C50" s="111" t="s">
        <v>5258</v>
      </c>
      <c r="D50" s="15" t="s">
        <v>5348</v>
      </c>
      <c r="E50" s="15"/>
      <c r="F50" s="102"/>
      <c r="G50" s="102"/>
      <c r="H50" s="102"/>
      <c r="I50" s="102"/>
      <c r="J50" s="102"/>
      <c r="K50" s="102"/>
      <c r="L50" s="102"/>
      <c r="M50" s="102"/>
      <c r="N50" s="102"/>
      <c r="O50" s="102"/>
    </row>
    <row r="51" customFormat="false" ht="31.5" hidden="false" customHeight="true" outlineLevel="0" collapsed="false">
      <c r="A51" s="102"/>
      <c r="B51" s="110" t="s">
        <v>5349</v>
      </c>
      <c r="C51" s="111" t="s">
        <v>5350</v>
      </c>
      <c r="D51" s="15" t="s">
        <v>5351</v>
      </c>
      <c r="E51" s="15"/>
      <c r="F51" s="102"/>
      <c r="G51" s="102"/>
      <c r="H51" s="102"/>
      <c r="I51" s="102"/>
      <c r="J51" s="102"/>
      <c r="K51" s="102"/>
      <c r="L51" s="102"/>
      <c r="M51" s="102"/>
      <c r="N51" s="102"/>
      <c r="O51" s="102"/>
    </row>
    <row r="52" customFormat="false" ht="17.25" hidden="false" customHeight="true" outlineLevel="0" collapsed="false">
      <c r="A52" s="102"/>
      <c r="B52" s="110" t="s">
        <v>2591</v>
      </c>
      <c r="C52" s="111" t="s">
        <v>5352</v>
      </c>
      <c r="D52" s="15" t="s">
        <v>5353</v>
      </c>
      <c r="E52" s="15"/>
      <c r="F52" s="102"/>
      <c r="G52" s="102"/>
      <c r="H52" s="102"/>
      <c r="I52" s="102"/>
      <c r="J52" s="102"/>
      <c r="K52" s="102"/>
      <c r="L52" s="102"/>
      <c r="M52" s="102"/>
      <c r="N52" s="102"/>
      <c r="O52" s="102"/>
    </row>
    <row r="53" customFormat="false" ht="15" hidden="false" customHeight="true" outlineLevel="0" collapsed="false">
      <c r="A53" s="102"/>
      <c r="B53" s="102"/>
      <c r="C53" s="102"/>
      <c r="D53" s="102"/>
      <c r="E53" s="102"/>
      <c r="F53" s="102"/>
      <c r="G53" s="102"/>
      <c r="H53" s="102"/>
      <c r="I53" s="102"/>
      <c r="J53" s="102"/>
      <c r="K53" s="102"/>
      <c r="L53" s="102"/>
      <c r="M53" s="102"/>
      <c r="N53" s="102"/>
      <c r="O53" s="102"/>
    </row>
    <row r="54" customFormat="false" ht="15.75" hidden="false" customHeight="true" outlineLevel="0" collapsed="false">
      <c r="A54" s="102"/>
      <c r="B54" s="103" t="s">
        <v>1454</v>
      </c>
      <c r="C54" s="104"/>
      <c r="D54" s="104"/>
      <c r="E54" s="104"/>
      <c r="F54" s="104"/>
      <c r="G54" s="104"/>
      <c r="H54" s="104"/>
      <c r="I54" s="104"/>
      <c r="J54" s="104"/>
      <c r="K54" s="104"/>
      <c r="L54" s="102"/>
      <c r="M54" s="102"/>
      <c r="N54" s="102"/>
      <c r="O54" s="102"/>
    </row>
    <row r="55" customFormat="false" ht="17.25" hidden="false" customHeight="true" outlineLevel="0" collapsed="false">
      <c r="A55" s="102"/>
      <c r="B55" s="106" t="s">
        <v>5354</v>
      </c>
      <c r="C55" s="106"/>
      <c r="D55" s="106"/>
      <c r="E55" s="106"/>
      <c r="F55" s="106"/>
      <c r="G55" s="106"/>
      <c r="H55" s="106"/>
      <c r="I55" s="102"/>
      <c r="J55" s="102"/>
      <c r="K55" s="102"/>
      <c r="L55" s="102"/>
      <c r="M55" s="102"/>
      <c r="N55" s="102"/>
      <c r="O55" s="102"/>
    </row>
    <row r="56" customFormat="false" ht="17.25" hidden="false" customHeight="true" outlineLevel="0" collapsed="false">
      <c r="A56" s="102"/>
      <c r="B56" s="112" t="s">
        <v>85</v>
      </c>
      <c r="C56" s="113" t="s">
        <v>86</v>
      </c>
      <c r="D56" s="113"/>
      <c r="E56" s="102"/>
      <c r="F56" s="102"/>
      <c r="G56" s="102"/>
      <c r="H56" s="102"/>
      <c r="I56" s="102"/>
      <c r="J56" s="102"/>
      <c r="K56" s="102"/>
      <c r="L56" s="102"/>
      <c r="M56" s="102"/>
      <c r="N56" s="102"/>
      <c r="O56" s="102"/>
    </row>
    <row r="57" customFormat="false" ht="15" hidden="false" customHeight="true" outlineLevel="0" collapsed="false">
      <c r="A57" s="102"/>
      <c r="B57" s="102"/>
      <c r="C57" s="102"/>
      <c r="D57" s="102"/>
      <c r="E57" s="102"/>
      <c r="F57" s="102"/>
      <c r="G57" s="102"/>
      <c r="H57" s="102"/>
      <c r="I57" s="102"/>
      <c r="J57" s="102"/>
      <c r="K57" s="102"/>
      <c r="L57" s="102"/>
      <c r="M57" s="102"/>
      <c r="N57" s="102"/>
      <c r="O57" s="102"/>
    </row>
    <row r="58" customFormat="false" ht="16.5" hidden="false" customHeight="true" outlineLevel="0" collapsed="false">
      <c r="A58" s="102"/>
      <c r="B58" s="108" t="s">
        <v>5269</v>
      </c>
      <c r="C58" s="108" t="s">
        <v>5270</v>
      </c>
      <c r="D58" s="108" t="s">
        <v>5271</v>
      </c>
      <c r="E58" s="102"/>
      <c r="F58" s="102"/>
      <c r="G58" s="102"/>
      <c r="H58" s="102"/>
      <c r="I58" s="102"/>
      <c r="J58" s="102"/>
      <c r="K58" s="102"/>
      <c r="L58" s="102"/>
      <c r="M58" s="102"/>
      <c r="N58" s="102"/>
      <c r="O58" s="102"/>
    </row>
    <row r="59" customFormat="false" ht="15" hidden="false" customHeight="true" outlineLevel="0" collapsed="false">
      <c r="A59" s="102"/>
      <c r="B59" s="105" t="s">
        <v>5355</v>
      </c>
      <c r="C59" s="114" t="n">
        <v>8</v>
      </c>
      <c r="D59" s="114" t="n">
        <v>14</v>
      </c>
      <c r="E59" s="102"/>
      <c r="F59" s="102"/>
      <c r="G59" s="102"/>
      <c r="H59" s="102"/>
      <c r="I59" s="102"/>
      <c r="J59" s="102"/>
      <c r="K59" s="102"/>
      <c r="L59" s="102"/>
      <c r="M59" s="102"/>
      <c r="N59" s="102"/>
      <c r="O59" s="102"/>
    </row>
    <row r="60" customFormat="false" ht="15" hidden="false" customHeight="true" outlineLevel="0" collapsed="false">
      <c r="A60" s="102"/>
      <c r="B60" s="105" t="s">
        <v>5356</v>
      </c>
      <c r="C60" s="114" t="n">
        <v>60</v>
      </c>
      <c r="D60" s="114" t="n">
        <v>80</v>
      </c>
      <c r="E60" s="102"/>
      <c r="F60" s="102"/>
      <c r="G60" s="102"/>
      <c r="H60" s="102"/>
      <c r="I60" s="102"/>
      <c r="J60" s="102"/>
      <c r="K60" s="102"/>
      <c r="L60" s="102"/>
      <c r="M60" s="102"/>
      <c r="N60" s="102"/>
      <c r="O60" s="102"/>
    </row>
    <row r="61" customFormat="false" ht="15" hidden="false" customHeight="true" outlineLevel="0" collapsed="false">
      <c r="A61" s="102"/>
      <c r="B61" s="105" t="s">
        <v>5357</v>
      </c>
      <c r="C61" s="114" t="n">
        <v>16000</v>
      </c>
      <c r="D61" s="114" t="n">
        <v>20000</v>
      </c>
      <c r="E61" s="102"/>
      <c r="F61" s="102"/>
      <c r="G61" s="102"/>
      <c r="H61" s="102"/>
      <c r="I61" s="102"/>
      <c r="J61" s="102"/>
      <c r="K61" s="102"/>
      <c r="L61" s="102"/>
      <c r="M61" s="102"/>
      <c r="N61" s="102"/>
      <c r="O61" s="102"/>
    </row>
    <row r="62" customFormat="false" ht="15" hidden="false" customHeight="true" outlineLevel="0" collapsed="false">
      <c r="A62" s="102"/>
      <c r="B62" s="105" t="s">
        <v>5358</v>
      </c>
      <c r="C62" s="114" t="n">
        <v>3</v>
      </c>
      <c r="D62" s="114" t="n">
        <v>6</v>
      </c>
      <c r="E62" s="102"/>
      <c r="F62" s="102"/>
      <c r="G62" s="102"/>
      <c r="H62" s="102"/>
      <c r="I62" s="102"/>
      <c r="J62" s="102"/>
      <c r="K62" s="102"/>
      <c r="L62" s="102"/>
      <c r="M62" s="102"/>
      <c r="N62" s="102"/>
      <c r="O62" s="102"/>
    </row>
    <row r="63" customFormat="false" ht="15" hidden="false" customHeight="true" outlineLevel="0" collapsed="false">
      <c r="A63" s="102"/>
      <c r="B63" s="102"/>
      <c r="C63" s="102"/>
      <c r="D63" s="102"/>
      <c r="E63" s="102"/>
      <c r="F63" s="102"/>
      <c r="G63" s="102"/>
      <c r="H63" s="102"/>
      <c r="I63" s="102"/>
      <c r="J63" s="102"/>
      <c r="K63" s="102"/>
      <c r="L63" s="102"/>
      <c r="M63" s="102"/>
      <c r="N63" s="102"/>
      <c r="O63" s="102"/>
    </row>
    <row r="64" customFormat="false" ht="16.5" hidden="false" customHeight="true" outlineLevel="0" collapsed="false">
      <c r="A64" s="102"/>
      <c r="B64" s="108" t="s">
        <v>5275</v>
      </c>
      <c r="C64" s="108" t="s">
        <v>378</v>
      </c>
      <c r="D64" s="108" t="s">
        <v>5359</v>
      </c>
      <c r="E64" s="108" t="s">
        <v>640</v>
      </c>
      <c r="F64" s="108" t="s">
        <v>5360</v>
      </c>
      <c r="G64" s="108" t="s">
        <v>5361</v>
      </c>
      <c r="H64" s="108" t="s">
        <v>5280</v>
      </c>
      <c r="I64" s="108" t="s">
        <v>5281</v>
      </c>
      <c r="J64" s="108" t="s">
        <v>5362</v>
      </c>
      <c r="K64" s="108" t="s">
        <v>5363</v>
      </c>
      <c r="L64" s="102"/>
      <c r="M64" s="102"/>
      <c r="N64" s="102"/>
      <c r="O64" s="102"/>
    </row>
    <row r="65" customFormat="false" ht="15" hidden="false" customHeight="true" outlineLevel="0" collapsed="false">
      <c r="A65" s="102"/>
      <c r="B65" s="123" t="n">
        <v>1</v>
      </c>
      <c r="C65" s="114" t="n">
        <v>-1</v>
      </c>
      <c r="D65" s="114" t="n">
        <v>-1</v>
      </c>
      <c r="E65" s="114" t="n">
        <v>-1</v>
      </c>
      <c r="F65" s="124" t="n">
        <f aca="false">C65*D65*E65</f>
        <v>-1</v>
      </c>
      <c r="G65" s="124" t="n">
        <f aca="false">IF(C65=1,$D$59,$C$59)</f>
        <v>8</v>
      </c>
      <c r="H65" s="124" t="n">
        <f aca="false">IF(D65=1,$D$60,$C$60)</f>
        <v>60</v>
      </c>
      <c r="I65" s="124" t="n">
        <f aca="false">IF(E65=1,$D$61,$C$61)</f>
        <v>16000</v>
      </c>
      <c r="J65" s="124" t="n">
        <f aca="false">IF(F65=1,$D$62,$C$62)</f>
        <v>3</v>
      </c>
      <c r="K65" s="131" t="n">
        <v>0.62</v>
      </c>
      <c r="L65" s="102"/>
      <c r="M65" s="102"/>
      <c r="N65" s="102"/>
      <c r="O65" s="102"/>
    </row>
    <row r="66" customFormat="false" ht="15" hidden="false" customHeight="true" outlineLevel="0" collapsed="false">
      <c r="A66" s="102"/>
      <c r="B66" s="123" t="n">
        <v>2</v>
      </c>
      <c r="C66" s="114" t="n">
        <v>1</v>
      </c>
      <c r="D66" s="114" t="n">
        <v>-1</v>
      </c>
      <c r="E66" s="114" t="n">
        <v>-1</v>
      </c>
      <c r="F66" s="124" t="n">
        <f aca="false">C66*D66*E66</f>
        <v>1</v>
      </c>
      <c r="G66" s="124" t="n">
        <f aca="false">IF(C66=1,$D$59,$C$59)</f>
        <v>14</v>
      </c>
      <c r="H66" s="124" t="n">
        <f aca="false">IF(D66=1,$D$60,$C$60)</f>
        <v>60</v>
      </c>
      <c r="I66" s="124" t="n">
        <f aca="false">IF(E66=1,$D$61,$C$61)</f>
        <v>16000</v>
      </c>
      <c r="J66" s="124" t="n">
        <f aca="false">IF(F66=1,$D$62,$C$62)</f>
        <v>6</v>
      </c>
      <c r="K66" s="131" t="n">
        <v>0.48</v>
      </c>
      <c r="L66" s="102"/>
      <c r="M66" s="102"/>
      <c r="N66" s="102"/>
      <c r="O66" s="102"/>
    </row>
    <row r="67" customFormat="false" ht="15" hidden="false" customHeight="true" outlineLevel="0" collapsed="false">
      <c r="A67" s="102"/>
      <c r="B67" s="123" t="n">
        <v>3</v>
      </c>
      <c r="C67" s="114" t="n">
        <v>-1</v>
      </c>
      <c r="D67" s="114" t="n">
        <v>1</v>
      </c>
      <c r="E67" s="114" t="n">
        <v>-1</v>
      </c>
      <c r="F67" s="124" t="n">
        <f aca="false">C67*D67*E67</f>
        <v>1</v>
      </c>
      <c r="G67" s="124" t="n">
        <f aca="false">IF(C67=1,$D$59,$C$59)</f>
        <v>8</v>
      </c>
      <c r="H67" s="124" t="n">
        <f aca="false">IF(D67=1,$D$60,$C$60)</f>
        <v>80</v>
      </c>
      <c r="I67" s="124" t="n">
        <f aca="false">IF(E67=1,$D$61,$C$61)</f>
        <v>16000</v>
      </c>
      <c r="J67" s="124" t="n">
        <f aca="false">IF(F67=1,$D$62,$C$62)</f>
        <v>6</v>
      </c>
      <c r="K67" s="131" t="n">
        <v>0.71</v>
      </c>
      <c r="L67" s="102"/>
      <c r="M67" s="102"/>
      <c r="N67" s="102"/>
      <c r="O67" s="102"/>
    </row>
    <row r="68" customFormat="false" ht="15" hidden="false" customHeight="true" outlineLevel="0" collapsed="false">
      <c r="A68" s="102"/>
      <c r="B68" s="123" t="n">
        <v>4</v>
      </c>
      <c r="C68" s="114" t="n">
        <v>1</v>
      </c>
      <c r="D68" s="114" t="n">
        <v>1</v>
      </c>
      <c r="E68" s="114" t="n">
        <v>-1</v>
      </c>
      <c r="F68" s="124" t="n">
        <f aca="false">C68*D68*E68</f>
        <v>-1</v>
      </c>
      <c r="G68" s="124" t="n">
        <f aca="false">IF(C68=1,$D$59,$C$59)</f>
        <v>14</v>
      </c>
      <c r="H68" s="124" t="n">
        <f aca="false">IF(D68=1,$D$60,$C$60)</f>
        <v>80</v>
      </c>
      <c r="I68" s="124" t="n">
        <f aca="false">IF(E68=1,$D$61,$C$61)</f>
        <v>16000</v>
      </c>
      <c r="J68" s="124" t="n">
        <f aca="false">IF(F68=1,$D$62,$C$62)</f>
        <v>3</v>
      </c>
      <c r="K68" s="131" t="n">
        <v>0.55</v>
      </c>
      <c r="L68" s="102"/>
      <c r="M68" s="102"/>
      <c r="N68" s="102"/>
      <c r="O68" s="102"/>
    </row>
    <row r="69" customFormat="false" ht="15" hidden="false" customHeight="true" outlineLevel="0" collapsed="false">
      <c r="A69" s="102"/>
      <c r="B69" s="123" t="n">
        <v>5</v>
      </c>
      <c r="C69" s="114" t="n">
        <v>-1</v>
      </c>
      <c r="D69" s="114" t="n">
        <v>-1</v>
      </c>
      <c r="E69" s="114" t="n">
        <v>1</v>
      </c>
      <c r="F69" s="124" t="n">
        <f aca="false">C69*D69*E69</f>
        <v>1</v>
      </c>
      <c r="G69" s="124" t="n">
        <f aca="false">IF(C69=1,$D$59,$C$59)</f>
        <v>8</v>
      </c>
      <c r="H69" s="124" t="n">
        <f aca="false">IF(D69=1,$D$60,$C$60)</f>
        <v>60</v>
      </c>
      <c r="I69" s="124" t="n">
        <f aca="false">IF(E69=1,$D$61,$C$61)</f>
        <v>20000</v>
      </c>
      <c r="J69" s="124" t="n">
        <f aca="false">IF(F69=1,$D$62,$C$62)</f>
        <v>6</v>
      </c>
      <c r="K69" s="131" t="n">
        <v>0.58</v>
      </c>
      <c r="L69" s="102"/>
      <c r="M69" s="102"/>
      <c r="N69" s="102"/>
      <c r="O69" s="102"/>
    </row>
    <row r="70" customFormat="false" ht="15" hidden="false" customHeight="true" outlineLevel="0" collapsed="false">
      <c r="A70" s="102"/>
      <c r="B70" s="123" t="n">
        <v>6</v>
      </c>
      <c r="C70" s="114" t="n">
        <v>1</v>
      </c>
      <c r="D70" s="114" t="n">
        <v>-1</v>
      </c>
      <c r="E70" s="114" t="n">
        <v>1</v>
      </c>
      <c r="F70" s="124" t="n">
        <f aca="false">C70*D70*E70</f>
        <v>-1</v>
      </c>
      <c r="G70" s="124" t="n">
        <f aca="false">IF(C70=1,$D$59,$C$59)</f>
        <v>14</v>
      </c>
      <c r="H70" s="124" t="n">
        <f aca="false">IF(D70=1,$D$60,$C$60)</f>
        <v>60</v>
      </c>
      <c r="I70" s="124" t="n">
        <f aca="false">IF(E70=1,$D$61,$C$61)</f>
        <v>20000</v>
      </c>
      <c r="J70" s="124" t="n">
        <f aca="false">IF(F70=1,$D$62,$C$62)</f>
        <v>3</v>
      </c>
      <c r="K70" s="131" t="n">
        <v>0.44</v>
      </c>
      <c r="L70" s="102"/>
      <c r="M70" s="102"/>
      <c r="N70" s="102"/>
      <c r="O70" s="102"/>
    </row>
    <row r="71" customFormat="false" ht="15" hidden="false" customHeight="true" outlineLevel="0" collapsed="false">
      <c r="A71" s="102"/>
      <c r="B71" s="123" t="n">
        <v>7</v>
      </c>
      <c r="C71" s="114" t="n">
        <v>-1</v>
      </c>
      <c r="D71" s="114" t="n">
        <v>1</v>
      </c>
      <c r="E71" s="114" t="n">
        <v>1</v>
      </c>
      <c r="F71" s="124" t="n">
        <f aca="false">C71*D71*E71</f>
        <v>-1</v>
      </c>
      <c r="G71" s="124" t="n">
        <f aca="false">IF(C71=1,$D$59,$C$59)</f>
        <v>8</v>
      </c>
      <c r="H71" s="124" t="n">
        <f aca="false">IF(D71=1,$D$60,$C$60)</f>
        <v>80</v>
      </c>
      <c r="I71" s="124" t="n">
        <f aca="false">IF(E71=1,$D$61,$C$61)</f>
        <v>20000</v>
      </c>
      <c r="J71" s="124" t="n">
        <f aca="false">IF(F71=1,$D$62,$C$62)</f>
        <v>3</v>
      </c>
      <c r="K71" s="131" t="n">
        <v>0.83</v>
      </c>
      <c r="L71" s="102"/>
      <c r="M71" s="102"/>
      <c r="N71" s="102"/>
      <c r="O71" s="102"/>
    </row>
    <row r="72" customFormat="false" ht="15" hidden="false" customHeight="true" outlineLevel="0" collapsed="false">
      <c r="A72" s="102"/>
      <c r="B72" s="123" t="n">
        <v>8</v>
      </c>
      <c r="C72" s="114" t="n">
        <v>1</v>
      </c>
      <c r="D72" s="114" t="n">
        <v>1</v>
      </c>
      <c r="E72" s="114" t="n">
        <v>1</v>
      </c>
      <c r="F72" s="124" t="n">
        <f aca="false">C72*D72*E72</f>
        <v>1</v>
      </c>
      <c r="G72" s="124" t="n">
        <f aca="false">IF(C72=1,$D$59,$C$59)</f>
        <v>14</v>
      </c>
      <c r="H72" s="124" t="n">
        <f aca="false">IF(D72=1,$D$60,$C$60)</f>
        <v>80</v>
      </c>
      <c r="I72" s="124" t="n">
        <f aca="false">IF(E72=1,$D$61,$C$61)</f>
        <v>20000</v>
      </c>
      <c r="J72" s="124" t="n">
        <f aca="false">IF(F72=1,$D$62,$C$62)</f>
        <v>6</v>
      </c>
      <c r="K72" s="131" t="n">
        <v>0.6</v>
      </c>
      <c r="L72" s="102"/>
      <c r="M72" s="102"/>
      <c r="N72" s="102"/>
      <c r="O72" s="102"/>
    </row>
    <row r="73" customFormat="false" ht="15" hidden="false" customHeight="true" outlineLevel="0" collapsed="false">
      <c r="A73" s="102"/>
      <c r="B73" s="102"/>
      <c r="C73" s="102"/>
      <c r="D73" s="102"/>
      <c r="E73" s="102"/>
      <c r="F73" s="102"/>
      <c r="G73" s="102"/>
      <c r="H73" s="102"/>
      <c r="I73" s="102"/>
      <c r="J73" s="102"/>
      <c r="K73" s="102"/>
      <c r="L73" s="102"/>
      <c r="M73" s="102"/>
      <c r="N73" s="102"/>
      <c r="O73" s="102"/>
    </row>
    <row r="74" customFormat="false" ht="16.5" hidden="false" customHeight="true" outlineLevel="0" collapsed="false">
      <c r="A74" s="102"/>
      <c r="B74" s="108" t="s">
        <v>5275</v>
      </c>
      <c r="C74" s="108" t="s">
        <v>5364</v>
      </c>
      <c r="D74" s="108" t="s">
        <v>5365</v>
      </c>
      <c r="E74" s="108" t="s">
        <v>5366</v>
      </c>
      <c r="F74" s="102"/>
      <c r="G74" s="102"/>
      <c r="H74" s="102"/>
      <c r="I74" s="102"/>
      <c r="J74" s="102"/>
      <c r="K74" s="102"/>
      <c r="L74" s="102"/>
      <c r="M74" s="102"/>
      <c r="N74" s="102"/>
      <c r="O74" s="102"/>
    </row>
    <row r="75" customFormat="false" ht="15" hidden="false" customHeight="true" outlineLevel="0" collapsed="false">
      <c r="A75" s="102"/>
      <c r="B75" s="123" t="n">
        <v>1</v>
      </c>
      <c r="C75" s="124" t="n">
        <f aca="false">C65*D65</f>
        <v>1</v>
      </c>
      <c r="D75" s="124" t="n">
        <f aca="false">C65*E65</f>
        <v>1</v>
      </c>
      <c r="E75" s="124" t="n">
        <f aca="false">C65*F65</f>
        <v>1</v>
      </c>
      <c r="F75" s="102"/>
      <c r="G75" s="102"/>
      <c r="H75" s="102"/>
      <c r="I75" s="102"/>
      <c r="J75" s="102"/>
      <c r="K75" s="102"/>
      <c r="L75" s="102"/>
      <c r="M75" s="102"/>
      <c r="N75" s="102"/>
      <c r="O75" s="102"/>
    </row>
    <row r="76" customFormat="false" ht="15" hidden="false" customHeight="true" outlineLevel="0" collapsed="false">
      <c r="A76" s="102"/>
      <c r="B76" s="123" t="n">
        <v>2</v>
      </c>
      <c r="C76" s="124" t="n">
        <f aca="false">C66*D66</f>
        <v>-1</v>
      </c>
      <c r="D76" s="124" t="n">
        <f aca="false">C66*E66</f>
        <v>-1</v>
      </c>
      <c r="E76" s="124" t="n">
        <f aca="false">C66*F66</f>
        <v>1</v>
      </c>
      <c r="F76" s="102"/>
      <c r="G76" s="102"/>
      <c r="H76" s="102"/>
      <c r="I76" s="102"/>
      <c r="J76" s="102"/>
      <c r="K76" s="102"/>
      <c r="L76" s="102"/>
      <c r="M76" s="102"/>
      <c r="N76" s="102"/>
      <c r="O76" s="102"/>
    </row>
    <row r="77" customFormat="false" ht="15" hidden="false" customHeight="true" outlineLevel="0" collapsed="false">
      <c r="A77" s="102"/>
      <c r="B77" s="123" t="n">
        <v>3</v>
      </c>
      <c r="C77" s="124" t="n">
        <f aca="false">C67*D67</f>
        <v>-1</v>
      </c>
      <c r="D77" s="124" t="n">
        <f aca="false">C67*E67</f>
        <v>1</v>
      </c>
      <c r="E77" s="124" t="n">
        <f aca="false">C67*F67</f>
        <v>-1</v>
      </c>
      <c r="F77" s="102"/>
      <c r="G77" s="102"/>
      <c r="H77" s="102"/>
      <c r="I77" s="102"/>
      <c r="J77" s="102"/>
      <c r="K77" s="102"/>
      <c r="L77" s="102"/>
      <c r="M77" s="102"/>
      <c r="N77" s="102"/>
      <c r="O77" s="102"/>
    </row>
    <row r="78" customFormat="false" ht="15" hidden="false" customHeight="true" outlineLevel="0" collapsed="false">
      <c r="A78" s="102"/>
      <c r="B78" s="123" t="n">
        <v>4</v>
      </c>
      <c r="C78" s="124" t="n">
        <f aca="false">C68*D68</f>
        <v>1</v>
      </c>
      <c r="D78" s="124" t="n">
        <f aca="false">C68*E68</f>
        <v>-1</v>
      </c>
      <c r="E78" s="124" t="n">
        <f aca="false">C68*F68</f>
        <v>-1</v>
      </c>
      <c r="F78" s="102"/>
      <c r="G78" s="102"/>
      <c r="H78" s="102"/>
      <c r="I78" s="102"/>
      <c r="J78" s="102"/>
      <c r="K78" s="102"/>
      <c r="L78" s="102"/>
      <c r="M78" s="102"/>
      <c r="N78" s="102"/>
      <c r="O78" s="102"/>
    </row>
    <row r="79" customFormat="false" ht="15" hidden="false" customHeight="true" outlineLevel="0" collapsed="false">
      <c r="A79" s="102"/>
      <c r="B79" s="123" t="n">
        <v>5</v>
      </c>
      <c r="C79" s="124" t="n">
        <f aca="false">C69*D69</f>
        <v>1</v>
      </c>
      <c r="D79" s="124" t="n">
        <f aca="false">C69*E69</f>
        <v>-1</v>
      </c>
      <c r="E79" s="124" t="n">
        <f aca="false">C69*F69</f>
        <v>-1</v>
      </c>
      <c r="F79" s="102"/>
      <c r="G79" s="102"/>
      <c r="H79" s="102"/>
      <c r="I79" s="102"/>
      <c r="J79" s="102"/>
      <c r="K79" s="102"/>
      <c r="L79" s="102"/>
      <c r="M79" s="102"/>
      <c r="N79" s="102"/>
      <c r="O79" s="102"/>
    </row>
    <row r="80" customFormat="false" ht="15" hidden="false" customHeight="true" outlineLevel="0" collapsed="false">
      <c r="A80" s="102"/>
      <c r="B80" s="123" t="n">
        <v>6</v>
      </c>
      <c r="C80" s="124" t="n">
        <f aca="false">C70*D70</f>
        <v>-1</v>
      </c>
      <c r="D80" s="124" t="n">
        <f aca="false">C70*E70</f>
        <v>1</v>
      </c>
      <c r="E80" s="124" t="n">
        <f aca="false">C70*F70</f>
        <v>-1</v>
      </c>
      <c r="F80" s="102"/>
      <c r="G80" s="102"/>
      <c r="H80" s="102"/>
      <c r="I80" s="102"/>
      <c r="J80" s="102"/>
      <c r="K80" s="102"/>
      <c r="L80" s="102"/>
      <c r="M80" s="102"/>
      <c r="N80" s="102"/>
      <c r="O80" s="102"/>
    </row>
    <row r="81" customFormat="false" ht="15" hidden="false" customHeight="true" outlineLevel="0" collapsed="false">
      <c r="A81" s="102"/>
      <c r="B81" s="123" t="n">
        <v>7</v>
      </c>
      <c r="C81" s="124" t="n">
        <f aca="false">C71*D71</f>
        <v>-1</v>
      </c>
      <c r="D81" s="124" t="n">
        <f aca="false">C71*E71</f>
        <v>-1</v>
      </c>
      <c r="E81" s="124" t="n">
        <f aca="false">C71*F71</f>
        <v>1</v>
      </c>
      <c r="F81" s="102"/>
      <c r="G81" s="102"/>
      <c r="H81" s="102"/>
      <c r="I81" s="102"/>
      <c r="J81" s="102"/>
      <c r="K81" s="102"/>
      <c r="L81" s="102"/>
      <c r="M81" s="102"/>
      <c r="N81" s="102"/>
      <c r="O81" s="102"/>
    </row>
    <row r="82" customFormat="false" ht="15" hidden="false" customHeight="true" outlineLevel="0" collapsed="false">
      <c r="A82" s="102"/>
      <c r="B82" s="123" t="n">
        <v>8</v>
      </c>
      <c r="C82" s="124" t="n">
        <f aca="false">C72*D72</f>
        <v>1</v>
      </c>
      <c r="D82" s="124" t="n">
        <f aca="false">C72*E72</f>
        <v>1</v>
      </c>
      <c r="E82" s="124" t="n">
        <f aca="false">C72*F72</f>
        <v>1</v>
      </c>
      <c r="F82" s="102"/>
      <c r="G82" s="102"/>
      <c r="H82" s="102"/>
      <c r="I82" s="102"/>
      <c r="J82" s="102"/>
      <c r="K82" s="102"/>
      <c r="L82" s="102"/>
      <c r="M82" s="102"/>
      <c r="N82" s="102"/>
      <c r="O82" s="102"/>
    </row>
    <row r="83" customFormat="false" ht="15" hidden="false" customHeight="true" outlineLevel="0" collapsed="false">
      <c r="A83" s="102"/>
      <c r="B83" s="102"/>
      <c r="C83" s="102"/>
      <c r="D83" s="102"/>
      <c r="E83" s="102"/>
      <c r="F83" s="102"/>
      <c r="G83" s="102"/>
      <c r="H83" s="102"/>
      <c r="I83" s="102"/>
      <c r="J83" s="102"/>
      <c r="K83" s="102"/>
      <c r="L83" s="102"/>
      <c r="M83" s="102"/>
      <c r="N83" s="102"/>
      <c r="O83" s="102"/>
    </row>
    <row r="84" customFormat="false" ht="16.5" hidden="false" customHeight="true" outlineLevel="0" collapsed="false">
      <c r="A84" s="102"/>
      <c r="B84" s="108" t="s">
        <v>5367</v>
      </c>
      <c r="C84" s="108" t="s">
        <v>5287</v>
      </c>
      <c r="D84" s="108" t="s">
        <v>5368</v>
      </c>
      <c r="E84" s="102"/>
      <c r="F84" s="102"/>
      <c r="G84" s="102"/>
      <c r="H84" s="102"/>
      <c r="I84" s="102"/>
      <c r="J84" s="102"/>
      <c r="K84" s="102"/>
      <c r="L84" s="102"/>
      <c r="M84" s="102"/>
      <c r="N84" s="102"/>
      <c r="O84" s="102"/>
    </row>
    <row r="85" customFormat="false" ht="15" hidden="false" customHeight="true" outlineLevel="0" collapsed="false">
      <c r="A85" s="102"/>
      <c r="B85" s="110" t="s">
        <v>5369</v>
      </c>
      <c r="C85" s="126" t="n">
        <f aca="false">SUMPRODUCT(C65:C72,K65:K72)/4</f>
        <v>-0.1675</v>
      </c>
      <c r="D85" s="126" t="n">
        <f aca="false">ABS(C85)</f>
        <v>0.1675</v>
      </c>
      <c r="E85" s="102"/>
      <c r="F85" s="102"/>
      <c r="G85" s="102"/>
      <c r="H85" s="102"/>
      <c r="I85" s="102"/>
      <c r="J85" s="102"/>
      <c r="K85" s="102"/>
      <c r="L85" s="102"/>
      <c r="M85" s="102"/>
      <c r="N85" s="102"/>
      <c r="O85" s="102"/>
    </row>
    <row r="86" customFormat="false" ht="15" hidden="false" customHeight="true" outlineLevel="0" collapsed="false">
      <c r="A86" s="102"/>
      <c r="B86" s="110" t="s">
        <v>5370</v>
      </c>
      <c r="C86" s="126" t="n">
        <f aca="false">SUMPRODUCT(D65:D72,K65:K72)/4</f>
        <v>0.1425</v>
      </c>
      <c r="D86" s="126" t="n">
        <f aca="false">ABS(C86)</f>
        <v>0.1425</v>
      </c>
      <c r="E86" s="102"/>
      <c r="F86" s="102"/>
      <c r="G86" s="102"/>
      <c r="H86" s="102"/>
      <c r="I86" s="102"/>
      <c r="J86" s="102"/>
      <c r="K86" s="102"/>
      <c r="L86" s="102"/>
      <c r="M86" s="102"/>
      <c r="N86" s="102"/>
      <c r="O86" s="102"/>
    </row>
    <row r="87" customFormat="false" ht="15" hidden="false" customHeight="true" outlineLevel="0" collapsed="false">
      <c r="A87" s="102"/>
      <c r="B87" s="110" t="s">
        <v>5371</v>
      </c>
      <c r="C87" s="126" t="n">
        <f aca="false">SUMPRODUCT(E65:E72,K65:K72)/4</f>
        <v>0.0225</v>
      </c>
      <c r="D87" s="126" t="n">
        <f aca="false">ABS(C87)</f>
        <v>0.0225</v>
      </c>
      <c r="E87" s="102"/>
      <c r="F87" s="102"/>
      <c r="G87" s="102"/>
      <c r="H87" s="102"/>
      <c r="I87" s="102"/>
      <c r="J87" s="102"/>
      <c r="K87" s="102"/>
      <c r="L87" s="102"/>
      <c r="M87" s="102"/>
      <c r="N87" s="102"/>
      <c r="O87" s="102"/>
    </row>
    <row r="88" customFormat="false" ht="15" hidden="false" customHeight="true" outlineLevel="0" collapsed="false">
      <c r="A88" s="102"/>
      <c r="B88" s="110" t="s">
        <v>5372</v>
      </c>
      <c r="C88" s="126" t="n">
        <f aca="false">SUMPRODUCT(F65:F72,K65:K72)/4</f>
        <v>-0.0175</v>
      </c>
      <c r="D88" s="126" t="n">
        <f aca="false">ABS(C88)</f>
        <v>0.0175</v>
      </c>
      <c r="E88" s="102"/>
      <c r="F88" s="102"/>
      <c r="G88" s="102"/>
      <c r="H88" s="102"/>
      <c r="I88" s="102"/>
      <c r="J88" s="102"/>
      <c r="K88" s="102"/>
      <c r="L88" s="102"/>
      <c r="M88" s="102"/>
      <c r="N88" s="102"/>
      <c r="O88" s="102"/>
    </row>
    <row r="89" customFormat="false" ht="15" hidden="false" customHeight="true" outlineLevel="0" collapsed="false">
      <c r="A89" s="102"/>
      <c r="B89" s="110" t="s">
        <v>5373</v>
      </c>
      <c r="C89" s="126" t="n">
        <f aca="false">SUMPRODUCT(C75:C82,K65:K72)/4</f>
        <v>-0.0275</v>
      </c>
      <c r="D89" s="126" t="n">
        <f aca="false">ABS(C89)</f>
        <v>0.0275</v>
      </c>
      <c r="E89" s="102"/>
      <c r="F89" s="102"/>
      <c r="G89" s="102"/>
      <c r="H89" s="102"/>
      <c r="I89" s="102"/>
      <c r="J89" s="102"/>
      <c r="K89" s="102"/>
      <c r="L89" s="102"/>
      <c r="M89" s="102"/>
      <c r="N89" s="102"/>
      <c r="O89" s="102"/>
    </row>
    <row r="90" customFormat="false" ht="15" hidden="false" customHeight="true" outlineLevel="0" collapsed="false">
      <c r="A90" s="102"/>
      <c r="B90" s="110" t="s">
        <v>5374</v>
      </c>
      <c r="C90" s="126" t="n">
        <f aca="false">SUMPRODUCT(D75:D82,K65:K72)/4</f>
        <v>-0.0175</v>
      </c>
      <c r="D90" s="126" t="n">
        <f aca="false">ABS(C90)</f>
        <v>0.0175</v>
      </c>
      <c r="E90" s="102"/>
      <c r="F90" s="102"/>
      <c r="G90" s="102"/>
      <c r="H90" s="102"/>
      <c r="I90" s="102"/>
      <c r="J90" s="102"/>
      <c r="K90" s="102"/>
      <c r="L90" s="102"/>
      <c r="M90" s="102"/>
      <c r="N90" s="102"/>
      <c r="O90" s="102"/>
    </row>
    <row r="91" customFormat="false" ht="15" hidden="false" customHeight="true" outlineLevel="0" collapsed="false">
      <c r="A91" s="102"/>
      <c r="B91" s="110" t="s">
        <v>5375</v>
      </c>
      <c r="C91" s="126" t="n">
        <f aca="false">SUMPRODUCT(E75:E82,K65:K72)/4</f>
        <v>0.0625</v>
      </c>
      <c r="D91" s="126" t="n">
        <f aca="false">ABS(C91)</f>
        <v>0.0625</v>
      </c>
      <c r="E91" s="102"/>
      <c r="F91" s="102"/>
      <c r="G91" s="102"/>
      <c r="H91" s="102"/>
      <c r="I91" s="102"/>
      <c r="J91" s="102"/>
      <c r="K91" s="102"/>
      <c r="L91" s="102"/>
      <c r="M91" s="102"/>
      <c r="N91" s="102"/>
      <c r="O91" s="102"/>
    </row>
    <row r="92" customFormat="false" ht="15" hidden="false" customHeight="true" outlineLevel="0" collapsed="false">
      <c r="A92" s="102"/>
      <c r="B92" s="102"/>
      <c r="C92" s="102"/>
      <c r="D92" s="102"/>
      <c r="E92" s="102"/>
      <c r="F92" s="102"/>
      <c r="G92" s="102"/>
      <c r="H92" s="102"/>
      <c r="I92" s="102"/>
      <c r="J92" s="102"/>
      <c r="K92" s="102"/>
      <c r="L92" s="102"/>
      <c r="M92" s="102"/>
      <c r="N92" s="102"/>
      <c r="O92" s="102"/>
    </row>
    <row r="93" customFormat="false" ht="16.5" hidden="false" customHeight="true" outlineLevel="0" collapsed="false">
      <c r="A93" s="102"/>
      <c r="B93" s="108" t="s">
        <v>5376</v>
      </c>
      <c r="C93" s="108" t="s">
        <v>5201</v>
      </c>
      <c r="D93" s="108" t="s">
        <v>5368</v>
      </c>
      <c r="E93" s="102"/>
      <c r="F93" s="102"/>
      <c r="G93" s="102"/>
      <c r="H93" s="102"/>
      <c r="I93" s="102"/>
      <c r="J93" s="102"/>
      <c r="K93" s="102"/>
      <c r="L93" s="102"/>
      <c r="M93" s="102"/>
      <c r="N93" s="102"/>
      <c r="O93" s="102"/>
    </row>
    <row r="94" customFormat="false" ht="15" hidden="false" customHeight="true" outlineLevel="0" collapsed="false">
      <c r="A94" s="102"/>
      <c r="B94" s="123" t="n">
        <v>1</v>
      </c>
      <c r="C94" s="132" t="str">
        <f aca="false">INDEX(B85:B91,MATCH(D94,D85:D91,0))</f>
        <v>A (= BCD)</v>
      </c>
      <c r="D94" s="126" t="n">
        <f aca="false">LARGE(D85:D91,1)</f>
        <v>0.1675</v>
      </c>
      <c r="E94" s="102"/>
      <c r="F94" s="102"/>
      <c r="G94" s="102"/>
      <c r="H94" s="102"/>
      <c r="I94" s="102"/>
      <c r="J94" s="102"/>
      <c r="K94" s="102"/>
      <c r="L94" s="102"/>
      <c r="M94" s="102"/>
      <c r="N94" s="102"/>
      <c r="O94" s="102"/>
    </row>
    <row r="95" customFormat="false" ht="15" hidden="false" customHeight="true" outlineLevel="0" collapsed="false">
      <c r="A95" s="102"/>
      <c r="B95" s="123" t="n">
        <v>2</v>
      </c>
      <c r="C95" s="132" t="str">
        <f aca="false">INDEX(B85:B91,MATCH(D95,D85:D91,0))</f>
        <v>B (= ACD)</v>
      </c>
      <c r="D95" s="126" t="n">
        <f aca="false">LARGE(D85:D91,2)</f>
        <v>0.1425</v>
      </c>
      <c r="E95" s="102"/>
      <c r="F95" s="102"/>
      <c r="G95" s="102"/>
      <c r="H95" s="102"/>
      <c r="I95" s="102"/>
      <c r="J95" s="102"/>
      <c r="K95" s="102"/>
      <c r="L95" s="102"/>
      <c r="M95" s="102"/>
      <c r="N95" s="102"/>
      <c r="O95" s="102"/>
    </row>
    <row r="96" customFormat="false" ht="15" hidden="false" customHeight="true" outlineLevel="0" collapsed="false">
      <c r="A96" s="102"/>
      <c r="B96" s="123" t="n">
        <v>3</v>
      </c>
      <c r="C96" s="132" t="str">
        <f aca="false">INDEX(B85:B91,MATCH(D96,D85:D91,0))</f>
        <v>AD = BC</v>
      </c>
      <c r="D96" s="126" t="n">
        <f aca="false">LARGE(D85:D91,3)</f>
        <v>0.0625</v>
      </c>
      <c r="E96" s="102"/>
      <c r="F96" s="102"/>
      <c r="G96" s="102"/>
      <c r="H96" s="102"/>
      <c r="I96" s="102"/>
      <c r="J96" s="102"/>
      <c r="K96" s="102"/>
      <c r="L96" s="102"/>
      <c r="M96" s="102"/>
      <c r="N96" s="102"/>
      <c r="O96" s="102"/>
    </row>
    <row r="97" customFormat="false" ht="15" hidden="false" customHeight="true" outlineLevel="0" collapsed="false">
      <c r="A97" s="102"/>
      <c r="B97" s="123" t="n">
        <v>4</v>
      </c>
      <c r="C97" s="132" t="str">
        <f aca="false">INDEX(B85:B91,MATCH(D97,D85:D91,0))</f>
        <v>AB = CD</v>
      </c>
      <c r="D97" s="126" t="n">
        <f aca="false">LARGE(D85:D91,4)</f>
        <v>0.0275</v>
      </c>
      <c r="E97" s="102"/>
      <c r="F97" s="102"/>
      <c r="G97" s="102"/>
      <c r="H97" s="102"/>
      <c r="I97" s="102"/>
      <c r="J97" s="102"/>
      <c r="K97" s="102"/>
      <c r="L97" s="102"/>
      <c r="M97" s="102"/>
      <c r="N97" s="102"/>
      <c r="O97" s="102"/>
    </row>
    <row r="98" customFormat="false" ht="15" hidden="false" customHeight="true" outlineLevel="0" collapsed="false">
      <c r="A98" s="102"/>
      <c r="B98" s="123" t="n">
        <v>5</v>
      </c>
      <c r="C98" s="132" t="str">
        <f aca="false">INDEX(B85:B91,MATCH(D98,D85:D91,0))</f>
        <v>C (= ABD)</v>
      </c>
      <c r="D98" s="126" t="n">
        <f aca="false">LARGE(D85:D91,5)</f>
        <v>0.0225</v>
      </c>
      <c r="E98" s="102"/>
      <c r="F98" s="102"/>
      <c r="G98" s="102"/>
      <c r="H98" s="102"/>
      <c r="I98" s="102"/>
      <c r="J98" s="102"/>
      <c r="K98" s="102"/>
      <c r="L98" s="102"/>
      <c r="M98" s="102"/>
      <c r="N98" s="102"/>
      <c r="O98" s="102"/>
    </row>
    <row r="99" customFormat="false" ht="15" hidden="false" customHeight="true" outlineLevel="0" collapsed="false">
      <c r="A99" s="102"/>
      <c r="B99" s="123" t="n">
        <v>6</v>
      </c>
      <c r="C99" s="132" t="str">
        <f aca="false">INDEX(B85:B91,MATCH(D99,D85:D91,0))</f>
        <v>D (= ABC)</v>
      </c>
      <c r="D99" s="126" t="n">
        <f aca="false">LARGE(D85:D91,6)</f>
        <v>0.0175</v>
      </c>
      <c r="E99" s="102"/>
      <c r="F99" s="102"/>
      <c r="G99" s="102"/>
      <c r="H99" s="102"/>
      <c r="I99" s="102"/>
      <c r="J99" s="102"/>
      <c r="K99" s="102"/>
      <c r="L99" s="102"/>
      <c r="M99" s="102"/>
      <c r="N99" s="102"/>
      <c r="O99" s="102"/>
    </row>
    <row r="100" customFormat="false" ht="15" hidden="false" customHeight="true" outlineLevel="0" collapsed="false">
      <c r="A100" s="102"/>
      <c r="B100" s="123" t="n">
        <v>7</v>
      </c>
      <c r="C100" s="132" t="str">
        <f aca="false">INDEX(B85:B91,MATCH(D100,D85:D91,0))</f>
        <v>D (= ABC)</v>
      </c>
      <c r="D100" s="126" t="n">
        <f aca="false">LARGE(D85:D91,7)</f>
        <v>0.0175</v>
      </c>
      <c r="E100" s="102"/>
      <c r="F100" s="102"/>
      <c r="G100" s="102"/>
      <c r="H100" s="102"/>
      <c r="I100" s="102"/>
      <c r="J100" s="102"/>
      <c r="K100" s="102"/>
      <c r="L100" s="102"/>
      <c r="M100" s="102"/>
      <c r="N100" s="102"/>
      <c r="O100" s="102"/>
    </row>
    <row r="101" customFormat="false" ht="15" hidden="false" customHeight="true" outlineLevel="0" collapsed="false">
      <c r="A101" s="102"/>
      <c r="B101" s="102"/>
      <c r="C101" s="102"/>
      <c r="D101" s="102"/>
      <c r="E101" s="102"/>
      <c r="F101" s="102"/>
      <c r="G101" s="102"/>
      <c r="H101" s="102"/>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75" hidden="false" customHeight="true" outlineLevel="0" collapsed="false">
      <c r="A120" s="102"/>
      <c r="B120" s="103" t="s">
        <v>1493</v>
      </c>
      <c r="C120" s="104"/>
      <c r="D120" s="104"/>
      <c r="E120" s="104"/>
      <c r="F120" s="104"/>
      <c r="G120" s="104"/>
      <c r="H120" s="104"/>
      <c r="I120" s="104"/>
      <c r="J120" s="104"/>
      <c r="K120" s="104"/>
      <c r="L120" s="102"/>
      <c r="M120" s="102"/>
      <c r="N120" s="102"/>
      <c r="O120" s="102"/>
    </row>
    <row r="121" customFormat="false" ht="49.5" hidden="false" customHeight="true" outlineLevel="0" collapsed="false">
      <c r="A121" s="102"/>
      <c r="B121" s="105" t="s">
        <v>1494</v>
      </c>
      <c r="C121" s="117" t="str">
        <f aca="false">"Largest effect: "&amp;INDEX(B85:B91,MATCH(MAX(D85:D91),D85:D91,0))&amp;" = "&amp;TEXT(MAX(D85:D91),"0.0000")&amp;" mm. If this is a two-factor row (AB=CD, AC=BD or AD=BC), it cannot yet be attributed to one specific interaction - it is the SUM of the confounded pair until a follow-up run (a fold-over) separates them."</f>
        <v>Largest effect: A (= BCD) = 0.1675 mm. If this is a two-factor row (AB=CD, AC=BD or AD=BC), it cannot yet be attributed to one specific interaction - it is the SUM of the confounded pair until a follow-up run (a fold-over) separates them.</v>
      </c>
      <c r="D121" s="117"/>
      <c r="E121" s="117"/>
      <c r="F121" s="117"/>
      <c r="G121" s="117"/>
      <c r="H121" s="102"/>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7.25" hidden="false" customHeight="true" outlineLevel="0" collapsed="false">
      <c r="A123" s="102"/>
      <c r="B123" s="108" t="s">
        <v>1495</v>
      </c>
      <c r="C123" s="108" t="s">
        <v>1496</v>
      </c>
      <c r="D123" s="108" t="s">
        <v>1497</v>
      </c>
      <c r="E123" s="108"/>
      <c r="F123" s="102"/>
      <c r="G123" s="102"/>
      <c r="H123" s="102"/>
      <c r="I123" s="102"/>
      <c r="J123" s="102"/>
      <c r="K123" s="102"/>
      <c r="L123" s="102"/>
      <c r="M123" s="102"/>
      <c r="N123" s="102"/>
      <c r="O123" s="102"/>
    </row>
    <row r="124" customFormat="false" ht="31.5" hidden="false" customHeight="true" outlineLevel="0" collapsed="false">
      <c r="A124" s="102"/>
      <c r="B124" s="110" t="s">
        <v>5206</v>
      </c>
      <c r="C124" s="111" t="s">
        <v>5377</v>
      </c>
      <c r="D124" s="15" t="s">
        <v>5378</v>
      </c>
      <c r="E124" s="15"/>
      <c r="F124" s="102"/>
      <c r="G124" s="102"/>
      <c r="H124" s="102"/>
      <c r="I124" s="102"/>
      <c r="J124" s="102"/>
      <c r="K124" s="102"/>
      <c r="L124" s="102"/>
      <c r="M124" s="102"/>
      <c r="N124" s="102"/>
      <c r="O124" s="102"/>
    </row>
    <row r="125" customFormat="false" ht="17.25" hidden="false" customHeight="true" outlineLevel="0" collapsed="false">
      <c r="A125" s="102"/>
      <c r="B125" s="110" t="s">
        <v>5379</v>
      </c>
      <c r="C125" s="111" t="s">
        <v>5380</v>
      </c>
      <c r="D125" s="15" t="s">
        <v>5381</v>
      </c>
      <c r="E125" s="15"/>
      <c r="F125" s="102"/>
      <c r="G125" s="102"/>
      <c r="H125" s="102"/>
      <c r="I125" s="102"/>
      <c r="J125" s="102"/>
      <c r="K125" s="102"/>
      <c r="L125" s="102"/>
      <c r="M125" s="102"/>
      <c r="N125" s="102"/>
      <c r="O125" s="102"/>
    </row>
    <row r="126" customFormat="false" ht="31.5" hidden="false" customHeight="true" outlineLevel="0" collapsed="false">
      <c r="A126" s="102"/>
      <c r="B126" s="110" t="s">
        <v>5382</v>
      </c>
      <c r="C126" s="111" t="s">
        <v>5383</v>
      </c>
      <c r="D126" s="15" t="s">
        <v>5384</v>
      </c>
      <c r="E126" s="15"/>
      <c r="F126" s="102"/>
      <c r="G126" s="102"/>
      <c r="H126" s="102"/>
      <c r="I126" s="102"/>
      <c r="J126" s="102"/>
      <c r="K126" s="102"/>
      <c r="L126" s="102"/>
      <c r="M126" s="102"/>
      <c r="N126" s="102"/>
      <c r="O126" s="102"/>
    </row>
    <row r="127" customFormat="false" ht="15" hidden="false" customHeight="true" outlineLevel="0" collapsed="false">
      <c r="A127" s="102"/>
      <c r="B127" s="102"/>
      <c r="C127" s="102"/>
      <c r="D127" s="102"/>
      <c r="E127" s="102"/>
      <c r="F127" s="102"/>
      <c r="G127" s="102"/>
      <c r="H127" s="102"/>
      <c r="I127" s="102"/>
      <c r="J127" s="102"/>
      <c r="K127" s="102"/>
      <c r="L127" s="102"/>
      <c r="M127" s="102"/>
      <c r="N127" s="102"/>
      <c r="O127" s="102"/>
    </row>
    <row r="128" customFormat="false" ht="15" hidden="false" customHeight="true" outlineLevel="0" collapsed="false">
      <c r="A128" s="102"/>
      <c r="B128" s="105" t="s">
        <v>1507</v>
      </c>
      <c r="C128" s="102"/>
      <c r="D128" s="102"/>
      <c r="E128" s="102"/>
      <c r="F128" s="102"/>
      <c r="G128" s="102"/>
      <c r="H128" s="102"/>
      <c r="I128" s="102"/>
      <c r="J128" s="102"/>
      <c r="K128" s="102"/>
      <c r="L128" s="102"/>
      <c r="M128" s="102"/>
      <c r="N128" s="102"/>
      <c r="O128" s="102"/>
    </row>
    <row r="129" customFormat="false" ht="17.25" hidden="false" customHeight="true" outlineLevel="0" collapsed="false">
      <c r="A129" s="102"/>
      <c r="B129" s="106" t="s">
        <v>5385</v>
      </c>
      <c r="C129" s="106"/>
      <c r="D129" s="106"/>
      <c r="E129" s="106"/>
      <c r="F129" s="106"/>
      <c r="G129" s="106"/>
      <c r="H129" s="106"/>
      <c r="I129" s="102"/>
      <c r="J129" s="102"/>
      <c r="K129" s="102"/>
      <c r="L129" s="102"/>
      <c r="M129" s="102"/>
      <c r="N129" s="102"/>
      <c r="O129" s="102"/>
    </row>
    <row r="130" customFormat="false" ht="17.25" hidden="false" customHeight="true" outlineLevel="0" collapsed="false">
      <c r="A130" s="102"/>
      <c r="B130" s="106" t="s">
        <v>5386</v>
      </c>
      <c r="C130" s="106"/>
      <c r="D130" s="106"/>
      <c r="E130" s="106"/>
      <c r="F130" s="106"/>
      <c r="G130" s="106"/>
      <c r="H130" s="106"/>
      <c r="I130" s="102"/>
      <c r="J130" s="102"/>
      <c r="K130" s="102"/>
      <c r="L130" s="102"/>
      <c r="M130" s="102"/>
      <c r="N130" s="102"/>
      <c r="O130" s="102"/>
    </row>
    <row r="131" customFormat="false" ht="17.25" hidden="false" customHeight="true" outlineLevel="0" collapsed="false">
      <c r="A131" s="102"/>
      <c r="B131" s="106" t="s">
        <v>5387</v>
      </c>
      <c r="C131" s="106"/>
      <c r="D131" s="106"/>
      <c r="E131" s="106"/>
      <c r="F131" s="106"/>
      <c r="G131" s="106"/>
      <c r="H131" s="106"/>
      <c r="I131" s="102"/>
      <c r="J131" s="102"/>
      <c r="K131" s="102"/>
      <c r="L131" s="102"/>
      <c r="M131" s="102"/>
      <c r="N131" s="102"/>
      <c r="O131" s="102"/>
    </row>
    <row r="132" customFormat="false" ht="17.25" hidden="false" customHeight="true" outlineLevel="0" collapsed="false">
      <c r="A132" s="102"/>
      <c r="B132" s="106" t="s">
        <v>5388</v>
      </c>
      <c r="C132" s="106"/>
      <c r="D132" s="106"/>
      <c r="E132" s="106"/>
      <c r="F132" s="106"/>
      <c r="G132" s="106"/>
      <c r="H132" s="106"/>
      <c r="I132" s="102"/>
      <c r="J132" s="102"/>
      <c r="K132" s="102"/>
      <c r="L132" s="102"/>
      <c r="M132" s="102"/>
      <c r="N132" s="102"/>
      <c r="O132" s="102"/>
    </row>
    <row r="133" customFormat="false" ht="15" hidden="false" customHeight="true" outlineLevel="0" collapsed="false">
      <c r="A133" s="102"/>
      <c r="B133" s="102"/>
      <c r="C133" s="102"/>
      <c r="D133" s="102"/>
      <c r="E133" s="102"/>
      <c r="F133" s="102"/>
      <c r="G133" s="102"/>
      <c r="H133" s="102"/>
      <c r="I133" s="102"/>
      <c r="J133" s="102"/>
      <c r="K133" s="102"/>
      <c r="L133" s="102"/>
      <c r="M133" s="102"/>
      <c r="N133" s="102"/>
      <c r="O133" s="102"/>
    </row>
    <row r="134" customFormat="false" ht="15.75" hidden="false" customHeight="true" outlineLevel="0" collapsed="false">
      <c r="A134" s="102"/>
      <c r="B134" s="103" t="s">
        <v>1513</v>
      </c>
      <c r="C134" s="104"/>
      <c r="D134" s="104"/>
      <c r="E134" s="104"/>
      <c r="F134" s="104"/>
      <c r="G134" s="104"/>
      <c r="H134" s="104"/>
      <c r="I134" s="104"/>
      <c r="J134" s="104"/>
      <c r="K134" s="104"/>
      <c r="L134" s="102"/>
      <c r="M134" s="102"/>
      <c r="N134" s="102"/>
      <c r="O134" s="102"/>
    </row>
    <row r="135" customFormat="false" ht="17.25" hidden="false" customHeight="true" outlineLevel="0" collapsed="false">
      <c r="A135" s="102"/>
      <c r="B135" s="118" t="s">
        <v>1514</v>
      </c>
      <c r="C135" s="118"/>
      <c r="D135" s="118"/>
      <c r="E135" s="118"/>
      <c r="F135" s="102"/>
      <c r="G135" s="102"/>
      <c r="H135" s="102"/>
      <c r="I135" s="102"/>
      <c r="J135" s="102"/>
      <c r="K135" s="102"/>
      <c r="L135" s="102"/>
      <c r="M135" s="102"/>
      <c r="N135" s="119" t="s">
        <v>1515</v>
      </c>
      <c r="O135" s="102"/>
    </row>
    <row r="136" customFormat="false" ht="44.25" hidden="false" customHeight="true" outlineLevel="0" collapsed="false">
      <c r="A136" s="102"/>
      <c r="B136" s="106" t="s">
        <v>5389</v>
      </c>
      <c r="C136" s="106"/>
      <c r="D136" s="106"/>
      <c r="E136" s="106"/>
      <c r="F136" s="102"/>
      <c r="G136" s="102"/>
      <c r="H136" s="102"/>
      <c r="I136" s="102"/>
      <c r="J136" s="102"/>
      <c r="K136" s="102"/>
      <c r="L136" s="102"/>
      <c r="M136" s="102"/>
      <c r="N136" s="120" t="s">
        <v>5390</v>
      </c>
      <c r="O136" s="102"/>
    </row>
    <row r="137" customFormat="false" ht="30.75" hidden="false" customHeight="true" outlineLevel="0" collapsed="false">
      <c r="A137" s="102"/>
      <c r="B137" s="106" t="s">
        <v>5391</v>
      </c>
      <c r="C137" s="106"/>
      <c r="D137" s="106"/>
      <c r="E137" s="106"/>
      <c r="F137" s="102"/>
      <c r="G137" s="102"/>
      <c r="H137" s="102"/>
      <c r="I137" s="102"/>
      <c r="J137" s="102"/>
      <c r="K137" s="102"/>
      <c r="L137" s="102"/>
      <c r="M137" s="102"/>
      <c r="N137" s="120" t="s">
        <v>5392</v>
      </c>
      <c r="O137" s="102"/>
    </row>
    <row r="138" customFormat="false" ht="44.25" hidden="false" customHeight="true" outlineLevel="0" collapsed="false">
      <c r="A138" s="102"/>
      <c r="B138" s="106" t="s">
        <v>5393</v>
      </c>
      <c r="C138" s="106"/>
      <c r="D138" s="106"/>
      <c r="E138" s="106"/>
      <c r="F138" s="102"/>
      <c r="G138" s="102"/>
      <c r="H138" s="102"/>
      <c r="I138" s="102"/>
      <c r="J138" s="102"/>
      <c r="K138" s="102"/>
      <c r="L138" s="102"/>
      <c r="M138" s="102"/>
      <c r="N138" s="120" t="s">
        <v>5394</v>
      </c>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75" hidden="false" customHeight="true" outlineLevel="0" collapsed="false">
      <c r="A140" s="102"/>
      <c r="B140" s="103" t="s">
        <v>1522</v>
      </c>
      <c r="C140" s="104"/>
      <c r="D140" s="104"/>
      <c r="E140" s="104"/>
      <c r="F140" s="104"/>
      <c r="G140" s="104"/>
      <c r="H140" s="104"/>
      <c r="I140" s="104"/>
      <c r="J140" s="104"/>
      <c r="K140" s="104"/>
      <c r="L140" s="102"/>
      <c r="M140" s="102"/>
      <c r="N140" s="102"/>
      <c r="O140" s="102"/>
    </row>
    <row r="141" customFormat="false" ht="16.5" hidden="false" customHeight="true" outlineLevel="0" collapsed="false">
      <c r="A141" s="102"/>
      <c r="B141" s="108" t="s">
        <v>1523</v>
      </c>
      <c r="C141" s="108" t="s">
        <v>1524</v>
      </c>
      <c r="D141" s="108" t="s">
        <v>1615</v>
      </c>
      <c r="E141" s="102"/>
      <c r="F141" s="102"/>
      <c r="G141" s="102"/>
      <c r="H141" s="102"/>
      <c r="I141" s="102"/>
      <c r="J141" s="102"/>
      <c r="K141" s="102"/>
      <c r="L141" s="102"/>
      <c r="M141" s="102"/>
      <c r="N141" s="102"/>
      <c r="O141" s="102"/>
    </row>
    <row r="142" customFormat="false" ht="15" hidden="false" customHeight="true" outlineLevel="0" collapsed="false">
      <c r="A142" s="102"/>
      <c r="B142" s="121" t="s">
        <v>1039</v>
      </c>
      <c r="C142" s="121" t="s">
        <v>5228</v>
      </c>
      <c r="D142" s="121" t="s">
        <v>3794</v>
      </c>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42">
    <mergeCell ref="B2:J2"/>
    <mergeCell ref="D3:F3"/>
    <mergeCell ref="C6:G6"/>
    <mergeCell ref="C7:G7"/>
    <mergeCell ref="C8:G8"/>
    <mergeCell ref="B11:H13"/>
    <mergeCell ref="B14:H16"/>
    <mergeCell ref="B17:H17"/>
    <mergeCell ref="B18:H22"/>
    <mergeCell ref="B25:D25"/>
    <mergeCell ref="E25:G25"/>
    <mergeCell ref="B26:D26"/>
    <mergeCell ref="E26:G26"/>
    <mergeCell ref="B27:D27"/>
    <mergeCell ref="E27:G27"/>
    <mergeCell ref="B28:D28"/>
    <mergeCell ref="E28:G28"/>
    <mergeCell ref="B36:H37"/>
    <mergeCell ref="B38:H39"/>
    <mergeCell ref="B40:H42"/>
    <mergeCell ref="B43:H44"/>
    <mergeCell ref="B45:H45"/>
    <mergeCell ref="B46:H46"/>
    <mergeCell ref="D49:E49"/>
    <mergeCell ref="D50:E50"/>
    <mergeCell ref="D51:E51"/>
    <mergeCell ref="D52:E52"/>
    <mergeCell ref="B55:H55"/>
    <mergeCell ref="C56:D56"/>
    <mergeCell ref="C121:G121"/>
    <mergeCell ref="D123:E123"/>
    <mergeCell ref="D124:E124"/>
    <mergeCell ref="D125:E125"/>
    <mergeCell ref="D126:E126"/>
    <mergeCell ref="B129:H129"/>
    <mergeCell ref="B130:H130"/>
    <mergeCell ref="B131:H131"/>
    <mergeCell ref="B132:H132"/>
    <mergeCell ref="B135:E135"/>
    <mergeCell ref="B136:E136"/>
    <mergeCell ref="B137:E137"/>
    <mergeCell ref="B138:E138"/>
  </mergeCells>
  <hyperlinks>
    <hyperlink ref="B3" location="'N-03 Index DMAIC'!A1" display="← Back to Index"/>
    <hyperlink ref="E31" location="'E-41 DOE Fundamentals'!A1" display="E-41  DOE Fundamentals and Terminology"/>
    <hyperlink ref="E32" location="'E-42 Full Factorial'!A1" display="E-42  Full Factorial Designs (2^k)"/>
    <hyperlink ref="E33" location="'E-05 Sampling Subgroups'!A1" display="E-05  Sampling Strategies and Rational Subgrouping"/>
    <hyperlink ref="B142" location="'E-42 Full Factorial'!A1" display="E-42  Full Factorial Designs (2^k)"/>
    <hyperlink ref="C142" location="'E-44 Screening Designs'!A1" display="E-44  Screening Designs (Plackett-Burman)"/>
    <hyperlink ref="D142" location="'E-41 DOE Fundamentals'!A1" display="E-41  DOE Fundamentals and Terminolog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6"/>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5395</v>
      </c>
      <c r="C2" s="3"/>
      <c r="D2" s="3"/>
      <c r="E2" s="3"/>
      <c r="F2" s="3"/>
      <c r="G2" s="3"/>
      <c r="H2" s="3"/>
      <c r="I2" s="3"/>
      <c r="J2" s="3"/>
      <c r="K2" s="101" t="s">
        <v>5137</v>
      </c>
    </row>
    <row r="3" customFormat="false" ht="28.5" hidden="false" customHeight="true" outlineLevel="0" collapsed="false">
      <c r="B3" s="5" t="s">
        <v>3</v>
      </c>
      <c r="D3" s="6" t="s">
        <v>5396</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5397</v>
      </c>
      <c r="D6" s="106"/>
      <c r="E6" s="106"/>
      <c r="F6" s="106"/>
      <c r="G6" s="102"/>
      <c r="H6" s="102"/>
      <c r="I6" s="102"/>
      <c r="J6" s="102"/>
      <c r="K6" s="102"/>
      <c r="L6" s="102"/>
      <c r="M6" s="102"/>
      <c r="N6" s="102"/>
      <c r="O6" s="102"/>
    </row>
    <row r="7" customFormat="false" ht="17.25" hidden="false" customHeight="true" outlineLevel="0" collapsed="false">
      <c r="A7" s="102"/>
      <c r="B7" s="105" t="s">
        <v>1394</v>
      </c>
      <c r="C7" s="106" t="s">
        <v>5398</v>
      </c>
      <c r="D7" s="106"/>
      <c r="E7" s="106"/>
      <c r="F7" s="106"/>
      <c r="G7" s="102"/>
      <c r="H7" s="102"/>
      <c r="I7" s="102"/>
      <c r="J7" s="102"/>
      <c r="K7" s="102"/>
      <c r="L7" s="102"/>
      <c r="M7" s="102"/>
      <c r="N7" s="102"/>
      <c r="O7" s="102"/>
    </row>
    <row r="8" customFormat="false" ht="31.5" hidden="false" customHeight="true" outlineLevel="0" collapsed="false">
      <c r="A8" s="102"/>
      <c r="B8" s="105" t="s">
        <v>1396</v>
      </c>
      <c r="C8" s="106" t="s">
        <v>5399</v>
      </c>
      <c r="D8" s="106"/>
      <c r="E8" s="106"/>
      <c r="F8" s="106"/>
      <c r="G8" s="102"/>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5" hidden="false" customHeight="true" outlineLevel="0" collapsed="false">
      <c r="A11" s="102"/>
      <c r="B11" s="106" t="s">
        <v>5400</v>
      </c>
      <c r="C11" s="106"/>
      <c r="D11" s="106"/>
      <c r="E11" s="106"/>
      <c r="F11" s="106"/>
      <c r="G11" s="106"/>
      <c r="H11" s="106"/>
      <c r="I11" s="102"/>
      <c r="J11" s="102"/>
      <c r="K11" s="102"/>
      <c r="L11" s="102"/>
      <c r="M11" s="102"/>
      <c r="N11" s="102"/>
      <c r="O11" s="102"/>
    </row>
    <row r="12" customFormat="false" ht="15" hidden="false" customHeight="true" outlineLevel="0" collapsed="false">
      <c r="A12" s="102"/>
      <c r="B12" s="106"/>
      <c r="C12" s="106"/>
      <c r="D12" s="106"/>
      <c r="E12" s="106"/>
      <c r="F12" s="106"/>
      <c r="G12" s="106"/>
      <c r="H12" s="106"/>
      <c r="I12" s="102"/>
      <c r="J12" s="102"/>
      <c r="K12" s="102"/>
      <c r="L12" s="102"/>
      <c r="M12" s="102"/>
      <c r="N12" s="102"/>
      <c r="O12" s="102"/>
    </row>
    <row r="13" customFormat="false" ht="15" hidden="false" customHeight="true" outlineLevel="0" collapsed="false">
      <c r="A13" s="102"/>
      <c r="B13" s="106"/>
      <c r="C13" s="106"/>
      <c r="D13" s="106"/>
      <c r="E13" s="106"/>
      <c r="F13" s="106"/>
      <c r="G13" s="106"/>
      <c r="H13" s="106"/>
      <c r="I13" s="102"/>
      <c r="J13" s="102"/>
      <c r="K13" s="102"/>
      <c r="L13" s="102"/>
      <c r="M13" s="102"/>
      <c r="N13" s="102"/>
      <c r="O13" s="102"/>
    </row>
    <row r="14" customFormat="false" ht="17.25" hidden="false" customHeight="true" outlineLevel="0" collapsed="false">
      <c r="A14" s="102"/>
      <c r="B14" s="106" t="s">
        <v>5401</v>
      </c>
      <c r="C14" s="106"/>
      <c r="D14" s="106"/>
      <c r="E14" s="106"/>
      <c r="F14" s="106"/>
      <c r="G14" s="106"/>
      <c r="H14" s="106"/>
      <c r="I14" s="102"/>
      <c r="J14" s="102"/>
      <c r="K14" s="102"/>
      <c r="L14" s="102"/>
      <c r="M14" s="102"/>
      <c r="N14" s="102"/>
      <c r="O14" s="102"/>
    </row>
    <row r="15" customFormat="false" ht="10.5" hidden="false" customHeight="true" outlineLevel="0" collapsed="false">
      <c r="A15" s="102"/>
      <c r="B15" s="106" t="s">
        <v>5402</v>
      </c>
      <c r="C15" s="106"/>
      <c r="D15" s="106"/>
      <c r="E15" s="106"/>
      <c r="F15" s="106"/>
      <c r="G15" s="106"/>
      <c r="H15" s="106"/>
      <c r="I15" s="102"/>
      <c r="J15" s="102"/>
      <c r="K15" s="102"/>
      <c r="L15" s="102"/>
      <c r="M15" s="102"/>
      <c r="N15" s="102"/>
      <c r="O15" s="102"/>
    </row>
    <row r="16" customFormat="false" ht="10.5" hidden="false" customHeight="true" outlineLevel="0" collapsed="false">
      <c r="A16" s="102"/>
      <c r="B16" s="106"/>
      <c r="C16" s="106"/>
      <c r="D16" s="106"/>
      <c r="E16" s="106"/>
      <c r="F16" s="106"/>
      <c r="G16" s="106"/>
      <c r="H16" s="106"/>
      <c r="I16" s="102"/>
      <c r="J16" s="102"/>
      <c r="K16" s="102"/>
      <c r="L16" s="102"/>
      <c r="M16" s="102"/>
      <c r="N16" s="102"/>
      <c r="O16" s="102"/>
    </row>
    <row r="17" customFormat="false" ht="10.5" hidden="false" customHeight="true" outlineLevel="0" collapsed="false">
      <c r="A17" s="102"/>
      <c r="B17" s="106"/>
      <c r="C17" s="106"/>
      <c r="D17" s="106"/>
      <c r="E17" s="106"/>
      <c r="F17" s="106"/>
      <c r="G17" s="106"/>
      <c r="H17" s="106"/>
      <c r="I17" s="102"/>
      <c r="J17" s="102"/>
      <c r="K17" s="102"/>
      <c r="L17" s="102"/>
      <c r="M17" s="102"/>
      <c r="N17" s="102"/>
      <c r="O17" s="102"/>
    </row>
    <row r="18" customFormat="false" ht="15" hidden="false" customHeight="true" outlineLevel="0" collapsed="false">
      <c r="A18" s="102"/>
      <c r="B18" s="102"/>
      <c r="C18" s="102"/>
      <c r="D18" s="102"/>
      <c r="E18" s="102"/>
      <c r="F18" s="102"/>
      <c r="G18" s="102"/>
      <c r="H18" s="102"/>
      <c r="I18" s="102"/>
      <c r="J18" s="102"/>
      <c r="K18" s="102"/>
      <c r="L18" s="102"/>
      <c r="M18" s="102"/>
      <c r="N18" s="102"/>
      <c r="O18" s="102"/>
    </row>
    <row r="19" customFormat="false" ht="15.75" hidden="false" customHeight="true" outlineLevel="0" collapsed="false">
      <c r="A19" s="102"/>
      <c r="B19" s="103" t="s">
        <v>1406</v>
      </c>
      <c r="C19" s="104"/>
      <c r="D19" s="104"/>
      <c r="E19" s="104"/>
      <c r="F19" s="104"/>
      <c r="G19" s="104"/>
      <c r="H19" s="104"/>
      <c r="I19" s="104"/>
      <c r="J19" s="104"/>
      <c r="K19" s="104"/>
      <c r="L19" s="102"/>
      <c r="M19" s="102"/>
      <c r="N19" s="102"/>
      <c r="O19" s="102"/>
    </row>
    <row r="20" customFormat="false" ht="17.25" hidden="false" customHeight="true" outlineLevel="0" collapsed="false">
      <c r="A20" s="102"/>
      <c r="B20" s="107" t="s">
        <v>1407</v>
      </c>
      <c r="C20" s="107"/>
      <c r="D20" s="107"/>
      <c r="E20" s="107" t="s">
        <v>1408</v>
      </c>
      <c r="F20" s="107"/>
      <c r="G20" s="102"/>
      <c r="H20" s="102"/>
      <c r="I20" s="102"/>
      <c r="J20" s="102"/>
      <c r="K20" s="102"/>
      <c r="L20" s="102"/>
      <c r="M20" s="102"/>
      <c r="N20" s="102"/>
      <c r="O20" s="102"/>
    </row>
    <row r="21" customFormat="false" ht="31.5" hidden="false" customHeight="true" outlineLevel="0" collapsed="false">
      <c r="A21" s="102"/>
      <c r="B21" s="106" t="s">
        <v>5403</v>
      </c>
      <c r="C21" s="106"/>
      <c r="D21" s="106"/>
      <c r="E21" s="106" t="s">
        <v>5404</v>
      </c>
      <c r="F21" s="106"/>
      <c r="G21" s="102"/>
      <c r="H21" s="102"/>
      <c r="I21" s="102"/>
      <c r="J21" s="102"/>
      <c r="K21" s="102"/>
      <c r="L21" s="102"/>
      <c r="M21" s="102"/>
      <c r="N21" s="102"/>
      <c r="O21" s="102"/>
    </row>
    <row r="22" customFormat="false" ht="45.75" hidden="false" customHeight="true" outlineLevel="0" collapsed="false">
      <c r="A22" s="102"/>
      <c r="B22" s="106" t="s">
        <v>5405</v>
      </c>
      <c r="C22" s="106"/>
      <c r="D22" s="106"/>
      <c r="E22" s="106" t="s">
        <v>5406</v>
      </c>
      <c r="F22" s="106"/>
      <c r="G22" s="102"/>
      <c r="H22" s="102"/>
      <c r="I22" s="102"/>
      <c r="J22" s="102"/>
      <c r="K22" s="102"/>
      <c r="L22" s="102"/>
      <c r="M22" s="102"/>
      <c r="N22" s="102"/>
      <c r="O22" s="102"/>
    </row>
    <row r="23" customFormat="false" ht="31.5" hidden="false" customHeight="true" outlineLevel="0" collapsed="false">
      <c r="A23" s="102"/>
      <c r="B23" s="106" t="s">
        <v>5407</v>
      </c>
      <c r="C23" s="106"/>
      <c r="D23" s="106"/>
      <c r="E23" s="106" t="s">
        <v>5408</v>
      </c>
      <c r="F23" s="106"/>
      <c r="G23" s="102"/>
      <c r="H23" s="102"/>
      <c r="I23" s="102"/>
      <c r="J23" s="102"/>
      <c r="K23" s="102"/>
      <c r="L23" s="102"/>
      <c r="M23" s="102"/>
      <c r="N23" s="102"/>
      <c r="O23" s="102"/>
    </row>
    <row r="24" customFormat="false" ht="15" hidden="false" customHeight="true" outlineLevel="0" collapsed="false">
      <c r="A24" s="102"/>
      <c r="B24" s="102"/>
      <c r="C24" s="102"/>
      <c r="D24" s="102"/>
      <c r="E24" s="102"/>
      <c r="F24" s="102"/>
      <c r="G24" s="102"/>
      <c r="H24" s="102"/>
      <c r="I24" s="102"/>
      <c r="J24" s="102"/>
      <c r="K24" s="102"/>
      <c r="L24" s="102"/>
      <c r="M24" s="102"/>
      <c r="N24" s="102"/>
      <c r="O24" s="102"/>
    </row>
    <row r="25" customFormat="false" ht="16.5" hidden="false" customHeight="true" outlineLevel="0" collapsed="false">
      <c r="A25" s="102"/>
      <c r="B25" s="108" t="s">
        <v>1416</v>
      </c>
      <c r="C25" s="108" t="s">
        <v>1417</v>
      </c>
      <c r="D25" s="108" t="s">
        <v>1418</v>
      </c>
      <c r="E25" s="108" t="s">
        <v>1419</v>
      </c>
      <c r="F25" s="102"/>
      <c r="G25" s="102"/>
      <c r="H25" s="102"/>
      <c r="I25" s="102"/>
      <c r="J25" s="102"/>
      <c r="K25" s="102"/>
      <c r="L25" s="102"/>
      <c r="M25" s="102"/>
      <c r="N25" s="102"/>
      <c r="O25" s="102"/>
    </row>
    <row r="26" customFormat="false" ht="86.25" hidden="false" customHeight="true" outlineLevel="0" collapsed="false">
      <c r="A26" s="102"/>
      <c r="B26" s="15" t="s">
        <v>5409</v>
      </c>
      <c r="C26" s="15" t="s">
        <v>5410</v>
      </c>
      <c r="D26" s="15" t="s">
        <v>5411</v>
      </c>
      <c r="E26" s="109" t="s">
        <v>5317</v>
      </c>
      <c r="F26" s="102"/>
      <c r="G26" s="102"/>
      <c r="H26" s="102"/>
      <c r="I26" s="102"/>
      <c r="J26" s="102"/>
      <c r="K26" s="102"/>
      <c r="L26" s="102"/>
      <c r="M26" s="102"/>
      <c r="N26" s="102"/>
      <c r="O26" s="102"/>
    </row>
    <row r="27" customFormat="false" ht="58.5" hidden="false" customHeight="true" outlineLevel="0" collapsed="false">
      <c r="A27" s="102"/>
      <c r="B27" s="15" t="s">
        <v>5412</v>
      </c>
      <c r="C27" s="15" t="s">
        <v>5413</v>
      </c>
      <c r="D27" s="15" t="s">
        <v>5414</v>
      </c>
      <c r="E27" s="109" t="s">
        <v>3794</v>
      </c>
      <c r="F27" s="102"/>
      <c r="G27" s="102"/>
      <c r="H27" s="102"/>
      <c r="I27" s="102"/>
      <c r="J27" s="102"/>
      <c r="K27" s="102"/>
      <c r="L27" s="102"/>
      <c r="M27" s="102"/>
      <c r="N27" s="102"/>
      <c r="O27" s="102"/>
    </row>
    <row r="28" customFormat="false" ht="30.75" hidden="false" customHeight="true" outlineLevel="0" collapsed="false">
      <c r="A28" s="102"/>
      <c r="B28" s="15" t="s">
        <v>5339</v>
      </c>
      <c r="C28" s="15" t="s">
        <v>5415</v>
      </c>
      <c r="D28" s="15" t="s">
        <v>5416</v>
      </c>
      <c r="E28" s="109" t="s">
        <v>5417</v>
      </c>
      <c r="F28" s="102"/>
      <c r="G28" s="102"/>
      <c r="H28" s="102"/>
      <c r="I28" s="102"/>
      <c r="J28" s="102"/>
      <c r="K28" s="102"/>
      <c r="L28" s="102"/>
      <c r="M28" s="102"/>
      <c r="N28" s="102"/>
      <c r="O28" s="102"/>
    </row>
    <row r="29" customFormat="false" ht="15" hidden="false" customHeight="true" outlineLevel="0" collapsed="false">
      <c r="A29" s="102"/>
      <c r="B29" s="102"/>
      <c r="C29" s="102"/>
      <c r="D29" s="102"/>
      <c r="E29" s="102"/>
      <c r="F29" s="102"/>
      <c r="G29" s="102"/>
      <c r="H29" s="102"/>
      <c r="I29" s="102"/>
      <c r="J29" s="102"/>
      <c r="K29" s="102"/>
      <c r="L29" s="102"/>
      <c r="M29" s="102"/>
      <c r="N29" s="102"/>
      <c r="O29" s="102"/>
    </row>
    <row r="30" customFormat="false" ht="15.75" hidden="false" customHeight="true" outlineLevel="0" collapsed="false">
      <c r="A30" s="102"/>
      <c r="B30" s="103" t="s">
        <v>1429</v>
      </c>
      <c r="C30" s="104"/>
      <c r="D30" s="104"/>
      <c r="E30" s="104"/>
      <c r="F30" s="104"/>
      <c r="G30" s="104"/>
      <c r="H30" s="104"/>
      <c r="I30" s="104"/>
      <c r="J30" s="104"/>
      <c r="K30" s="104"/>
      <c r="L30" s="102"/>
      <c r="M30" s="102"/>
      <c r="N30" s="102"/>
      <c r="O30" s="102"/>
    </row>
    <row r="31" customFormat="false" ht="15.75" hidden="false" customHeight="true" outlineLevel="0" collapsed="false">
      <c r="A31" s="102"/>
      <c r="B31" s="106" t="s">
        <v>5418</v>
      </c>
      <c r="C31" s="106"/>
      <c r="D31" s="106"/>
      <c r="E31" s="106"/>
      <c r="F31" s="106"/>
      <c r="G31" s="106"/>
      <c r="H31" s="106"/>
      <c r="I31" s="102"/>
      <c r="J31" s="102"/>
      <c r="K31" s="102"/>
      <c r="L31" s="102"/>
      <c r="M31" s="102"/>
      <c r="N31" s="102"/>
      <c r="O31" s="102"/>
    </row>
    <row r="32" customFormat="false" ht="15.75" hidden="false" customHeight="true" outlineLevel="0" collapsed="false">
      <c r="A32" s="102"/>
      <c r="B32" s="106"/>
      <c r="C32" s="106"/>
      <c r="D32" s="106"/>
      <c r="E32" s="106"/>
      <c r="F32" s="106"/>
      <c r="G32" s="106"/>
      <c r="H32" s="106"/>
      <c r="I32" s="102"/>
      <c r="J32" s="102"/>
      <c r="K32" s="102"/>
      <c r="L32" s="102"/>
      <c r="M32" s="102"/>
      <c r="N32" s="102"/>
      <c r="O32" s="102"/>
    </row>
    <row r="33" customFormat="false" ht="15.75" hidden="false" customHeight="true" outlineLevel="0" collapsed="false">
      <c r="A33" s="102"/>
      <c r="B33" s="106" t="s">
        <v>5419</v>
      </c>
      <c r="C33" s="106"/>
      <c r="D33" s="106"/>
      <c r="E33" s="106"/>
      <c r="F33" s="106"/>
      <c r="G33" s="106"/>
      <c r="H33" s="106"/>
      <c r="I33" s="102"/>
      <c r="J33" s="102"/>
      <c r="K33" s="102"/>
      <c r="L33" s="102"/>
      <c r="M33" s="102"/>
      <c r="N33" s="102"/>
      <c r="O33" s="102"/>
    </row>
    <row r="34" customFormat="false" ht="15.75" hidden="false" customHeight="true" outlineLevel="0" collapsed="false">
      <c r="A34" s="102"/>
      <c r="B34" s="106"/>
      <c r="C34" s="106"/>
      <c r="D34" s="106"/>
      <c r="E34" s="106"/>
      <c r="F34" s="106"/>
      <c r="G34" s="106"/>
      <c r="H34" s="106"/>
      <c r="I34" s="102"/>
      <c r="J34" s="102"/>
      <c r="K34" s="102"/>
      <c r="L34" s="102"/>
      <c r="M34" s="102"/>
      <c r="N34" s="102"/>
      <c r="O34" s="102"/>
    </row>
    <row r="35" customFormat="false" ht="17.25" hidden="false" customHeight="true" outlineLevel="0" collapsed="false">
      <c r="A35" s="102"/>
      <c r="B35" s="106" t="s">
        <v>5420</v>
      </c>
      <c r="C35" s="106"/>
      <c r="D35" s="106"/>
      <c r="E35" s="106"/>
      <c r="F35" s="106"/>
      <c r="G35" s="106"/>
      <c r="H35" s="106"/>
      <c r="I35" s="102"/>
      <c r="J35" s="102"/>
      <c r="K35" s="102"/>
      <c r="L35" s="102"/>
      <c r="M35" s="102"/>
      <c r="N35" s="102"/>
      <c r="O35" s="102"/>
    </row>
    <row r="36" customFormat="false" ht="17.25" hidden="false" customHeight="true" outlineLevel="0" collapsed="false">
      <c r="A36" s="102"/>
      <c r="B36" s="106" t="s">
        <v>5421</v>
      </c>
      <c r="C36" s="106"/>
      <c r="D36" s="106"/>
      <c r="E36" s="106"/>
      <c r="F36" s="106"/>
      <c r="G36" s="106"/>
      <c r="H36" s="106"/>
      <c r="I36" s="102"/>
      <c r="J36" s="102"/>
      <c r="K36" s="102"/>
      <c r="L36" s="102"/>
      <c r="M36" s="102"/>
      <c r="N36" s="102"/>
      <c r="O36" s="102"/>
    </row>
    <row r="37" customFormat="false" ht="15.75" hidden="false" customHeight="true" outlineLevel="0" collapsed="false">
      <c r="A37" s="102"/>
      <c r="B37" s="106" t="s">
        <v>5422</v>
      </c>
      <c r="C37" s="106"/>
      <c r="D37" s="106"/>
      <c r="E37" s="106"/>
      <c r="F37" s="106"/>
      <c r="G37" s="106"/>
      <c r="H37" s="106"/>
      <c r="I37" s="102"/>
      <c r="J37" s="102"/>
      <c r="K37" s="102"/>
      <c r="L37" s="102"/>
      <c r="M37" s="102"/>
      <c r="N37" s="102"/>
      <c r="O37" s="102"/>
    </row>
    <row r="38" customFormat="false" ht="15.75" hidden="false" customHeight="true" outlineLevel="0" collapsed="false">
      <c r="A38" s="102"/>
      <c r="B38" s="106"/>
      <c r="C38" s="106"/>
      <c r="D38" s="106"/>
      <c r="E38" s="106"/>
      <c r="F38" s="106"/>
      <c r="G38" s="106"/>
      <c r="H38" s="106"/>
      <c r="I38" s="102"/>
      <c r="J38" s="102"/>
      <c r="K38" s="102"/>
      <c r="L38" s="102"/>
      <c r="M38" s="102"/>
      <c r="N38" s="102"/>
      <c r="O38" s="102"/>
    </row>
    <row r="39" customFormat="false" ht="15" hidden="false" customHeight="true" outlineLevel="0" collapsed="false">
      <c r="A39" s="102"/>
      <c r="B39" s="102"/>
      <c r="C39" s="102"/>
      <c r="D39" s="102"/>
      <c r="E39" s="102"/>
      <c r="F39" s="102"/>
      <c r="G39" s="102"/>
      <c r="H39" s="102"/>
      <c r="I39" s="102"/>
      <c r="J39" s="102"/>
      <c r="K39" s="102"/>
      <c r="L39" s="102"/>
      <c r="M39" s="102"/>
      <c r="N39" s="102"/>
      <c r="O39" s="102"/>
    </row>
    <row r="40" customFormat="false" ht="15.75" hidden="false" customHeight="true" outlineLevel="0" collapsed="false">
      <c r="A40" s="102"/>
      <c r="B40" s="103" t="s">
        <v>1437</v>
      </c>
      <c r="C40" s="104"/>
      <c r="D40" s="104"/>
      <c r="E40" s="104"/>
      <c r="F40" s="104"/>
      <c r="G40" s="104"/>
      <c r="H40" s="104"/>
      <c r="I40" s="104"/>
      <c r="J40" s="104"/>
      <c r="K40" s="104"/>
      <c r="L40" s="102"/>
      <c r="M40" s="102"/>
      <c r="N40" s="102"/>
      <c r="O40" s="102"/>
    </row>
    <row r="41" customFormat="false" ht="16.5" hidden="false" customHeight="true" outlineLevel="0" collapsed="false">
      <c r="A41" s="102"/>
      <c r="B41" s="108" t="s">
        <v>1438</v>
      </c>
      <c r="C41" s="108" t="s">
        <v>1439</v>
      </c>
      <c r="D41" s="108" t="s">
        <v>1440</v>
      </c>
      <c r="E41" s="102"/>
      <c r="F41" s="102"/>
      <c r="G41" s="102"/>
      <c r="H41" s="102"/>
      <c r="I41" s="102"/>
      <c r="J41" s="102"/>
      <c r="K41" s="102"/>
      <c r="L41" s="102"/>
      <c r="M41" s="102"/>
      <c r="N41" s="102"/>
      <c r="O41" s="102"/>
    </row>
    <row r="42" customFormat="false" ht="30.75" hidden="false" customHeight="true" outlineLevel="0" collapsed="false">
      <c r="A42" s="102"/>
      <c r="B42" s="110" t="s">
        <v>3677</v>
      </c>
      <c r="C42" s="111" t="s">
        <v>5423</v>
      </c>
      <c r="D42" s="15" t="s">
        <v>5424</v>
      </c>
      <c r="E42" s="102"/>
      <c r="F42" s="102"/>
      <c r="G42" s="102"/>
      <c r="H42" s="102"/>
      <c r="I42" s="102"/>
      <c r="J42" s="102"/>
      <c r="K42" s="102"/>
      <c r="L42" s="102"/>
      <c r="M42" s="102"/>
      <c r="N42" s="102"/>
      <c r="O42" s="102"/>
    </row>
    <row r="43" customFormat="false" ht="30.75" hidden="false" customHeight="true" outlineLevel="0" collapsed="false">
      <c r="A43" s="102"/>
      <c r="B43" s="110" t="s">
        <v>1565</v>
      </c>
      <c r="C43" s="111" t="s">
        <v>5425</v>
      </c>
      <c r="D43" s="15" t="s">
        <v>5426</v>
      </c>
      <c r="E43" s="102"/>
      <c r="F43" s="102"/>
      <c r="G43" s="102"/>
      <c r="H43" s="102"/>
      <c r="I43" s="102"/>
      <c r="J43" s="102"/>
      <c r="K43" s="102"/>
      <c r="L43" s="102"/>
      <c r="M43" s="102"/>
      <c r="N43" s="102"/>
      <c r="O43" s="102"/>
    </row>
    <row r="44" customFormat="false" ht="30.75" hidden="false" customHeight="true" outlineLevel="0" collapsed="false">
      <c r="A44" s="102"/>
      <c r="B44" s="110" t="s">
        <v>5427</v>
      </c>
      <c r="C44" s="111" t="s">
        <v>5350</v>
      </c>
      <c r="D44" s="15" t="s">
        <v>5428</v>
      </c>
      <c r="E44" s="102"/>
      <c r="F44" s="102"/>
      <c r="G44" s="102"/>
      <c r="H44" s="102"/>
      <c r="I44" s="102"/>
      <c r="J44" s="102"/>
      <c r="K44" s="102"/>
      <c r="L44" s="102"/>
      <c r="M44" s="102"/>
      <c r="N44" s="102"/>
      <c r="O44" s="102"/>
    </row>
    <row r="45" customFormat="false" ht="15" hidden="false" customHeight="true" outlineLevel="0" collapsed="false">
      <c r="A45" s="102"/>
      <c r="B45" s="102"/>
      <c r="C45" s="102"/>
      <c r="D45" s="102"/>
      <c r="E45" s="102"/>
      <c r="F45" s="102"/>
      <c r="G45" s="102"/>
      <c r="H45" s="102"/>
      <c r="I45" s="102"/>
      <c r="J45" s="102"/>
      <c r="K45" s="102"/>
      <c r="L45" s="102"/>
      <c r="M45" s="102"/>
      <c r="N45" s="102"/>
      <c r="O45" s="102"/>
    </row>
    <row r="46" customFormat="false" ht="15.75" hidden="false" customHeight="true" outlineLevel="0" collapsed="false">
      <c r="A46" s="102"/>
      <c r="B46" s="103" t="s">
        <v>1454</v>
      </c>
      <c r="C46" s="104"/>
      <c r="D46" s="104"/>
      <c r="E46" s="104"/>
      <c r="F46" s="104"/>
      <c r="G46" s="104"/>
      <c r="H46" s="104"/>
      <c r="I46" s="104"/>
      <c r="J46" s="104"/>
      <c r="K46" s="104"/>
      <c r="L46" s="102"/>
      <c r="M46" s="102"/>
      <c r="N46" s="102"/>
      <c r="O46" s="102"/>
    </row>
    <row r="47" customFormat="false" ht="17.25" hidden="false" customHeight="true" outlineLevel="0" collapsed="false">
      <c r="A47" s="102"/>
      <c r="B47" s="106" t="s">
        <v>5429</v>
      </c>
      <c r="C47" s="106"/>
      <c r="D47" s="106"/>
      <c r="E47" s="106"/>
      <c r="F47" s="106"/>
      <c r="G47" s="106"/>
      <c r="H47" s="106"/>
      <c r="I47" s="102"/>
      <c r="J47" s="102"/>
      <c r="K47" s="102"/>
      <c r="L47" s="102"/>
      <c r="M47" s="102"/>
      <c r="N47" s="102"/>
      <c r="O47" s="102"/>
    </row>
    <row r="48" customFormat="false" ht="17.25" hidden="false" customHeight="true" outlineLevel="0" collapsed="false">
      <c r="A48" s="102"/>
      <c r="B48" s="112" t="s">
        <v>85</v>
      </c>
      <c r="C48" s="113" t="s">
        <v>86</v>
      </c>
      <c r="D48" s="113"/>
      <c r="E48" s="102"/>
      <c r="F48" s="102"/>
      <c r="G48" s="102"/>
      <c r="H48" s="102"/>
      <c r="I48" s="102"/>
      <c r="J48" s="102"/>
      <c r="K48" s="102"/>
      <c r="L48" s="102"/>
      <c r="M48" s="102"/>
      <c r="N48" s="102"/>
      <c r="O48" s="102"/>
    </row>
    <row r="49" customFormat="false" ht="15" hidden="false" customHeight="true" outlineLevel="0" collapsed="false">
      <c r="A49" s="102"/>
      <c r="B49" s="102"/>
      <c r="C49" s="102"/>
      <c r="D49" s="102"/>
      <c r="E49" s="102"/>
      <c r="F49" s="102"/>
      <c r="G49" s="102"/>
      <c r="H49" s="102"/>
      <c r="I49" s="102"/>
      <c r="J49" s="102"/>
      <c r="K49" s="102"/>
      <c r="L49" s="102"/>
      <c r="M49" s="102"/>
      <c r="N49" s="102"/>
      <c r="O49" s="102"/>
    </row>
    <row r="50" customFormat="false" ht="16.5" hidden="false" customHeight="true" outlineLevel="0" collapsed="false">
      <c r="A50" s="102"/>
      <c r="B50" s="108" t="s">
        <v>5430</v>
      </c>
      <c r="C50" s="108" t="s">
        <v>5269</v>
      </c>
      <c r="D50" s="108" t="s">
        <v>5270</v>
      </c>
      <c r="E50" s="108" t="s">
        <v>5271</v>
      </c>
      <c r="F50" s="102"/>
      <c r="G50" s="102"/>
      <c r="H50" s="102"/>
      <c r="I50" s="102"/>
      <c r="J50" s="102"/>
      <c r="K50" s="102"/>
      <c r="L50" s="102"/>
      <c r="M50" s="102"/>
      <c r="N50" s="102"/>
      <c r="O50" s="102"/>
    </row>
    <row r="51" customFormat="false" ht="15" hidden="false" customHeight="true" outlineLevel="0" collapsed="false">
      <c r="A51" s="102"/>
      <c r="B51" s="111" t="s">
        <v>5431</v>
      </c>
      <c r="C51" s="115" t="s">
        <v>378</v>
      </c>
      <c r="D51" s="115" t="s">
        <v>5359</v>
      </c>
      <c r="E51" s="102"/>
      <c r="F51" s="102"/>
      <c r="G51" s="102"/>
      <c r="H51" s="102"/>
      <c r="I51" s="102"/>
      <c r="J51" s="102"/>
      <c r="K51" s="102"/>
      <c r="L51" s="102"/>
      <c r="M51" s="102"/>
      <c r="N51" s="102"/>
      <c r="O51" s="102"/>
    </row>
    <row r="52" customFormat="false" ht="15" hidden="false" customHeight="true" outlineLevel="0" collapsed="false">
      <c r="A52" s="102"/>
      <c r="B52" s="111" t="s">
        <v>5432</v>
      </c>
      <c r="C52" s="115" t="s">
        <v>5433</v>
      </c>
      <c r="D52" s="115" t="s">
        <v>5434</v>
      </c>
      <c r="E52" s="102"/>
      <c r="F52" s="102"/>
      <c r="G52" s="102"/>
      <c r="H52" s="102"/>
      <c r="I52" s="102"/>
      <c r="J52" s="102"/>
      <c r="K52" s="102"/>
      <c r="L52" s="102"/>
      <c r="M52" s="102"/>
      <c r="N52" s="102"/>
      <c r="O52" s="102"/>
    </row>
    <row r="53" customFormat="false" ht="15" hidden="false" customHeight="true" outlineLevel="0" collapsed="false">
      <c r="A53" s="102"/>
      <c r="B53" s="111" t="s">
        <v>5435</v>
      </c>
      <c r="C53" s="115" t="s">
        <v>5436</v>
      </c>
      <c r="D53" s="115" t="s">
        <v>5437</v>
      </c>
      <c r="E53" s="102"/>
      <c r="F53" s="102"/>
      <c r="G53" s="102"/>
      <c r="H53" s="102"/>
      <c r="I53" s="102"/>
      <c r="J53" s="102"/>
      <c r="K53" s="102"/>
      <c r="L53" s="102"/>
      <c r="M53" s="102"/>
      <c r="N53" s="102"/>
      <c r="O53" s="102"/>
    </row>
    <row r="54" customFormat="false" ht="15" hidden="false" customHeight="true" outlineLevel="0" collapsed="false">
      <c r="A54" s="102"/>
      <c r="B54" s="111" t="s">
        <v>5438</v>
      </c>
      <c r="C54" s="115" t="s">
        <v>5439</v>
      </c>
      <c r="D54" s="115" t="s">
        <v>5440</v>
      </c>
      <c r="E54" s="102"/>
      <c r="F54" s="102"/>
      <c r="G54" s="102"/>
      <c r="H54" s="102"/>
      <c r="I54" s="102"/>
      <c r="J54" s="102"/>
      <c r="K54" s="102"/>
      <c r="L54" s="102"/>
      <c r="M54" s="102"/>
      <c r="N54" s="102"/>
      <c r="O54" s="102"/>
    </row>
    <row r="55" customFormat="false" ht="15" hidden="false" customHeight="true" outlineLevel="0" collapsed="false">
      <c r="A55" s="102"/>
      <c r="B55" s="111" t="s">
        <v>5441</v>
      </c>
      <c r="C55" s="115" t="s">
        <v>5436</v>
      </c>
      <c r="D55" s="115" t="s">
        <v>5437</v>
      </c>
      <c r="E55" s="102"/>
      <c r="F55" s="102"/>
      <c r="G55" s="102"/>
      <c r="H55" s="102"/>
      <c r="I55" s="102"/>
      <c r="J55" s="102"/>
      <c r="K55" s="102"/>
      <c r="L55" s="102"/>
      <c r="M55" s="102"/>
      <c r="N55" s="102"/>
      <c r="O55" s="102"/>
    </row>
    <row r="56" customFormat="false" ht="15" hidden="false" customHeight="true" outlineLevel="0" collapsed="false">
      <c r="A56" s="102"/>
      <c r="B56" s="111" t="s">
        <v>5442</v>
      </c>
      <c r="C56" s="115" t="s">
        <v>5443</v>
      </c>
      <c r="D56" s="115" t="s">
        <v>5444</v>
      </c>
      <c r="E56" s="102"/>
      <c r="F56" s="102"/>
      <c r="G56" s="102"/>
      <c r="H56" s="102"/>
      <c r="I56" s="102"/>
      <c r="J56" s="102"/>
      <c r="K56" s="102"/>
      <c r="L56" s="102"/>
      <c r="M56" s="102"/>
      <c r="N56" s="102"/>
      <c r="O56" s="102"/>
    </row>
    <row r="57" customFormat="false" ht="15" hidden="false" customHeight="true" outlineLevel="0" collapsed="false">
      <c r="A57" s="102"/>
      <c r="B57" s="111" t="s">
        <v>5445</v>
      </c>
      <c r="C57" s="115" t="s">
        <v>5446</v>
      </c>
      <c r="D57" s="115" t="s">
        <v>5447</v>
      </c>
      <c r="E57" s="102"/>
      <c r="F57" s="102"/>
      <c r="G57" s="102"/>
      <c r="H57" s="102"/>
      <c r="I57" s="102"/>
      <c r="J57" s="102"/>
      <c r="K57" s="102"/>
      <c r="L57" s="102"/>
      <c r="M57" s="102"/>
      <c r="N57" s="102"/>
      <c r="O57" s="102"/>
    </row>
    <row r="58" customFormat="false" ht="15" hidden="false" customHeight="true" outlineLevel="0" collapsed="false">
      <c r="A58" s="102"/>
      <c r="B58" s="111" t="s">
        <v>5448</v>
      </c>
      <c r="C58" s="115" t="s">
        <v>5449</v>
      </c>
      <c r="D58" s="115" t="s">
        <v>5449</v>
      </c>
      <c r="E58" s="102"/>
      <c r="F58" s="102"/>
      <c r="G58" s="102"/>
      <c r="H58" s="102"/>
      <c r="I58" s="102"/>
      <c r="J58" s="102"/>
      <c r="K58" s="102"/>
      <c r="L58" s="102"/>
      <c r="M58" s="102"/>
      <c r="N58" s="102"/>
      <c r="O58" s="102"/>
    </row>
    <row r="59" customFormat="false" ht="15" hidden="false" customHeight="true" outlineLevel="0" collapsed="false">
      <c r="A59" s="102"/>
      <c r="B59" s="111" t="s">
        <v>5450</v>
      </c>
      <c r="C59" s="115" t="s">
        <v>5449</v>
      </c>
      <c r="D59" s="115" t="s">
        <v>5449</v>
      </c>
      <c r="E59" s="102"/>
      <c r="F59" s="102"/>
      <c r="G59" s="102"/>
      <c r="H59" s="102"/>
      <c r="I59" s="102"/>
      <c r="J59" s="102"/>
      <c r="K59" s="102"/>
      <c r="L59" s="102"/>
      <c r="M59" s="102"/>
      <c r="N59" s="102"/>
      <c r="O59" s="102"/>
    </row>
    <row r="60" customFormat="false" ht="15" hidden="false" customHeight="true" outlineLevel="0" collapsed="false">
      <c r="A60" s="102"/>
      <c r="B60" s="111" t="s">
        <v>5451</v>
      </c>
      <c r="C60" s="115" t="s">
        <v>5449</v>
      </c>
      <c r="D60" s="115" t="s">
        <v>5449</v>
      </c>
      <c r="E60" s="102"/>
      <c r="F60" s="102"/>
      <c r="G60" s="102"/>
      <c r="H60" s="102"/>
      <c r="I60" s="102"/>
      <c r="J60" s="102"/>
      <c r="K60" s="102"/>
      <c r="L60" s="102"/>
      <c r="M60" s="102"/>
      <c r="N60" s="102"/>
      <c r="O60" s="102"/>
    </row>
    <row r="61" customFormat="false" ht="15" hidden="false" customHeight="true" outlineLevel="0" collapsed="false">
      <c r="A61" s="102"/>
      <c r="B61" s="111" t="s">
        <v>5452</v>
      </c>
      <c r="C61" s="115" t="s">
        <v>5449</v>
      </c>
      <c r="D61" s="115" t="s">
        <v>5449</v>
      </c>
      <c r="E61" s="102"/>
      <c r="F61" s="102"/>
      <c r="G61" s="102"/>
      <c r="H61" s="102"/>
      <c r="I61" s="102"/>
      <c r="J61" s="102"/>
      <c r="K61" s="102"/>
      <c r="L61" s="102"/>
      <c r="M61" s="102"/>
      <c r="N61" s="102"/>
      <c r="O61" s="102"/>
    </row>
    <row r="62" customFormat="false" ht="15" hidden="false" customHeight="true" outlineLevel="0" collapsed="false">
      <c r="A62" s="102"/>
      <c r="B62" s="102"/>
      <c r="C62" s="102"/>
      <c r="D62" s="102"/>
      <c r="E62" s="102"/>
      <c r="F62" s="102"/>
      <c r="G62" s="102"/>
      <c r="H62" s="102"/>
      <c r="I62" s="102"/>
      <c r="J62" s="102"/>
      <c r="K62" s="102"/>
      <c r="L62" s="102"/>
      <c r="M62" s="102"/>
      <c r="N62" s="102"/>
      <c r="O62" s="102"/>
    </row>
    <row r="63" customFormat="false" ht="16.5" hidden="false" customHeight="true" outlineLevel="0" collapsed="false">
      <c r="A63" s="102"/>
      <c r="B63" s="108" t="s">
        <v>5275</v>
      </c>
      <c r="C63" s="108" t="s">
        <v>5453</v>
      </c>
      <c r="D63" s="108" t="s">
        <v>5454</v>
      </c>
      <c r="E63" s="108" t="s">
        <v>5455</v>
      </c>
      <c r="F63" s="108" t="s">
        <v>5456</v>
      </c>
      <c r="G63" s="108" t="s">
        <v>5457</v>
      </c>
      <c r="H63" s="108" t="s">
        <v>5458</v>
      </c>
      <c r="I63" s="108" t="s">
        <v>5459</v>
      </c>
      <c r="J63" s="108" t="s">
        <v>5460</v>
      </c>
      <c r="K63" s="108" t="s">
        <v>5461</v>
      </c>
      <c r="L63" s="108" t="s">
        <v>5462</v>
      </c>
      <c r="M63" s="108" t="s">
        <v>5463</v>
      </c>
      <c r="N63" s="108" t="s">
        <v>5464</v>
      </c>
      <c r="O63" s="102"/>
    </row>
    <row r="64" customFormat="false" ht="15" hidden="false" customHeight="true" outlineLevel="0" collapsed="false">
      <c r="A64" s="102"/>
      <c r="B64" s="123" t="n">
        <v>1</v>
      </c>
      <c r="C64" s="114" t="n">
        <v>1</v>
      </c>
      <c r="D64" s="114" t="n">
        <v>1</v>
      </c>
      <c r="E64" s="114" t="n">
        <v>-1</v>
      </c>
      <c r="F64" s="114" t="n">
        <v>1</v>
      </c>
      <c r="G64" s="114" t="n">
        <v>1</v>
      </c>
      <c r="H64" s="114" t="n">
        <v>1</v>
      </c>
      <c r="I64" s="114" t="n">
        <v>-1</v>
      </c>
      <c r="J64" s="114" t="n">
        <v>-1</v>
      </c>
      <c r="K64" s="114" t="n">
        <v>-1</v>
      </c>
      <c r="L64" s="114" t="n">
        <v>1</v>
      </c>
      <c r="M64" s="114" t="n">
        <v>-1</v>
      </c>
      <c r="N64" s="114" t="n">
        <v>14</v>
      </c>
      <c r="O64" s="102"/>
    </row>
    <row r="65" customFormat="false" ht="15" hidden="false" customHeight="true" outlineLevel="0" collapsed="false">
      <c r="A65" s="102"/>
      <c r="B65" s="123" t="n">
        <v>2</v>
      </c>
      <c r="C65" s="114" t="n">
        <v>-1</v>
      </c>
      <c r="D65" s="114" t="n">
        <v>1</v>
      </c>
      <c r="E65" s="114" t="n">
        <v>1</v>
      </c>
      <c r="F65" s="114" t="n">
        <v>-1</v>
      </c>
      <c r="G65" s="114" t="n">
        <v>1</v>
      </c>
      <c r="H65" s="114" t="n">
        <v>1</v>
      </c>
      <c r="I65" s="114" t="n">
        <v>1</v>
      </c>
      <c r="J65" s="114" t="n">
        <v>-1</v>
      </c>
      <c r="K65" s="114" t="n">
        <v>-1</v>
      </c>
      <c r="L65" s="114" t="n">
        <v>-1</v>
      </c>
      <c r="M65" s="114" t="n">
        <v>1</v>
      </c>
      <c r="N65" s="114" t="n">
        <v>22</v>
      </c>
      <c r="O65" s="102"/>
    </row>
    <row r="66" customFormat="false" ht="15" hidden="false" customHeight="true" outlineLevel="0" collapsed="false">
      <c r="A66" s="102"/>
      <c r="B66" s="123" t="n">
        <v>3</v>
      </c>
      <c r="C66" s="114" t="n">
        <v>1</v>
      </c>
      <c r="D66" s="114" t="n">
        <v>-1</v>
      </c>
      <c r="E66" s="114" t="n">
        <v>1</v>
      </c>
      <c r="F66" s="114" t="n">
        <v>1</v>
      </c>
      <c r="G66" s="114" t="n">
        <v>-1</v>
      </c>
      <c r="H66" s="114" t="n">
        <v>1</v>
      </c>
      <c r="I66" s="114" t="n">
        <v>1</v>
      </c>
      <c r="J66" s="114" t="n">
        <v>1</v>
      </c>
      <c r="K66" s="114" t="n">
        <v>-1</v>
      </c>
      <c r="L66" s="114" t="n">
        <v>-1</v>
      </c>
      <c r="M66" s="114" t="n">
        <v>-1</v>
      </c>
      <c r="N66" s="114" t="n">
        <v>9</v>
      </c>
      <c r="O66" s="102"/>
    </row>
    <row r="67" customFormat="false" ht="15" hidden="false" customHeight="true" outlineLevel="0" collapsed="false">
      <c r="A67" s="102"/>
      <c r="B67" s="123" t="n">
        <v>4</v>
      </c>
      <c r="C67" s="114" t="n">
        <v>-1</v>
      </c>
      <c r="D67" s="114" t="n">
        <v>1</v>
      </c>
      <c r="E67" s="114" t="n">
        <v>-1</v>
      </c>
      <c r="F67" s="114" t="n">
        <v>1</v>
      </c>
      <c r="G67" s="114" t="n">
        <v>1</v>
      </c>
      <c r="H67" s="114" t="n">
        <v>-1</v>
      </c>
      <c r="I67" s="114" t="n">
        <v>1</v>
      </c>
      <c r="J67" s="114" t="n">
        <v>1</v>
      </c>
      <c r="K67" s="114" t="n">
        <v>1</v>
      </c>
      <c r="L67" s="114" t="n">
        <v>-1</v>
      </c>
      <c r="M67" s="114" t="n">
        <v>-1</v>
      </c>
      <c r="N67" s="114" t="n">
        <v>18</v>
      </c>
      <c r="O67" s="102"/>
    </row>
    <row r="68" customFormat="false" ht="15" hidden="false" customHeight="true" outlineLevel="0" collapsed="false">
      <c r="A68" s="102"/>
      <c r="B68" s="123" t="n">
        <v>5</v>
      </c>
      <c r="C68" s="114" t="n">
        <v>-1</v>
      </c>
      <c r="D68" s="114" t="n">
        <v>-1</v>
      </c>
      <c r="E68" s="114" t="n">
        <v>1</v>
      </c>
      <c r="F68" s="114" t="n">
        <v>-1</v>
      </c>
      <c r="G68" s="114" t="n">
        <v>1</v>
      </c>
      <c r="H68" s="114" t="n">
        <v>1</v>
      </c>
      <c r="I68" s="114" t="n">
        <v>-1</v>
      </c>
      <c r="J68" s="114" t="n">
        <v>1</v>
      </c>
      <c r="K68" s="114" t="n">
        <v>1</v>
      </c>
      <c r="L68" s="114" t="n">
        <v>1</v>
      </c>
      <c r="M68" s="114" t="n">
        <v>-1</v>
      </c>
      <c r="N68" s="114" t="n">
        <v>26</v>
      </c>
      <c r="O68" s="102"/>
    </row>
    <row r="69" customFormat="false" ht="15" hidden="false" customHeight="true" outlineLevel="0" collapsed="false">
      <c r="A69" s="102"/>
      <c r="B69" s="123" t="n">
        <v>6</v>
      </c>
      <c r="C69" s="114" t="n">
        <v>-1</v>
      </c>
      <c r="D69" s="114" t="n">
        <v>-1</v>
      </c>
      <c r="E69" s="114" t="n">
        <v>-1</v>
      </c>
      <c r="F69" s="114" t="n">
        <v>1</v>
      </c>
      <c r="G69" s="114" t="n">
        <v>-1</v>
      </c>
      <c r="H69" s="114" t="n">
        <v>1</v>
      </c>
      <c r="I69" s="114" t="n">
        <v>1</v>
      </c>
      <c r="J69" s="114" t="n">
        <v>-1</v>
      </c>
      <c r="K69" s="114" t="n">
        <v>1</v>
      </c>
      <c r="L69" s="114" t="n">
        <v>1</v>
      </c>
      <c r="M69" s="114" t="n">
        <v>1</v>
      </c>
      <c r="N69" s="114" t="n">
        <v>11</v>
      </c>
      <c r="O69" s="102"/>
    </row>
    <row r="70" customFormat="false" ht="15" hidden="false" customHeight="true" outlineLevel="0" collapsed="false">
      <c r="A70" s="102"/>
      <c r="B70" s="123" t="n">
        <v>7</v>
      </c>
      <c r="C70" s="114" t="n">
        <v>1</v>
      </c>
      <c r="D70" s="114" t="n">
        <v>-1</v>
      </c>
      <c r="E70" s="114" t="n">
        <v>-1</v>
      </c>
      <c r="F70" s="114" t="n">
        <v>-1</v>
      </c>
      <c r="G70" s="114" t="n">
        <v>1</v>
      </c>
      <c r="H70" s="114" t="n">
        <v>-1</v>
      </c>
      <c r="I70" s="114" t="n">
        <v>1</v>
      </c>
      <c r="J70" s="114" t="n">
        <v>1</v>
      </c>
      <c r="K70" s="114" t="n">
        <v>-1</v>
      </c>
      <c r="L70" s="114" t="n">
        <v>1</v>
      </c>
      <c r="M70" s="114" t="n">
        <v>1</v>
      </c>
      <c r="N70" s="114" t="n">
        <v>20</v>
      </c>
      <c r="O70" s="102"/>
    </row>
    <row r="71" customFormat="false" ht="15" hidden="false" customHeight="true" outlineLevel="0" collapsed="false">
      <c r="A71" s="102"/>
      <c r="B71" s="123" t="n">
        <v>8</v>
      </c>
      <c r="C71" s="114" t="n">
        <v>1</v>
      </c>
      <c r="D71" s="114" t="n">
        <v>1</v>
      </c>
      <c r="E71" s="114" t="n">
        <v>-1</v>
      </c>
      <c r="F71" s="114" t="n">
        <v>-1</v>
      </c>
      <c r="G71" s="114" t="n">
        <v>-1</v>
      </c>
      <c r="H71" s="114" t="n">
        <v>1</v>
      </c>
      <c r="I71" s="114" t="n">
        <v>-1</v>
      </c>
      <c r="J71" s="114" t="n">
        <v>1</v>
      </c>
      <c r="K71" s="114" t="n">
        <v>1</v>
      </c>
      <c r="L71" s="114" t="n">
        <v>-1</v>
      </c>
      <c r="M71" s="114" t="n">
        <v>1</v>
      </c>
      <c r="N71" s="114" t="n">
        <v>8</v>
      </c>
      <c r="O71" s="102"/>
    </row>
    <row r="72" customFormat="false" ht="15" hidden="false" customHeight="true" outlineLevel="0" collapsed="false">
      <c r="A72" s="102"/>
      <c r="B72" s="123" t="n">
        <v>9</v>
      </c>
      <c r="C72" s="114" t="n">
        <v>1</v>
      </c>
      <c r="D72" s="114" t="n">
        <v>1</v>
      </c>
      <c r="E72" s="114" t="n">
        <v>1</v>
      </c>
      <c r="F72" s="114" t="n">
        <v>-1</v>
      </c>
      <c r="G72" s="114" t="n">
        <v>-1</v>
      </c>
      <c r="H72" s="114" t="n">
        <v>-1</v>
      </c>
      <c r="I72" s="114" t="n">
        <v>1</v>
      </c>
      <c r="J72" s="114" t="n">
        <v>-1</v>
      </c>
      <c r="K72" s="114" t="n">
        <v>1</v>
      </c>
      <c r="L72" s="114" t="n">
        <v>1</v>
      </c>
      <c r="M72" s="114" t="n">
        <v>-1</v>
      </c>
      <c r="N72" s="114" t="n">
        <v>24</v>
      </c>
      <c r="O72" s="102"/>
    </row>
    <row r="73" customFormat="false" ht="15" hidden="false" customHeight="true" outlineLevel="0" collapsed="false">
      <c r="A73" s="102"/>
      <c r="B73" s="123" t="n">
        <v>10</v>
      </c>
      <c r="C73" s="114" t="n">
        <v>-1</v>
      </c>
      <c r="D73" s="114" t="n">
        <v>1</v>
      </c>
      <c r="E73" s="114" t="n">
        <v>1</v>
      </c>
      <c r="F73" s="114" t="n">
        <v>1</v>
      </c>
      <c r="G73" s="114" t="n">
        <v>-1</v>
      </c>
      <c r="H73" s="114" t="n">
        <v>-1</v>
      </c>
      <c r="I73" s="114" t="n">
        <v>-1</v>
      </c>
      <c r="J73" s="114" t="n">
        <v>1</v>
      </c>
      <c r="K73" s="114" t="n">
        <v>-1</v>
      </c>
      <c r="L73" s="114" t="n">
        <v>1</v>
      </c>
      <c r="M73" s="114" t="n">
        <v>1</v>
      </c>
      <c r="N73" s="114" t="n">
        <v>15</v>
      </c>
      <c r="O73" s="102"/>
    </row>
    <row r="74" customFormat="false" ht="15" hidden="false" customHeight="true" outlineLevel="0" collapsed="false">
      <c r="A74" s="102"/>
      <c r="B74" s="123" t="n">
        <v>11</v>
      </c>
      <c r="C74" s="114" t="n">
        <v>1</v>
      </c>
      <c r="D74" s="114" t="n">
        <v>-1</v>
      </c>
      <c r="E74" s="114" t="n">
        <v>1</v>
      </c>
      <c r="F74" s="114" t="n">
        <v>1</v>
      </c>
      <c r="G74" s="114" t="n">
        <v>1</v>
      </c>
      <c r="H74" s="114" t="n">
        <v>-1</v>
      </c>
      <c r="I74" s="114" t="n">
        <v>-1</v>
      </c>
      <c r="J74" s="114" t="n">
        <v>-1</v>
      </c>
      <c r="K74" s="114" t="n">
        <v>1</v>
      </c>
      <c r="L74" s="114" t="n">
        <v>-1</v>
      </c>
      <c r="M74" s="114" t="n">
        <v>1</v>
      </c>
      <c r="N74" s="114" t="n">
        <v>19</v>
      </c>
      <c r="O74" s="102"/>
    </row>
    <row r="75" customFormat="false" ht="15" hidden="false" customHeight="true" outlineLevel="0" collapsed="false">
      <c r="A75" s="102"/>
      <c r="B75" s="123" t="n">
        <v>12</v>
      </c>
      <c r="C75" s="114" t="n">
        <v>-1</v>
      </c>
      <c r="D75" s="114" t="n">
        <v>-1</v>
      </c>
      <c r="E75" s="114" t="n">
        <v>-1</v>
      </c>
      <c r="F75" s="114" t="n">
        <v>-1</v>
      </c>
      <c r="G75" s="114" t="n">
        <v>-1</v>
      </c>
      <c r="H75" s="114" t="n">
        <v>-1</v>
      </c>
      <c r="I75" s="114" t="n">
        <v>-1</v>
      </c>
      <c r="J75" s="114" t="n">
        <v>-1</v>
      </c>
      <c r="K75" s="114" t="n">
        <v>-1</v>
      </c>
      <c r="L75" s="114" t="n">
        <v>-1</v>
      </c>
      <c r="M75" s="114" t="n">
        <v>-1</v>
      </c>
      <c r="N75" s="114" t="n">
        <v>17</v>
      </c>
      <c r="O75" s="102"/>
    </row>
    <row r="76" customFormat="false" ht="15" hidden="false" customHeight="true" outlineLevel="0" collapsed="false">
      <c r="A76" s="102"/>
      <c r="B76" s="102"/>
      <c r="C76" s="102"/>
      <c r="D76" s="102"/>
      <c r="E76" s="102"/>
      <c r="F76" s="102"/>
      <c r="G76" s="102"/>
      <c r="H76" s="102"/>
      <c r="I76" s="102"/>
      <c r="J76" s="102"/>
      <c r="K76" s="102"/>
      <c r="L76" s="102"/>
      <c r="M76" s="102"/>
      <c r="N76" s="102"/>
      <c r="O76" s="102"/>
    </row>
    <row r="77" customFormat="false" ht="16.5" hidden="false" customHeight="true" outlineLevel="0" collapsed="false">
      <c r="A77" s="102"/>
      <c r="B77" s="108" t="s">
        <v>5269</v>
      </c>
      <c r="C77" s="108" t="s">
        <v>5201</v>
      </c>
      <c r="D77" s="108" t="s">
        <v>5465</v>
      </c>
      <c r="E77" s="102"/>
      <c r="F77" s="102"/>
      <c r="G77" s="102"/>
      <c r="H77" s="102"/>
      <c r="I77" s="102"/>
      <c r="J77" s="102"/>
      <c r="K77" s="102"/>
      <c r="L77" s="102"/>
      <c r="M77" s="102"/>
      <c r="N77" s="102"/>
      <c r="O77" s="102"/>
    </row>
    <row r="78" customFormat="false" ht="15" hidden="false" customHeight="true" outlineLevel="0" collapsed="false">
      <c r="A78" s="102"/>
      <c r="B78" s="110" t="s">
        <v>5431</v>
      </c>
      <c r="C78" s="133" t="n">
        <f aca="false">SUMPRODUCT(C64:C75,$N$64:$N$75)/6</f>
        <v>-2.5</v>
      </c>
      <c r="D78" s="133" t="n">
        <f aca="false">ABS(C78)</f>
        <v>2.5</v>
      </c>
      <c r="E78" s="102"/>
      <c r="F78" s="102"/>
      <c r="G78" s="102"/>
      <c r="H78" s="102"/>
      <c r="I78" s="102"/>
      <c r="J78" s="102"/>
      <c r="K78" s="102"/>
      <c r="L78" s="102"/>
      <c r="M78" s="102"/>
      <c r="N78" s="102"/>
      <c r="O78" s="102"/>
    </row>
    <row r="79" customFormat="false" ht="15" hidden="false" customHeight="true" outlineLevel="0" collapsed="false">
      <c r="A79" s="102"/>
      <c r="B79" s="110" t="s">
        <v>5432</v>
      </c>
      <c r="C79" s="133" t="n">
        <f aca="false">SUMPRODUCT(D64:D75,$N$64:$N$75)/6</f>
        <v>-0.166666666666667</v>
      </c>
      <c r="D79" s="133" t="n">
        <f aca="false">ABS(C79)</f>
        <v>0.166666666666667</v>
      </c>
      <c r="E79" s="102"/>
      <c r="F79" s="102"/>
      <c r="G79" s="102"/>
      <c r="H79" s="102"/>
      <c r="I79" s="102"/>
      <c r="J79" s="102"/>
      <c r="K79" s="102"/>
      <c r="L79" s="102"/>
      <c r="M79" s="102"/>
      <c r="N79" s="102"/>
      <c r="O79" s="102"/>
    </row>
    <row r="80" customFormat="false" ht="15" hidden="false" customHeight="true" outlineLevel="0" collapsed="false">
      <c r="A80" s="102"/>
      <c r="B80" s="110" t="s">
        <v>5435</v>
      </c>
      <c r="C80" s="133" t="n">
        <f aca="false">SUMPRODUCT(E64:E75,$N$64:$N$75)/6</f>
        <v>4.5</v>
      </c>
      <c r="D80" s="133" t="n">
        <f aca="false">ABS(C80)</f>
        <v>4.5</v>
      </c>
      <c r="E80" s="102"/>
      <c r="F80" s="102"/>
      <c r="G80" s="102"/>
      <c r="H80" s="102"/>
      <c r="I80" s="102"/>
      <c r="J80" s="102"/>
      <c r="K80" s="102"/>
      <c r="L80" s="102"/>
      <c r="M80" s="102"/>
      <c r="N80" s="102"/>
      <c r="O80" s="102"/>
    </row>
    <row r="81" customFormat="false" ht="15" hidden="false" customHeight="true" outlineLevel="0" collapsed="false">
      <c r="A81" s="102"/>
      <c r="B81" s="110" t="s">
        <v>5438</v>
      </c>
      <c r="C81" s="133" t="n">
        <f aca="false">SUMPRODUCT(F64:F75,$N$64:$N$75)/6</f>
        <v>-5.16666666666667</v>
      </c>
      <c r="D81" s="133" t="n">
        <f aca="false">ABS(C81)</f>
        <v>5.16666666666667</v>
      </c>
      <c r="E81" s="102"/>
      <c r="F81" s="102"/>
      <c r="G81" s="102"/>
      <c r="H81" s="102"/>
      <c r="I81" s="102"/>
      <c r="J81" s="102"/>
      <c r="K81" s="102"/>
      <c r="L81" s="102"/>
      <c r="M81" s="102"/>
      <c r="N81" s="102"/>
      <c r="O81" s="102"/>
    </row>
    <row r="82" customFormat="false" ht="15" hidden="false" customHeight="true" outlineLevel="0" collapsed="false">
      <c r="A82" s="102"/>
      <c r="B82" s="110" t="s">
        <v>5441</v>
      </c>
      <c r="C82" s="133" t="n">
        <f aca="false">SUMPRODUCT(G64:G75,$N$64:$N$75)/6</f>
        <v>5.83333333333333</v>
      </c>
      <c r="D82" s="133" t="n">
        <f aca="false">ABS(C82)</f>
        <v>5.83333333333333</v>
      </c>
      <c r="E82" s="102"/>
      <c r="F82" s="102"/>
      <c r="G82" s="102"/>
      <c r="H82" s="102"/>
      <c r="I82" s="102"/>
      <c r="J82" s="102"/>
      <c r="K82" s="102"/>
      <c r="L82" s="102"/>
      <c r="M82" s="102"/>
      <c r="N82" s="102"/>
      <c r="O82" s="102"/>
    </row>
    <row r="83" customFormat="false" ht="15" hidden="false" customHeight="true" outlineLevel="0" collapsed="false">
      <c r="A83" s="102"/>
      <c r="B83" s="110" t="s">
        <v>5442</v>
      </c>
      <c r="C83" s="133" t="n">
        <f aca="false">SUMPRODUCT(H64:H75,$N$64:$N$75)/6</f>
        <v>-3.83333333333333</v>
      </c>
      <c r="D83" s="133" t="n">
        <f aca="false">ABS(C83)</f>
        <v>3.83333333333333</v>
      </c>
      <c r="E83" s="102"/>
      <c r="F83" s="102"/>
      <c r="G83" s="102"/>
      <c r="H83" s="102"/>
      <c r="I83" s="102"/>
      <c r="J83" s="102"/>
      <c r="K83" s="102"/>
      <c r="L83" s="102"/>
      <c r="M83" s="102"/>
      <c r="N83" s="102"/>
      <c r="O83" s="102"/>
    </row>
    <row r="84" customFormat="false" ht="15" hidden="false" customHeight="true" outlineLevel="0" collapsed="false">
      <c r="A84" s="102"/>
      <c r="B84" s="110" t="s">
        <v>5445</v>
      </c>
      <c r="C84" s="133" t="n">
        <f aca="false">SUMPRODUCT(I64:I75,$N$64:$N$75)/6</f>
        <v>0.833333333333333</v>
      </c>
      <c r="D84" s="133" t="n">
        <f aca="false">ABS(C84)</f>
        <v>0.833333333333333</v>
      </c>
      <c r="E84" s="102"/>
      <c r="F84" s="102"/>
      <c r="G84" s="102"/>
      <c r="H84" s="102"/>
      <c r="I84" s="102"/>
      <c r="J84" s="102"/>
      <c r="K84" s="102"/>
      <c r="L84" s="102"/>
      <c r="M84" s="102"/>
      <c r="N84" s="102"/>
      <c r="O84" s="102"/>
    </row>
    <row r="85" customFormat="false" ht="15" hidden="false" customHeight="true" outlineLevel="0" collapsed="false">
      <c r="A85" s="102"/>
      <c r="B85" s="110" t="s">
        <v>5448</v>
      </c>
      <c r="C85" s="133" t="n">
        <f aca="false">SUMPRODUCT(J64:J75,$N$64:$N$75)/6</f>
        <v>-1.83333333333333</v>
      </c>
      <c r="D85" s="133" t="n">
        <f aca="false">ABS(C85)</f>
        <v>1.83333333333333</v>
      </c>
      <c r="E85" s="102"/>
      <c r="F85" s="102"/>
      <c r="G85" s="102"/>
      <c r="H85" s="102"/>
      <c r="I85" s="102"/>
      <c r="J85" s="102"/>
      <c r="K85" s="102"/>
      <c r="L85" s="102"/>
      <c r="M85" s="102"/>
      <c r="N85" s="102"/>
      <c r="O85" s="102"/>
    </row>
    <row r="86" customFormat="false" ht="15" hidden="false" customHeight="true" outlineLevel="0" collapsed="false">
      <c r="A86" s="102"/>
      <c r="B86" s="110" t="s">
        <v>5450</v>
      </c>
      <c r="C86" s="133" t="n">
        <f aca="false">SUMPRODUCT(K64:K75,$N$64:$N$75)/6</f>
        <v>1.5</v>
      </c>
      <c r="D86" s="133" t="n">
        <f aca="false">ABS(C86)</f>
        <v>1.5</v>
      </c>
      <c r="E86" s="102"/>
      <c r="F86" s="102"/>
      <c r="G86" s="102"/>
      <c r="H86" s="102"/>
      <c r="I86" s="102"/>
      <c r="J86" s="102"/>
      <c r="K86" s="102"/>
      <c r="L86" s="102"/>
      <c r="M86" s="102"/>
      <c r="N86" s="102"/>
      <c r="O86" s="102"/>
    </row>
    <row r="87" customFormat="false" ht="15" hidden="false" customHeight="true" outlineLevel="0" collapsed="false">
      <c r="A87" s="102"/>
      <c r="B87" s="110" t="s">
        <v>5451</v>
      </c>
      <c r="C87" s="133" t="n">
        <f aca="false">SUMPRODUCT(L64:L75,$N$64:$N$75)/6</f>
        <v>2.83333333333333</v>
      </c>
      <c r="D87" s="133" t="n">
        <f aca="false">ABS(C87)</f>
        <v>2.83333333333333</v>
      </c>
      <c r="E87" s="102"/>
      <c r="F87" s="102"/>
      <c r="G87" s="102"/>
      <c r="H87" s="102"/>
      <c r="I87" s="102"/>
      <c r="J87" s="102"/>
      <c r="K87" s="102"/>
      <c r="L87" s="102"/>
      <c r="M87" s="102"/>
      <c r="N87" s="102"/>
      <c r="O87" s="102"/>
    </row>
    <row r="88" customFormat="false" ht="15" hidden="false" customHeight="true" outlineLevel="0" collapsed="false">
      <c r="A88" s="102"/>
      <c r="B88" s="110" t="s">
        <v>5452</v>
      </c>
      <c r="C88" s="133" t="n">
        <f aca="false">SUMPRODUCT(M64:M75,$N$64:$N$75)/6</f>
        <v>-2.16666666666667</v>
      </c>
      <c r="D88" s="133" t="n">
        <f aca="false">ABS(C88)</f>
        <v>2.16666666666667</v>
      </c>
      <c r="E88" s="102"/>
      <c r="F88" s="102"/>
      <c r="G88" s="102"/>
      <c r="H88" s="102"/>
      <c r="I88" s="102"/>
      <c r="J88" s="102"/>
      <c r="K88" s="102"/>
      <c r="L88" s="102"/>
      <c r="M88" s="102"/>
      <c r="N88" s="102"/>
      <c r="O88" s="102"/>
    </row>
    <row r="89" customFormat="false" ht="15" hidden="false" customHeight="true" outlineLevel="0" collapsed="false">
      <c r="A89" s="102"/>
      <c r="B89" s="102"/>
      <c r="C89" s="102"/>
      <c r="D89" s="102"/>
      <c r="E89" s="102"/>
      <c r="F89" s="102"/>
      <c r="G89" s="102"/>
      <c r="H89" s="102"/>
      <c r="I89" s="102"/>
      <c r="J89" s="102"/>
      <c r="K89" s="102"/>
      <c r="L89" s="102"/>
      <c r="M89" s="102"/>
      <c r="N89" s="102"/>
      <c r="O89" s="102"/>
    </row>
    <row r="90" customFormat="false" ht="15" hidden="false" customHeight="true" outlineLevel="0" collapsed="false">
      <c r="A90" s="102"/>
      <c r="B90" s="105" t="s">
        <v>5466</v>
      </c>
      <c r="C90" s="133" t="n">
        <f aca="false">STDEV(D85:D88)</f>
        <v>0.569275042553311</v>
      </c>
      <c r="D90" s="102"/>
      <c r="E90" s="102"/>
      <c r="F90" s="102"/>
      <c r="G90" s="102"/>
      <c r="H90" s="102"/>
      <c r="I90" s="102"/>
      <c r="J90" s="102"/>
      <c r="K90" s="102"/>
      <c r="L90" s="102"/>
      <c r="M90" s="102"/>
      <c r="N90" s="102"/>
      <c r="O90" s="102"/>
    </row>
    <row r="91" customFormat="false" ht="15" hidden="false" customHeight="true" outlineLevel="0" collapsed="false">
      <c r="A91" s="102"/>
      <c r="B91" s="102"/>
      <c r="C91" s="102"/>
      <c r="D91" s="102"/>
      <c r="E91" s="102"/>
      <c r="F91" s="102"/>
      <c r="G91" s="102"/>
      <c r="H91" s="102"/>
      <c r="I91" s="102"/>
      <c r="J91" s="102"/>
      <c r="K91" s="102"/>
      <c r="L91" s="102"/>
      <c r="M91" s="102"/>
      <c r="N91" s="102"/>
      <c r="O91" s="102"/>
    </row>
    <row r="92" customFormat="false" ht="16.5" hidden="false" customHeight="true" outlineLevel="0" collapsed="false">
      <c r="A92" s="102"/>
      <c r="B92" s="108" t="s">
        <v>5376</v>
      </c>
      <c r="C92" s="108" t="s">
        <v>5269</v>
      </c>
      <c r="D92" s="108" t="s">
        <v>5465</v>
      </c>
      <c r="E92" s="108" t="s">
        <v>5467</v>
      </c>
      <c r="F92" s="102"/>
      <c r="G92" s="102"/>
      <c r="H92" s="102"/>
      <c r="I92" s="102"/>
      <c r="J92" s="102"/>
      <c r="K92" s="102"/>
      <c r="L92" s="102"/>
      <c r="M92" s="102"/>
      <c r="N92" s="102"/>
      <c r="O92" s="102"/>
    </row>
    <row r="93" customFormat="false" ht="15" hidden="false" customHeight="true" outlineLevel="0" collapsed="false">
      <c r="A93" s="102"/>
      <c r="B93" s="123" t="n">
        <v>1</v>
      </c>
      <c r="C93" s="132" t="str">
        <f aca="false">INDEX(B78:B84,MATCH(D93,D78:D84,0))</f>
        <v>5. Palletiser wrap tension</v>
      </c>
      <c r="D93" s="133" t="n">
        <f aca="false">LARGE(D78:D84,1)</f>
        <v>5.83333333333333</v>
      </c>
      <c r="E93" s="134" t="str">
        <f aca="false">IF(D93&gt;2*$C$90,"YES","no")</f>
        <v>YES</v>
      </c>
      <c r="F93" s="102"/>
      <c r="G93" s="102"/>
      <c r="H93" s="102"/>
      <c r="I93" s="102"/>
      <c r="J93" s="102"/>
      <c r="K93" s="102"/>
      <c r="L93" s="102"/>
      <c r="M93" s="102"/>
      <c r="N93" s="102"/>
      <c r="O93" s="102"/>
    </row>
    <row r="94" customFormat="false" ht="15" hidden="false" customHeight="true" outlineLevel="0" collapsed="false">
      <c r="A94" s="102"/>
      <c r="B94" s="123" t="n">
        <v>2</v>
      </c>
      <c r="C94" s="132" t="str">
        <f aca="false">INDEX(B78:B84,MATCH(D94,D78:D84,0))</f>
        <v>4. Labeller glue temp (°C)</v>
      </c>
      <c r="D94" s="133" t="n">
        <f aca="false">LARGE(D78:D84,2)</f>
        <v>5.16666666666667</v>
      </c>
      <c r="E94" s="134" t="str">
        <f aca="false">IF(D94&gt;2*$C$90,"YES","no")</f>
        <v>YES</v>
      </c>
      <c r="F94" s="102"/>
      <c r="G94" s="102"/>
      <c r="H94" s="102"/>
      <c r="I94" s="102"/>
      <c r="J94" s="102"/>
      <c r="K94" s="102"/>
      <c r="L94" s="102"/>
      <c r="M94" s="102"/>
      <c r="N94" s="102"/>
      <c r="O94" s="102"/>
    </row>
    <row r="95" customFormat="false" ht="15" hidden="false" customHeight="true" outlineLevel="0" collapsed="false">
      <c r="A95" s="102"/>
      <c r="B95" s="123" t="n">
        <v>3</v>
      </c>
      <c r="C95" s="132" t="str">
        <f aca="false">INDEX(B78:B84,MATCH(D95,D78:D84,0))</f>
        <v>3. Filler valve torque</v>
      </c>
      <c r="D95" s="133" t="n">
        <f aca="false">LARGE(D78:D84,3)</f>
        <v>4.5</v>
      </c>
      <c r="E95" s="134" t="str">
        <f aca="false">IF(D95&gt;2*$C$90,"YES","no")</f>
        <v>YES</v>
      </c>
      <c r="F95" s="102"/>
      <c r="G95" s="102"/>
      <c r="H95" s="102"/>
      <c r="I95" s="102"/>
      <c r="J95" s="102"/>
      <c r="K95" s="102"/>
      <c r="L95" s="102"/>
      <c r="M95" s="102"/>
      <c r="N95" s="102"/>
      <c r="O95" s="102"/>
    </row>
    <row r="96" customFormat="false" ht="15" hidden="false" customHeight="true" outlineLevel="0" collapsed="false">
      <c r="A96" s="102"/>
      <c r="B96" s="123" t="n">
        <v>4</v>
      </c>
      <c r="C96" s="132" t="str">
        <f aca="false">INDEX(B78:B84,MATCH(D96,D78:D84,0))</f>
        <v>6. Line speed (bph)</v>
      </c>
      <c r="D96" s="133" t="n">
        <f aca="false">LARGE(D78:D84,4)</f>
        <v>3.83333333333333</v>
      </c>
      <c r="E96" s="134" t="str">
        <f aca="false">IF(D96&gt;2*$C$90,"YES","no")</f>
        <v>YES</v>
      </c>
      <c r="F96" s="102"/>
      <c r="G96" s="102"/>
      <c r="H96" s="102"/>
      <c r="I96" s="102"/>
      <c r="J96" s="102"/>
      <c r="K96" s="102"/>
      <c r="L96" s="102"/>
      <c r="M96" s="102"/>
      <c r="N96" s="102"/>
      <c r="O96" s="102"/>
    </row>
    <row r="97" customFormat="false" ht="15" hidden="false" customHeight="true" outlineLevel="0" collapsed="false">
      <c r="A97" s="102"/>
      <c r="B97" s="123" t="n">
        <v>5</v>
      </c>
      <c r="C97" s="132" t="str">
        <f aca="false">INDEX(B78:B84,MATCH(D97,D78:D84,0))</f>
        <v>1. Preform supplier</v>
      </c>
      <c r="D97" s="133" t="n">
        <f aca="false">LARGE(D78:D84,5)</f>
        <v>2.5</v>
      </c>
      <c r="E97" s="134" t="str">
        <f aca="false">IF(D97&gt;2*$C$90,"YES","no")</f>
        <v>YES</v>
      </c>
      <c r="F97" s="102"/>
      <c r="G97" s="102"/>
      <c r="H97" s="102"/>
      <c r="I97" s="102"/>
      <c r="J97" s="102"/>
      <c r="K97" s="102"/>
      <c r="L97" s="102"/>
      <c r="M97" s="102"/>
      <c r="N97" s="102"/>
      <c r="O97" s="102"/>
    </row>
    <row r="98" customFormat="false" ht="15" hidden="false" customHeight="true" outlineLevel="0" collapsed="false">
      <c r="A98" s="102"/>
      <c r="B98" s="123" t="n">
        <v>6</v>
      </c>
      <c r="C98" s="132" t="str">
        <f aca="false">INDEX(B78:B84,MATCH(D98,D78:D84,0))</f>
        <v>7. Conveyor lubrication</v>
      </c>
      <c r="D98" s="133" t="n">
        <f aca="false">LARGE(D78:D84,6)</f>
        <v>0.833333333333333</v>
      </c>
      <c r="E98" s="134" t="str">
        <f aca="false">IF(D98&gt;2*$C$90,"YES","no")</f>
        <v>no</v>
      </c>
      <c r="F98" s="102"/>
      <c r="G98" s="102"/>
      <c r="H98" s="102"/>
      <c r="I98" s="102"/>
      <c r="J98" s="102"/>
      <c r="K98" s="102"/>
      <c r="L98" s="102"/>
      <c r="M98" s="102"/>
      <c r="N98" s="102"/>
      <c r="O98" s="102"/>
    </row>
    <row r="99" customFormat="false" ht="15" hidden="false" customHeight="true" outlineLevel="0" collapsed="false">
      <c r="A99" s="102"/>
      <c r="B99" s="123" t="n">
        <v>7</v>
      </c>
      <c r="C99" s="132" t="str">
        <f aca="false">INDEX(B78:B84,MATCH(D99,D78:D84,0))</f>
        <v>2. Blow mould cavity set</v>
      </c>
      <c r="D99" s="133" t="n">
        <f aca="false">LARGE(D78:D84,7)</f>
        <v>0.166666666666667</v>
      </c>
      <c r="E99" s="134" t="str">
        <f aca="false">IF(D99&gt;2*$C$90,"YES","no")</f>
        <v>no</v>
      </c>
      <c r="F99" s="102"/>
      <c r="G99" s="102"/>
      <c r="H99" s="102"/>
      <c r="I99" s="102"/>
      <c r="J99" s="102"/>
      <c r="K99" s="102"/>
      <c r="L99" s="102"/>
      <c r="M99" s="102"/>
      <c r="N99" s="102"/>
      <c r="O99" s="102"/>
    </row>
    <row r="100" customFormat="false" ht="15" hidden="false" customHeight="true" outlineLevel="0" collapsed="false">
      <c r="A100" s="102"/>
      <c r="B100" s="102"/>
      <c r="C100" s="102"/>
      <c r="D100" s="102"/>
      <c r="E100" s="102"/>
      <c r="F100" s="102"/>
      <c r="G100" s="102"/>
      <c r="H100" s="102"/>
      <c r="I100" s="102"/>
      <c r="J100" s="102"/>
      <c r="K100" s="102"/>
      <c r="L100" s="102"/>
      <c r="M100" s="102"/>
      <c r="N100" s="102"/>
      <c r="O100" s="102"/>
    </row>
    <row r="101" customFormat="false" ht="15.75" hidden="false" customHeight="true" outlineLevel="0" collapsed="false">
      <c r="A101" s="102"/>
      <c r="B101" s="130" t="s">
        <v>5468</v>
      </c>
      <c r="C101" s="130"/>
      <c r="D101" s="130"/>
      <c r="E101" s="130"/>
      <c r="F101" s="130"/>
      <c r="G101" s="130"/>
      <c r="H101" s="130"/>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5.75" hidden="false" customHeight="true" outlineLevel="0" collapsed="false">
      <c r="A103" s="102"/>
      <c r="B103" s="103" t="s">
        <v>1493</v>
      </c>
      <c r="C103" s="104"/>
      <c r="D103" s="104"/>
      <c r="E103" s="104"/>
      <c r="F103" s="104"/>
      <c r="G103" s="104"/>
      <c r="H103" s="104"/>
      <c r="I103" s="104"/>
      <c r="J103" s="104"/>
      <c r="K103" s="104"/>
      <c r="L103" s="102"/>
      <c r="M103" s="102"/>
      <c r="N103" s="102"/>
      <c r="O103" s="102"/>
    </row>
    <row r="104" customFormat="false" ht="33.75" hidden="false" customHeight="true" outlineLevel="0" collapsed="false">
      <c r="A104" s="102"/>
      <c r="B104" s="105" t="s">
        <v>1494</v>
      </c>
      <c r="C104" s="117" t="str">
        <f aca="false">"Top-ranked factor: "&amp;INDEX(B78:B84,MATCH(MAX(D78:D84),D78:D84,0))&amp;". Noise floor (2x dummy StDev) = "&amp;TEXT(2*C90,"0.00")&amp;". Carry forward only the factors flagged YES into a focal factorial (E-42/E-43)."</f>
        <v>Top-ranked factor: 5. Palletiser wrap tension. Noise floor (2x dummy StDev) = 1.14. Carry forward only the factors flagged YES into a focal factorial (E-42/E-43).</v>
      </c>
      <c r="D104" s="117"/>
      <c r="E104" s="117"/>
      <c r="F104" s="117"/>
      <c r="G104" s="117"/>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6.5" hidden="false" customHeight="true" outlineLevel="0" collapsed="false">
      <c r="A106" s="102"/>
      <c r="B106" s="108" t="s">
        <v>1495</v>
      </c>
      <c r="C106" s="108" t="s">
        <v>1496</v>
      </c>
      <c r="D106" s="108" t="s">
        <v>1497</v>
      </c>
      <c r="E106" s="102"/>
      <c r="F106" s="102"/>
      <c r="G106" s="102"/>
      <c r="H106" s="102"/>
      <c r="I106" s="102"/>
      <c r="J106" s="102"/>
      <c r="K106" s="102"/>
      <c r="L106" s="102"/>
      <c r="M106" s="102"/>
      <c r="N106" s="102"/>
      <c r="O106" s="102"/>
    </row>
    <row r="107" customFormat="false" ht="30.75" hidden="false" customHeight="true" outlineLevel="0" collapsed="false">
      <c r="A107" s="102"/>
      <c r="B107" s="110" t="s">
        <v>5469</v>
      </c>
      <c r="C107" s="111" t="s">
        <v>5470</v>
      </c>
      <c r="D107" s="15" t="s">
        <v>5471</v>
      </c>
      <c r="E107" s="102"/>
      <c r="F107" s="102"/>
      <c r="G107" s="102"/>
      <c r="H107" s="102"/>
      <c r="I107" s="102"/>
      <c r="J107" s="102"/>
      <c r="K107" s="102"/>
      <c r="L107" s="102"/>
      <c r="M107" s="102"/>
      <c r="N107" s="102"/>
      <c r="O107" s="102"/>
    </row>
    <row r="108" customFormat="false" ht="30.75" hidden="false" customHeight="true" outlineLevel="0" collapsed="false">
      <c r="A108" s="102"/>
      <c r="B108" s="110" t="s">
        <v>5472</v>
      </c>
      <c r="C108" s="111" t="s">
        <v>5473</v>
      </c>
      <c r="D108" s="15" t="s">
        <v>5474</v>
      </c>
      <c r="E108" s="102"/>
      <c r="F108" s="102"/>
      <c r="G108" s="102"/>
      <c r="H108" s="102"/>
      <c r="I108" s="102"/>
      <c r="J108" s="102"/>
      <c r="K108" s="102"/>
      <c r="L108" s="102"/>
      <c r="M108" s="102"/>
      <c r="N108" s="102"/>
      <c r="O108" s="102"/>
    </row>
    <row r="109" customFormat="false" ht="30.75" hidden="false" customHeight="true" outlineLevel="0" collapsed="false">
      <c r="A109" s="102"/>
      <c r="B109" s="110" t="s">
        <v>5475</v>
      </c>
      <c r="C109" s="111" t="s">
        <v>5476</v>
      </c>
      <c r="D109" s="15" t="s">
        <v>5477</v>
      </c>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5" t="s">
        <v>1507</v>
      </c>
      <c r="C111" s="102"/>
      <c r="D111" s="102"/>
      <c r="E111" s="102"/>
      <c r="F111" s="102"/>
      <c r="G111" s="102"/>
      <c r="H111" s="102"/>
      <c r="I111" s="102"/>
      <c r="J111" s="102"/>
      <c r="K111" s="102"/>
      <c r="L111" s="102"/>
      <c r="M111" s="102"/>
      <c r="N111" s="102"/>
      <c r="O111" s="102"/>
    </row>
    <row r="112" customFormat="false" ht="17.25" hidden="false" customHeight="true" outlineLevel="0" collapsed="false">
      <c r="A112" s="102"/>
      <c r="B112" s="106" t="s">
        <v>5478</v>
      </c>
      <c r="C112" s="106"/>
      <c r="D112" s="106"/>
      <c r="E112" s="106"/>
      <c r="F112" s="106"/>
      <c r="G112" s="106"/>
      <c r="H112" s="106"/>
      <c r="I112" s="102"/>
      <c r="J112" s="102"/>
      <c r="K112" s="102"/>
      <c r="L112" s="102"/>
      <c r="M112" s="102"/>
      <c r="N112" s="102"/>
      <c r="O112" s="102"/>
    </row>
    <row r="113" customFormat="false" ht="17.25" hidden="false" customHeight="true" outlineLevel="0" collapsed="false">
      <c r="A113" s="102"/>
      <c r="B113" s="106" t="s">
        <v>5479</v>
      </c>
      <c r="C113" s="106"/>
      <c r="D113" s="106"/>
      <c r="E113" s="106"/>
      <c r="F113" s="106"/>
      <c r="G113" s="106"/>
      <c r="H113" s="106"/>
      <c r="I113" s="102"/>
      <c r="J113" s="102"/>
      <c r="K113" s="102"/>
      <c r="L113" s="102"/>
      <c r="M113" s="102"/>
      <c r="N113" s="102"/>
      <c r="O113" s="102"/>
    </row>
    <row r="114" customFormat="false" ht="17.25" hidden="false" customHeight="true" outlineLevel="0" collapsed="false">
      <c r="A114" s="102"/>
      <c r="B114" s="106" t="s">
        <v>5480</v>
      </c>
      <c r="C114" s="106"/>
      <c r="D114" s="106"/>
      <c r="E114" s="106"/>
      <c r="F114" s="106"/>
      <c r="G114" s="106"/>
      <c r="H114" s="106"/>
      <c r="I114" s="102"/>
      <c r="J114" s="102"/>
      <c r="K114" s="102"/>
      <c r="L114" s="102"/>
      <c r="M114" s="102"/>
      <c r="N114" s="102"/>
      <c r="O114" s="102"/>
    </row>
    <row r="115" customFormat="false" ht="17.25" hidden="false" customHeight="true" outlineLevel="0" collapsed="false">
      <c r="A115" s="102"/>
      <c r="B115" s="106" t="s">
        <v>5481</v>
      </c>
      <c r="C115" s="106"/>
      <c r="D115" s="106"/>
      <c r="E115" s="106"/>
      <c r="F115" s="106"/>
      <c r="G115" s="106"/>
      <c r="H115" s="106"/>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75" hidden="false" customHeight="true" outlineLevel="0" collapsed="false">
      <c r="A117" s="102"/>
      <c r="B117" s="103" t="s">
        <v>1513</v>
      </c>
      <c r="C117" s="104"/>
      <c r="D117" s="104"/>
      <c r="E117" s="104"/>
      <c r="F117" s="104"/>
      <c r="G117" s="104"/>
      <c r="H117" s="104"/>
      <c r="I117" s="104"/>
      <c r="J117" s="104"/>
      <c r="K117" s="104"/>
      <c r="L117" s="102"/>
      <c r="M117" s="102"/>
      <c r="N117" s="102"/>
      <c r="O117" s="102"/>
    </row>
    <row r="118" customFormat="false" ht="17.25" hidden="false" customHeight="true" outlineLevel="0" collapsed="false">
      <c r="A118" s="102"/>
      <c r="B118" s="118" t="s">
        <v>1514</v>
      </c>
      <c r="C118" s="118"/>
      <c r="D118" s="118"/>
      <c r="E118" s="118"/>
      <c r="F118" s="102"/>
      <c r="G118" s="102"/>
      <c r="H118" s="102"/>
      <c r="I118" s="102"/>
      <c r="J118" s="102"/>
      <c r="K118" s="102"/>
      <c r="L118" s="102"/>
      <c r="M118" s="102"/>
      <c r="N118" s="119" t="s">
        <v>1515</v>
      </c>
      <c r="O118" s="102"/>
    </row>
    <row r="119" customFormat="false" ht="44.25" hidden="false" customHeight="true" outlineLevel="0" collapsed="false">
      <c r="A119" s="102"/>
      <c r="B119" s="106" t="s">
        <v>5482</v>
      </c>
      <c r="C119" s="106"/>
      <c r="D119" s="106"/>
      <c r="E119" s="106"/>
      <c r="F119" s="102"/>
      <c r="G119" s="102"/>
      <c r="H119" s="102"/>
      <c r="I119" s="102"/>
      <c r="J119" s="102"/>
      <c r="K119" s="102"/>
      <c r="L119" s="102"/>
      <c r="M119" s="102"/>
      <c r="N119" s="120" t="s">
        <v>5483</v>
      </c>
      <c r="O119" s="102"/>
    </row>
    <row r="120" customFormat="false" ht="44.25" hidden="false" customHeight="true" outlineLevel="0" collapsed="false">
      <c r="A120" s="102"/>
      <c r="B120" s="106" t="s">
        <v>5484</v>
      </c>
      <c r="C120" s="106"/>
      <c r="D120" s="106"/>
      <c r="E120" s="106"/>
      <c r="F120" s="102"/>
      <c r="G120" s="102"/>
      <c r="H120" s="102"/>
      <c r="I120" s="102"/>
      <c r="J120" s="102"/>
      <c r="K120" s="102"/>
      <c r="L120" s="102"/>
      <c r="M120" s="102"/>
      <c r="N120" s="120" t="s">
        <v>5485</v>
      </c>
      <c r="O120" s="102"/>
    </row>
    <row r="121" customFormat="false" ht="44.25" hidden="false" customHeight="true" outlineLevel="0" collapsed="false">
      <c r="A121" s="102"/>
      <c r="B121" s="106" t="s">
        <v>5486</v>
      </c>
      <c r="C121" s="106"/>
      <c r="D121" s="106"/>
      <c r="E121" s="106"/>
      <c r="F121" s="102"/>
      <c r="G121" s="102"/>
      <c r="H121" s="102"/>
      <c r="I121" s="102"/>
      <c r="J121" s="102"/>
      <c r="K121" s="102"/>
      <c r="L121" s="102"/>
      <c r="M121" s="102"/>
      <c r="N121" s="120" t="s">
        <v>5487</v>
      </c>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5.75" hidden="false" customHeight="true" outlineLevel="0" collapsed="false">
      <c r="A123" s="102"/>
      <c r="B123" s="103" t="s">
        <v>1522</v>
      </c>
      <c r="C123" s="104"/>
      <c r="D123" s="104"/>
      <c r="E123" s="104"/>
      <c r="F123" s="104"/>
      <c r="G123" s="104"/>
      <c r="H123" s="104"/>
      <c r="I123" s="104"/>
      <c r="J123" s="104"/>
      <c r="K123" s="104"/>
      <c r="L123" s="102"/>
      <c r="M123" s="102"/>
      <c r="N123" s="102"/>
      <c r="O123" s="102"/>
    </row>
    <row r="124" customFormat="false" ht="16.5" hidden="false" customHeight="true" outlineLevel="0" collapsed="false">
      <c r="A124" s="102"/>
      <c r="B124" s="108" t="s">
        <v>1523</v>
      </c>
      <c r="C124" s="108" t="s">
        <v>1524</v>
      </c>
      <c r="D124" s="108" t="s">
        <v>1615</v>
      </c>
      <c r="E124" s="102"/>
      <c r="F124" s="102"/>
      <c r="G124" s="102"/>
      <c r="H124" s="102"/>
      <c r="I124" s="102"/>
      <c r="J124" s="102"/>
      <c r="K124" s="102"/>
      <c r="L124" s="102"/>
      <c r="M124" s="102"/>
      <c r="N124" s="102"/>
      <c r="O124" s="102"/>
    </row>
    <row r="125" customFormat="false" ht="15" hidden="false" customHeight="true" outlineLevel="0" collapsed="false">
      <c r="A125" s="102"/>
      <c r="B125" s="121" t="s">
        <v>3794</v>
      </c>
      <c r="C125" s="121" t="s">
        <v>1039</v>
      </c>
      <c r="D125" s="121" t="s">
        <v>1035</v>
      </c>
      <c r="E125" s="102"/>
      <c r="F125" s="102"/>
      <c r="G125" s="102"/>
      <c r="H125" s="102"/>
      <c r="I125" s="102"/>
      <c r="J125" s="102"/>
      <c r="K125" s="102"/>
      <c r="L125" s="102"/>
      <c r="M125" s="102"/>
      <c r="N125" s="102"/>
      <c r="O125" s="102"/>
    </row>
    <row r="126" customFormat="false" ht="15" hidden="false" customHeight="true" outlineLevel="0" collapsed="false">
      <c r="A126" s="102"/>
      <c r="B126" s="102"/>
      <c r="C126" s="102"/>
      <c r="D126" s="102"/>
      <c r="E126" s="102"/>
      <c r="F126" s="102"/>
      <c r="G126" s="102"/>
      <c r="H126" s="102"/>
      <c r="I126" s="102"/>
      <c r="J126" s="102"/>
      <c r="K126" s="102"/>
      <c r="L126" s="102"/>
      <c r="M126" s="102"/>
      <c r="N126" s="102"/>
      <c r="O126" s="102"/>
    </row>
    <row r="127" customFormat="false" ht="15" hidden="false" customHeight="true" outlineLevel="0" collapsed="false">
      <c r="A127" s="102"/>
      <c r="B127" s="102"/>
      <c r="C127" s="102"/>
      <c r="D127" s="102"/>
      <c r="E127" s="102"/>
      <c r="F127" s="102"/>
      <c r="G127" s="102"/>
      <c r="H127" s="102"/>
      <c r="I127" s="102"/>
      <c r="J127" s="102"/>
      <c r="K127" s="102"/>
      <c r="L127" s="102"/>
      <c r="M127" s="102"/>
      <c r="N127" s="102"/>
      <c r="O127" s="102"/>
    </row>
    <row r="128" customFormat="false" ht="15" hidden="false" customHeight="true" outlineLevel="0" collapsed="false">
      <c r="A128" s="102"/>
      <c r="B128" s="102"/>
      <c r="C128" s="102"/>
      <c r="D128" s="102"/>
      <c r="E128" s="102"/>
      <c r="F128" s="102"/>
      <c r="G128" s="102"/>
      <c r="H128" s="102"/>
      <c r="I128" s="102"/>
      <c r="J128" s="102"/>
      <c r="K128" s="102"/>
      <c r="L128" s="102"/>
      <c r="M128" s="102"/>
      <c r="N128" s="102"/>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5" hidden="false" customHeight="true" outlineLevel="0" collapsed="false">
      <c r="A130" s="102"/>
      <c r="B130" s="102"/>
      <c r="C130" s="102"/>
      <c r="D130" s="102"/>
      <c r="E130" s="102"/>
      <c r="F130" s="102"/>
      <c r="G130" s="102"/>
      <c r="H130" s="102"/>
      <c r="I130" s="102"/>
      <c r="J130" s="102"/>
      <c r="K130" s="102"/>
      <c r="L130" s="102"/>
      <c r="M130" s="102"/>
      <c r="N130" s="102"/>
      <c r="O130" s="102"/>
    </row>
    <row r="131" customFormat="false" ht="15" hidden="false" customHeight="true" outlineLevel="0" collapsed="false">
      <c r="A131" s="102"/>
      <c r="B131" s="102"/>
      <c r="C131" s="102"/>
      <c r="D131" s="102"/>
      <c r="E131" s="102"/>
      <c r="F131" s="102"/>
      <c r="G131" s="102"/>
      <c r="H131" s="102"/>
      <c r="I131" s="102"/>
      <c r="J131" s="102"/>
      <c r="K131" s="102"/>
      <c r="L131" s="102"/>
      <c r="M131" s="102"/>
      <c r="N131" s="102"/>
      <c r="O131" s="102"/>
    </row>
    <row r="132" customFormat="false" ht="15" hidden="false" customHeight="true" outlineLevel="0" collapsed="false">
      <c r="A132" s="102"/>
      <c r="B132" s="102"/>
      <c r="C132" s="102"/>
      <c r="D132" s="102"/>
      <c r="E132" s="102"/>
      <c r="F132" s="102"/>
      <c r="G132" s="102"/>
      <c r="H132" s="102"/>
      <c r="I132" s="102"/>
      <c r="J132" s="102"/>
      <c r="K132" s="102"/>
      <c r="L132" s="102"/>
      <c r="M132" s="102"/>
      <c r="N132" s="102"/>
      <c r="O132" s="102"/>
    </row>
    <row r="133" customFormat="false" ht="15" hidden="false" customHeight="true" outlineLevel="0" collapsed="false">
      <c r="A133" s="102"/>
      <c r="B133" s="102"/>
      <c r="C133" s="102"/>
      <c r="D133" s="102"/>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 hidden="false" customHeight="true" outlineLevel="0" collapsed="false">
      <c r="A137" s="102"/>
      <c r="B137" s="102"/>
      <c r="C137" s="102"/>
      <c r="D137" s="102"/>
      <c r="E137" s="102"/>
      <c r="F137" s="102"/>
      <c r="G137" s="102"/>
      <c r="H137" s="102"/>
      <c r="I137" s="102"/>
      <c r="J137" s="102"/>
      <c r="K137" s="102"/>
      <c r="L137" s="102"/>
      <c r="M137" s="102"/>
      <c r="N137" s="102"/>
      <c r="O137" s="102"/>
    </row>
    <row r="138" customFormat="false" ht="15" hidden="false" customHeight="true" outlineLevel="0" collapsed="false">
      <c r="A138" s="102"/>
      <c r="B138" s="102"/>
      <c r="C138" s="102"/>
      <c r="D138" s="102"/>
      <c r="E138" s="102"/>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33">
    <mergeCell ref="B2:J2"/>
    <mergeCell ref="D3:E3"/>
    <mergeCell ref="C6:F6"/>
    <mergeCell ref="C7:F7"/>
    <mergeCell ref="C8:F8"/>
    <mergeCell ref="B11:H13"/>
    <mergeCell ref="B14:H14"/>
    <mergeCell ref="B15:H17"/>
    <mergeCell ref="B20:D20"/>
    <mergeCell ref="E20:F20"/>
    <mergeCell ref="B21:D21"/>
    <mergeCell ref="E21:F21"/>
    <mergeCell ref="B22:D22"/>
    <mergeCell ref="E22:F22"/>
    <mergeCell ref="B23:D23"/>
    <mergeCell ref="E23:F23"/>
    <mergeCell ref="B31:H32"/>
    <mergeCell ref="B33:H34"/>
    <mergeCell ref="B35:H35"/>
    <mergeCell ref="B36:H36"/>
    <mergeCell ref="B37:H38"/>
    <mergeCell ref="B47:H47"/>
    <mergeCell ref="C48:D48"/>
    <mergeCell ref="B101:H101"/>
    <mergeCell ref="C104:G104"/>
    <mergeCell ref="B112:H112"/>
    <mergeCell ref="B113:H113"/>
    <mergeCell ref="B114:H114"/>
    <mergeCell ref="B115:H115"/>
    <mergeCell ref="B118:E118"/>
    <mergeCell ref="B119:E119"/>
    <mergeCell ref="B120:E120"/>
    <mergeCell ref="B121:E121"/>
  </mergeCells>
  <hyperlinks>
    <hyperlink ref="B3" location="'N-03 Index DMAIC'!A1" display="← Back to Index"/>
    <hyperlink ref="E26" location="'E-43 Fractional Factorial'!A1" display="E-43  Fractional Factorial, Resolution and Aliasing"/>
    <hyperlink ref="E27" location="'E-41 DOE Fundamentals'!A1" display="E-41  DOE Fundamentals and Terminology"/>
    <hyperlink ref="E28" location="'E-05 Sampling Subgroups'!A1" display="E-05  Sampling Subgroups"/>
    <hyperlink ref="B125" location="'E-41 DOE Fundamentals'!A1" display="E-41  DOE Fundamentals and Terminology"/>
    <hyperlink ref="C125" location="'E-42 Full Factorial'!A1" display="E-42  Full Factorial Designs (2^k)"/>
    <hyperlink ref="D125" location="'E-40 Multi-Vari Analysis'!A1" display="E-40  Multi-Vari Analysi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5488</v>
      </c>
      <c r="C2" s="3"/>
      <c r="D2" s="3"/>
      <c r="E2" s="3"/>
      <c r="F2" s="3"/>
      <c r="G2" s="3"/>
      <c r="H2" s="3"/>
      <c r="I2" s="3"/>
      <c r="J2" s="3"/>
      <c r="K2" s="101" t="s">
        <v>5137</v>
      </c>
    </row>
    <row r="3" customFormat="false" ht="42" hidden="false" customHeight="true" outlineLevel="0" collapsed="false">
      <c r="B3" s="5" t="s">
        <v>3</v>
      </c>
      <c r="D3" s="6" t="s">
        <v>5489</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5490</v>
      </c>
      <c r="D6" s="106"/>
      <c r="E6" s="106"/>
      <c r="F6" s="106"/>
      <c r="G6" s="106"/>
      <c r="H6" s="102"/>
      <c r="I6" s="102"/>
      <c r="J6" s="102"/>
      <c r="K6" s="102"/>
      <c r="L6" s="102"/>
      <c r="M6" s="102"/>
      <c r="N6" s="102"/>
      <c r="O6" s="102"/>
    </row>
    <row r="7" customFormat="false" ht="17.25" hidden="false" customHeight="true" outlineLevel="0" collapsed="false">
      <c r="A7" s="102"/>
      <c r="B7" s="105" t="s">
        <v>1394</v>
      </c>
      <c r="C7" s="106" t="s">
        <v>5491</v>
      </c>
      <c r="D7" s="106"/>
      <c r="E7" s="106"/>
      <c r="F7" s="106"/>
      <c r="G7" s="106"/>
      <c r="H7" s="102"/>
      <c r="I7" s="102"/>
      <c r="J7" s="102"/>
      <c r="K7" s="102"/>
      <c r="L7" s="102"/>
      <c r="M7" s="102"/>
      <c r="N7" s="102"/>
      <c r="O7" s="102"/>
    </row>
    <row r="8" customFormat="false" ht="31.5" hidden="false" customHeight="true" outlineLevel="0" collapsed="false">
      <c r="A8" s="102"/>
      <c r="B8" s="105" t="s">
        <v>1396</v>
      </c>
      <c r="C8" s="106" t="s">
        <v>5492</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0.5" hidden="false" customHeight="true" outlineLevel="0" collapsed="false">
      <c r="A11" s="102"/>
      <c r="B11" s="106" t="s">
        <v>5493</v>
      </c>
      <c r="C11" s="106"/>
      <c r="D11" s="106"/>
      <c r="E11" s="106"/>
      <c r="F11" s="106"/>
      <c r="G11" s="106"/>
      <c r="H11" s="106"/>
      <c r="I11" s="102"/>
      <c r="J11" s="102"/>
      <c r="K11" s="102"/>
      <c r="L11" s="102"/>
      <c r="M11" s="102"/>
      <c r="N11" s="102"/>
      <c r="O11" s="102"/>
    </row>
    <row r="12" customFormat="false" ht="10.5" hidden="false" customHeight="true" outlineLevel="0" collapsed="false">
      <c r="A12" s="102"/>
      <c r="B12" s="106"/>
      <c r="C12" s="106"/>
      <c r="D12" s="106"/>
      <c r="E12" s="106"/>
      <c r="F12" s="106"/>
      <c r="G12" s="106"/>
      <c r="H12" s="106"/>
      <c r="I12" s="102"/>
      <c r="J12" s="102"/>
      <c r="K12" s="102"/>
      <c r="L12" s="102"/>
      <c r="M12" s="102"/>
      <c r="N12" s="102"/>
      <c r="O12" s="102"/>
    </row>
    <row r="13" customFormat="false" ht="10.5" hidden="false" customHeight="true" outlineLevel="0" collapsed="false">
      <c r="A13" s="102"/>
      <c r="B13" s="106"/>
      <c r="C13" s="106"/>
      <c r="D13" s="106"/>
      <c r="E13" s="106"/>
      <c r="F13" s="106"/>
      <c r="G13" s="106"/>
      <c r="H13" s="106"/>
      <c r="I13" s="102"/>
      <c r="J13" s="102"/>
      <c r="K13" s="102"/>
      <c r="L13" s="102"/>
      <c r="M13" s="102"/>
      <c r="N13" s="102"/>
      <c r="O13" s="102"/>
    </row>
    <row r="14" customFormat="false" ht="15" hidden="false" customHeight="true" outlineLevel="0" collapsed="false">
      <c r="A14" s="102"/>
      <c r="B14" s="106" t="s">
        <v>5494</v>
      </c>
      <c r="C14" s="106"/>
      <c r="D14" s="106"/>
      <c r="E14" s="106"/>
      <c r="F14" s="106"/>
      <c r="G14" s="106"/>
      <c r="H14" s="106"/>
      <c r="I14" s="102"/>
      <c r="J14" s="102"/>
      <c r="K14" s="102"/>
      <c r="L14" s="102"/>
      <c r="M14" s="102"/>
      <c r="N14" s="102"/>
      <c r="O14" s="102"/>
    </row>
    <row r="15" customFormat="false" ht="15" hidden="false" customHeight="true" outlineLevel="0" collapsed="false">
      <c r="A15" s="102"/>
      <c r="B15" s="106"/>
      <c r="C15" s="106"/>
      <c r="D15" s="106"/>
      <c r="E15" s="106"/>
      <c r="F15" s="106"/>
      <c r="G15" s="106"/>
      <c r="H15" s="106"/>
      <c r="I15" s="102"/>
      <c r="J15" s="102"/>
      <c r="K15" s="102"/>
      <c r="L15" s="102"/>
      <c r="M15" s="102"/>
      <c r="N15" s="102"/>
      <c r="O15" s="102"/>
    </row>
    <row r="16" customFormat="false" ht="15" hidden="false" customHeight="true" outlineLevel="0" collapsed="false">
      <c r="A16" s="102"/>
      <c r="B16" s="106"/>
      <c r="C16" s="106"/>
      <c r="D16" s="106"/>
      <c r="E16" s="106"/>
      <c r="F16" s="106"/>
      <c r="G16" s="106"/>
      <c r="H16" s="106"/>
      <c r="I16" s="102"/>
      <c r="J16" s="102"/>
      <c r="K16" s="102"/>
      <c r="L16" s="102"/>
      <c r="M16" s="102"/>
      <c r="N16" s="102"/>
      <c r="O16" s="102"/>
    </row>
    <row r="17" customFormat="false" ht="15.75" hidden="false" customHeight="true" outlineLevel="0" collapsed="false">
      <c r="A17" s="102"/>
      <c r="B17" s="106" t="s">
        <v>5495</v>
      </c>
      <c r="C17" s="106"/>
      <c r="D17" s="106"/>
      <c r="E17" s="106"/>
      <c r="F17" s="106"/>
      <c r="G17" s="106"/>
      <c r="H17" s="106"/>
      <c r="I17" s="102"/>
      <c r="J17" s="102"/>
      <c r="K17" s="102"/>
      <c r="L17" s="102"/>
      <c r="M17" s="102"/>
      <c r="N17" s="102"/>
      <c r="O17" s="102"/>
    </row>
    <row r="18" customFormat="false" ht="15.75" hidden="false" customHeight="true" outlineLevel="0" collapsed="false">
      <c r="A18" s="102"/>
      <c r="B18" s="106"/>
      <c r="C18" s="106"/>
      <c r="D18" s="106"/>
      <c r="E18" s="106"/>
      <c r="F18" s="106"/>
      <c r="G18" s="106"/>
      <c r="H18" s="106"/>
      <c r="I18" s="102"/>
      <c r="J18" s="102"/>
      <c r="K18" s="102"/>
      <c r="L18" s="102"/>
      <c r="M18" s="102"/>
      <c r="N18" s="102"/>
      <c r="O18" s="102"/>
    </row>
    <row r="19" customFormat="false" ht="15" hidden="false" customHeight="true" outlineLevel="0" collapsed="false">
      <c r="A19" s="102"/>
      <c r="B19" s="102"/>
      <c r="C19" s="102"/>
      <c r="D19" s="102"/>
      <c r="E19" s="102"/>
      <c r="F19" s="102"/>
      <c r="G19" s="102"/>
      <c r="H19" s="102"/>
      <c r="I19" s="102"/>
      <c r="J19" s="102"/>
      <c r="K19" s="102"/>
      <c r="L19" s="102"/>
      <c r="M19" s="102"/>
      <c r="N19" s="102"/>
      <c r="O19" s="102"/>
    </row>
    <row r="20" customFormat="false" ht="15.75" hidden="false" customHeight="true" outlineLevel="0" collapsed="false">
      <c r="A20" s="102"/>
      <c r="B20" s="103" t="s">
        <v>1406</v>
      </c>
      <c r="C20" s="104"/>
      <c r="D20" s="104"/>
      <c r="E20" s="104"/>
      <c r="F20" s="104"/>
      <c r="G20" s="104"/>
      <c r="H20" s="104"/>
      <c r="I20" s="104"/>
      <c r="J20" s="104"/>
      <c r="K20" s="104"/>
      <c r="L20" s="102"/>
      <c r="M20" s="102"/>
      <c r="N20" s="102"/>
      <c r="O20" s="102"/>
    </row>
    <row r="21" customFormat="false" ht="17.25" hidden="false" customHeight="true" outlineLevel="0" collapsed="false">
      <c r="A21" s="102"/>
      <c r="B21" s="107" t="s">
        <v>1407</v>
      </c>
      <c r="C21" s="107"/>
      <c r="D21" s="107"/>
      <c r="E21" s="107" t="s">
        <v>1408</v>
      </c>
      <c r="F21" s="107"/>
      <c r="G21" s="107"/>
      <c r="H21" s="107"/>
      <c r="I21" s="102"/>
      <c r="J21" s="102"/>
      <c r="K21" s="102"/>
      <c r="L21" s="102"/>
      <c r="M21" s="102"/>
      <c r="N21" s="102"/>
      <c r="O21" s="102"/>
    </row>
    <row r="22" customFormat="false" ht="31.5" hidden="false" customHeight="true" outlineLevel="0" collapsed="false">
      <c r="A22" s="102"/>
      <c r="B22" s="106" t="s">
        <v>5496</v>
      </c>
      <c r="C22" s="106"/>
      <c r="D22" s="106"/>
      <c r="E22" s="106" t="s">
        <v>5497</v>
      </c>
      <c r="F22" s="106"/>
      <c r="G22" s="106"/>
      <c r="H22" s="106"/>
      <c r="I22" s="102"/>
      <c r="J22" s="102"/>
      <c r="K22" s="102"/>
      <c r="L22" s="102"/>
      <c r="M22" s="102"/>
      <c r="N22" s="102"/>
      <c r="O22" s="102"/>
    </row>
    <row r="23" customFormat="false" ht="31.5" hidden="false" customHeight="true" outlineLevel="0" collapsed="false">
      <c r="A23" s="102"/>
      <c r="B23" s="106" t="s">
        <v>5498</v>
      </c>
      <c r="C23" s="106"/>
      <c r="D23" s="106"/>
      <c r="E23" s="106" t="s">
        <v>5499</v>
      </c>
      <c r="F23" s="106"/>
      <c r="G23" s="106"/>
      <c r="H23" s="106"/>
      <c r="I23" s="102"/>
      <c r="J23" s="102"/>
      <c r="K23" s="102"/>
      <c r="L23" s="102"/>
      <c r="M23" s="102"/>
      <c r="N23" s="102"/>
      <c r="O23" s="102"/>
    </row>
    <row r="24" customFormat="false" ht="17.25" hidden="false" customHeight="true" outlineLevel="0" collapsed="false">
      <c r="A24" s="102"/>
      <c r="B24" s="106" t="s">
        <v>5500</v>
      </c>
      <c r="C24" s="106"/>
      <c r="D24" s="106"/>
      <c r="E24" s="106"/>
      <c r="F24" s="106"/>
      <c r="G24" s="106"/>
      <c r="H24" s="106"/>
      <c r="I24" s="102"/>
      <c r="J24" s="102"/>
      <c r="K24" s="102"/>
      <c r="L24" s="102"/>
      <c r="M24" s="102"/>
      <c r="N24" s="102"/>
      <c r="O24" s="102"/>
    </row>
    <row r="25" customFormat="false" ht="15" hidden="false" customHeight="true" outlineLevel="0" collapsed="false">
      <c r="A25" s="102"/>
      <c r="B25" s="102"/>
      <c r="C25" s="102"/>
      <c r="D25" s="102"/>
      <c r="E25" s="102"/>
      <c r="F25" s="102"/>
      <c r="G25" s="102"/>
      <c r="H25" s="102"/>
      <c r="I25" s="102"/>
      <c r="J25" s="102"/>
      <c r="K25" s="102"/>
      <c r="L25" s="102"/>
      <c r="M25" s="102"/>
      <c r="N25" s="102"/>
      <c r="O25" s="102"/>
    </row>
    <row r="26" customFormat="false" ht="30.75" hidden="false" customHeight="true" outlineLevel="0" collapsed="false">
      <c r="A26" s="102"/>
      <c r="B26" s="108" t="s">
        <v>1416</v>
      </c>
      <c r="C26" s="108" t="s">
        <v>1417</v>
      </c>
      <c r="D26" s="108" t="s">
        <v>1418</v>
      </c>
      <c r="E26" s="108" t="s">
        <v>1419</v>
      </c>
      <c r="F26" s="102"/>
      <c r="G26" s="102"/>
      <c r="H26" s="102"/>
      <c r="I26" s="102"/>
      <c r="J26" s="102"/>
      <c r="K26" s="102"/>
      <c r="L26" s="102"/>
      <c r="M26" s="102"/>
      <c r="N26" s="102"/>
      <c r="O26" s="102"/>
    </row>
    <row r="27" customFormat="false" ht="86.25" hidden="false" customHeight="true" outlineLevel="0" collapsed="false">
      <c r="A27" s="102"/>
      <c r="B27" s="15" t="s">
        <v>5501</v>
      </c>
      <c r="C27" s="15" t="s">
        <v>5502</v>
      </c>
      <c r="D27" s="15" t="s">
        <v>5503</v>
      </c>
      <c r="E27" s="109" t="s">
        <v>1039</v>
      </c>
      <c r="F27" s="102"/>
      <c r="G27" s="102"/>
      <c r="H27" s="102"/>
      <c r="I27" s="102"/>
      <c r="J27" s="102"/>
      <c r="K27" s="102"/>
      <c r="L27" s="102"/>
      <c r="M27" s="102"/>
      <c r="N27" s="102"/>
      <c r="O27" s="102"/>
    </row>
    <row r="28" customFormat="false" ht="30.75" hidden="false" customHeight="true" outlineLevel="0" collapsed="false">
      <c r="A28" s="102"/>
      <c r="B28" s="15" t="s">
        <v>5504</v>
      </c>
      <c r="C28" s="15" t="s">
        <v>5505</v>
      </c>
      <c r="D28" s="15" t="s">
        <v>5506</v>
      </c>
      <c r="E28" s="109" t="s">
        <v>973</v>
      </c>
      <c r="F28" s="102"/>
      <c r="G28" s="102"/>
      <c r="H28" s="102"/>
      <c r="I28" s="102"/>
      <c r="J28" s="102"/>
      <c r="K28" s="102"/>
      <c r="L28" s="102"/>
      <c r="M28" s="102"/>
      <c r="N28" s="102"/>
      <c r="O28" s="102"/>
    </row>
    <row r="29" customFormat="false" ht="72" hidden="false" customHeight="true" outlineLevel="0" collapsed="false">
      <c r="A29" s="102"/>
      <c r="B29" s="15" t="s">
        <v>5507</v>
      </c>
      <c r="C29" s="15" t="s">
        <v>5508</v>
      </c>
      <c r="D29" s="15" t="s">
        <v>5509</v>
      </c>
      <c r="E29" s="109" t="s">
        <v>1037</v>
      </c>
      <c r="F29" s="102"/>
      <c r="G29" s="102"/>
      <c r="H29" s="102"/>
      <c r="I29" s="102"/>
      <c r="J29" s="102"/>
      <c r="K29" s="102"/>
      <c r="L29" s="102"/>
      <c r="M29" s="102"/>
      <c r="N29" s="102"/>
      <c r="O29" s="102"/>
    </row>
    <row r="30" customFormat="false" ht="15" hidden="false" customHeight="true" outlineLevel="0" collapsed="false">
      <c r="A30" s="102"/>
      <c r="B30" s="102"/>
      <c r="C30" s="102"/>
      <c r="D30" s="102"/>
      <c r="E30" s="102"/>
      <c r="F30" s="102"/>
      <c r="G30" s="102"/>
      <c r="H30" s="102"/>
      <c r="I30" s="102"/>
      <c r="J30" s="102"/>
      <c r="K30" s="102"/>
      <c r="L30" s="102"/>
      <c r="M30" s="102"/>
      <c r="N30" s="102"/>
      <c r="O30" s="102"/>
    </row>
    <row r="31" customFormat="false" ht="15.75" hidden="false" customHeight="true" outlineLevel="0" collapsed="false">
      <c r="A31" s="102"/>
      <c r="B31" s="103" t="s">
        <v>1429</v>
      </c>
      <c r="C31" s="104"/>
      <c r="D31" s="104"/>
      <c r="E31" s="104"/>
      <c r="F31" s="104"/>
      <c r="G31" s="104"/>
      <c r="H31" s="104"/>
      <c r="I31" s="104"/>
      <c r="J31" s="104"/>
      <c r="K31" s="104"/>
      <c r="L31" s="102"/>
      <c r="M31" s="102"/>
      <c r="N31" s="102"/>
      <c r="O31" s="102"/>
    </row>
    <row r="32" customFormat="false" ht="17.25" hidden="false" customHeight="true" outlineLevel="0" collapsed="false">
      <c r="A32" s="102"/>
      <c r="B32" s="106" t="s">
        <v>5510</v>
      </c>
      <c r="C32" s="106"/>
      <c r="D32" s="106"/>
      <c r="E32" s="106"/>
      <c r="F32" s="106"/>
      <c r="G32" s="106"/>
      <c r="H32" s="106"/>
      <c r="I32" s="102"/>
      <c r="J32" s="102"/>
      <c r="K32" s="102"/>
      <c r="L32" s="102"/>
      <c r="M32" s="102"/>
      <c r="N32" s="102"/>
      <c r="O32" s="102"/>
    </row>
    <row r="33" customFormat="false" ht="8.25" hidden="false" customHeight="true" outlineLevel="0" collapsed="false">
      <c r="A33" s="102"/>
      <c r="B33" s="106" t="s">
        <v>5511</v>
      </c>
      <c r="C33" s="106"/>
      <c r="D33" s="106"/>
      <c r="E33" s="106"/>
      <c r="F33" s="106"/>
      <c r="G33" s="106"/>
      <c r="H33" s="106"/>
      <c r="I33" s="102"/>
      <c r="J33" s="102"/>
      <c r="K33" s="102"/>
      <c r="L33" s="102"/>
      <c r="M33" s="102"/>
      <c r="N33" s="102"/>
      <c r="O33" s="102"/>
    </row>
    <row r="34" customFormat="false" ht="8.25" hidden="false" customHeight="true" outlineLevel="0" collapsed="false">
      <c r="A34" s="102"/>
      <c r="B34" s="106"/>
      <c r="C34" s="106"/>
      <c r="D34" s="106"/>
      <c r="E34" s="106"/>
      <c r="F34" s="106"/>
      <c r="G34" s="106"/>
      <c r="H34" s="106"/>
      <c r="I34" s="102"/>
      <c r="J34" s="102"/>
      <c r="K34" s="102"/>
      <c r="L34" s="102"/>
      <c r="M34" s="102"/>
      <c r="N34" s="102"/>
      <c r="O34" s="102"/>
    </row>
    <row r="35" customFormat="false" ht="15.75" hidden="false" customHeight="true" outlineLevel="0" collapsed="false">
      <c r="A35" s="102"/>
      <c r="B35" s="106" t="s">
        <v>5512</v>
      </c>
      <c r="C35" s="106"/>
      <c r="D35" s="106"/>
      <c r="E35" s="106"/>
      <c r="F35" s="106"/>
      <c r="G35" s="106"/>
      <c r="H35" s="106"/>
      <c r="I35" s="102"/>
      <c r="J35" s="102"/>
      <c r="K35" s="102"/>
      <c r="L35" s="102"/>
      <c r="M35" s="102"/>
      <c r="N35" s="102"/>
      <c r="O35" s="102"/>
    </row>
    <row r="36" customFormat="false" ht="15.75" hidden="false" customHeight="true" outlineLevel="0" collapsed="false">
      <c r="A36" s="102"/>
      <c r="B36" s="106"/>
      <c r="C36" s="106"/>
      <c r="D36" s="106"/>
      <c r="E36" s="106"/>
      <c r="F36" s="106"/>
      <c r="G36" s="106"/>
      <c r="H36" s="106"/>
      <c r="I36" s="102"/>
      <c r="J36" s="102"/>
      <c r="K36" s="102"/>
      <c r="L36" s="102"/>
      <c r="M36" s="102"/>
      <c r="N36" s="102"/>
      <c r="O36" s="102"/>
    </row>
    <row r="37" customFormat="false" ht="16.5" hidden="false" customHeight="true" outlineLevel="0" collapsed="false">
      <c r="A37" s="102"/>
      <c r="B37" s="122" t="s">
        <v>5513</v>
      </c>
      <c r="C37" s="102"/>
      <c r="D37" s="102"/>
      <c r="E37" s="102"/>
      <c r="F37" s="102"/>
      <c r="G37" s="102"/>
      <c r="H37" s="102"/>
      <c r="I37" s="102"/>
      <c r="J37" s="102"/>
      <c r="K37" s="102"/>
      <c r="L37" s="102"/>
      <c r="M37" s="102"/>
      <c r="N37" s="102"/>
      <c r="O37" s="102"/>
    </row>
    <row r="38" customFormat="false" ht="8.25" hidden="false" customHeight="true" outlineLevel="0" collapsed="false">
      <c r="A38" s="102"/>
      <c r="B38" s="106" t="s">
        <v>5514</v>
      </c>
      <c r="C38" s="106"/>
      <c r="D38" s="106"/>
      <c r="E38" s="106"/>
      <c r="F38" s="106"/>
      <c r="G38" s="106"/>
      <c r="H38" s="106"/>
      <c r="I38" s="102"/>
      <c r="J38" s="102"/>
      <c r="K38" s="102"/>
      <c r="L38" s="102"/>
      <c r="M38" s="102"/>
      <c r="N38" s="102"/>
      <c r="O38" s="102"/>
    </row>
    <row r="39" customFormat="false" ht="8.25" hidden="false" customHeight="true" outlineLevel="0" collapsed="false">
      <c r="A39" s="102"/>
      <c r="B39" s="106"/>
      <c r="C39" s="106"/>
      <c r="D39" s="106"/>
      <c r="E39" s="106"/>
      <c r="F39" s="106"/>
      <c r="G39" s="106"/>
      <c r="H39" s="106"/>
      <c r="I39" s="102"/>
      <c r="J39" s="102"/>
      <c r="K39" s="102"/>
      <c r="L39" s="102"/>
      <c r="M39" s="102"/>
      <c r="N39" s="102"/>
      <c r="O39" s="102"/>
    </row>
    <row r="40" customFormat="false" ht="15" hidden="false" customHeight="true" outlineLevel="0" collapsed="false">
      <c r="A40" s="102"/>
      <c r="B40" s="102"/>
      <c r="C40" s="102"/>
      <c r="D40" s="102"/>
      <c r="E40" s="102"/>
      <c r="F40" s="102"/>
      <c r="G40" s="102"/>
      <c r="H40" s="102"/>
      <c r="I40" s="102"/>
      <c r="J40" s="102"/>
      <c r="K40" s="102"/>
      <c r="L40" s="102"/>
      <c r="M40" s="102"/>
      <c r="N40" s="102"/>
      <c r="O40" s="102"/>
    </row>
    <row r="41" customFormat="false" ht="15.75" hidden="false" customHeight="true" outlineLevel="0" collapsed="false">
      <c r="A41" s="102"/>
      <c r="B41" s="103" t="s">
        <v>1437</v>
      </c>
      <c r="C41" s="104"/>
      <c r="D41" s="104"/>
      <c r="E41" s="104"/>
      <c r="F41" s="104"/>
      <c r="G41" s="104"/>
      <c r="H41" s="104"/>
      <c r="I41" s="104"/>
      <c r="J41" s="104"/>
      <c r="K41" s="104"/>
      <c r="L41" s="102"/>
      <c r="M41" s="102"/>
      <c r="N41" s="102"/>
      <c r="O41" s="102"/>
    </row>
    <row r="42" customFormat="false" ht="16.5" hidden="false" customHeight="true" outlineLevel="0" collapsed="false">
      <c r="A42" s="102"/>
      <c r="B42" s="108" t="s">
        <v>1438</v>
      </c>
      <c r="C42" s="108" t="s">
        <v>1439</v>
      </c>
      <c r="D42" s="108" t="s">
        <v>1440</v>
      </c>
      <c r="E42" s="102"/>
      <c r="F42" s="102"/>
      <c r="G42" s="102"/>
      <c r="H42" s="102"/>
      <c r="I42" s="102"/>
      <c r="J42" s="102"/>
      <c r="K42" s="102"/>
      <c r="L42" s="102"/>
      <c r="M42" s="102"/>
      <c r="N42" s="102"/>
      <c r="O42" s="102"/>
    </row>
    <row r="43" customFormat="false" ht="30.75" hidden="false" customHeight="true" outlineLevel="0" collapsed="false">
      <c r="A43" s="102"/>
      <c r="B43" s="110" t="s">
        <v>1562</v>
      </c>
      <c r="C43" s="111" t="s">
        <v>1563</v>
      </c>
      <c r="D43" s="15" t="s">
        <v>5515</v>
      </c>
      <c r="E43" s="102"/>
      <c r="F43" s="102"/>
      <c r="G43" s="102"/>
      <c r="H43" s="102"/>
      <c r="I43" s="102"/>
      <c r="J43" s="102"/>
      <c r="K43" s="102"/>
      <c r="L43" s="102"/>
      <c r="M43" s="102"/>
      <c r="N43" s="102"/>
      <c r="O43" s="102"/>
    </row>
    <row r="44" customFormat="false" ht="30.75" hidden="false" customHeight="true" outlineLevel="0" collapsed="false">
      <c r="A44" s="102"/>
      <c r="B44" s="110" t="s">
        <v>5516</v>
      </c>
      <c r="C44" s="111" t="s">
        <v>5517</v>
      </c>
      <c r="D44" s="15" t="s">
        <v>5518</v>
      </c>
      <c r="E44" s="102"/>
      <c r="F44" s="102"/>
      <c r="G44" s="102"/>
      <c r="H44" s="102"/>
      <c r="I44" s="102"/>
      <c r="J44" s="102"/>
      <c r="K44" s="102"/>
      <c r="L44" s="102"/>
      <c r="M44" s="102"/>
      <c r="N44" s="102"/>
      <c r="O44" s="102"/>
    </row>
    <row r="45" customFormat="false" ht="30.75" hidden="false" customHeight="true" outlineLevel="0" collapsed="false">
      <c r="A45" s="102"/>
      <c r="B45" s="110" t="s">
        <v>2211</v>
      </c>
      <c r="C45" s="111" t="s">
        <v>5519</v>
      </c>
      <c r="D45" s="15" t="s">
        <v>5520</v>
      </c>
      <c r="E45" s="102"/>
      <c r="F45" s="102"/>
      <c r="G45" s="102"/>
      <c r="H45" s="102"/>
      <c r="I45" s="102"/>
      <c r="J45" s="102"/>
      <c r="K45" s="102"/>
      <c r="L45" s="102"/>
      <c r="M45" s="102"/>
      <c r="N45" s="102"/>
      <c r="O45" s="102"/>
    </row>
    <row r="46" customFormat="false" ht="15" hidden="false" customHeight="true" outlineLevel="0" collapsed="false">
      <c r="A46" s="102"/>
      <c r="B46" s="102"/>
      <c r="C46" s="102"/>
      <c r="D46" s="102"/>
      <c r="E46" s="102"/>
      <c r="F46" s="102"/>
      <c r="G46" s="102"/>
      <c r="H46" s="102"/>
      <c r="I46" s="102"/>
      <c r="J46" s="102"/>
      <c r="K46" s="102"/>
      <c r="L46" s="102"/>
      <c r="M46" s="102"/>
      <c r="N46" s="102"/>
      <c r="O46" s="102"/>
    </row>
    <row r="47" customFormat="false" ht="15.75" hidden="false" customHeight="true" outlineLevel="0" collapsed="false">
      <c r="A47" s="102"/>
      <c r="B47" s="103" t="s">
        <v>1454</v>
      </c>
      <c r="C47" s="104"/>
      <c r="D47" s="104"/>
      <c r="E47" s="104"/>
      <c r="F47" s="104"/>
      <c r="G47" s="104"/>
      <c r="H47" s="104"/>
      <c r="I47" s="104"/>
      <c r="J47" s="104"/>
      <c r="K47" s="104"/>
      <c r="L47" s="102"/>
      <c r="M47" s="102"/>
      <c r="N47" s="102"/>
      <c r="O47" s="102"/>
    </row>
    <row r="48" customFormat="false" ht="17.25" hidden="false" customHeight="true" outlineLevel="0" collapsed="false">
      <c r="A48" s="102"/>
      <c r="B48" s="106" t="s">
        <v>5521</v>
      </c>
      <c r="C48" s="106"/>
      <c r="D48" s="106"/>
      <c r="E48" s="106"/>
      <c r="F48" s="106"/>
      <c r="G48" s="106"/>
      <c r="H48" s="106"/>
      <c r="I48" s="102"/>
      <c r="J48" s="102"/>
      <c r="K48" s="102"/>
      <c r="L48" s="102"/>
      <c r="M48" s="102"/>
      <c r="N48" s="102"/>
      <c r="O48" s="102"/>
    </row>
    <row r="49" customFormat="false" ht="17.25" hidden="false" customHeight="true" outlineLevel="0" collapsed="false">
      <c r="A49" s="102"/>
      <c r="B49" s="112" t="s">
        <v>85</v>
      </c>
      <c r="C49" s="113" t="s">
        <v>86</v>
      </c>
      <c r="D49" s="113"/>
      <c r="E49" s="102"/>
      <c r="F49" s="102"/>
      <c r="G49" s="102"/>
      <c r="H49" s="102"/>
      <c r="I49" s="102"/>
      <c r="J49" s="102"/>
      <c r="K49" s="102"/>
      <c r="L49" s="102"/>
      <c r="M49" s="102"/>
      <c r="N49" s="102"/>
      <c r="O49" s="102"/>
    </row>
    <row r="50" customFormat="false" ht="15" hidden="false" customHeight="true" outlineLevel="0" collapsed="false">
      <c r="A50" s="102"/>
      <c r="B50" s="102"/>
      <c r="C50" s="102"/>
      <c r="D50" s="102"/>
      <c r="E50" s="102"/>
      <c r="F50" s="102"/>
      <c r="G50" s="102"/>
      <c r="H50" s="102"/>
      <c r="I50" s="102"/>
      <c r="J50" s="102"/>
      <c r="K50" s="102"/>
      <c r="L50" s="102"/>
      <c r="M50" s="102"/>
      <c r="N50" s="102"/>
      <c r="O50" s="102"/>
    </row>
    <row r="51" customFormat="false" ht="17.25" hidden="false" customHeight="true" outlineLevel="0" collapsed="false">
      <c r="A51" s="102"/>
      <c r="B51" s="108" t="s">
        <v>5522</v>
      </c>
      <c r="C51" s="108" t="s">
        <v>5523</v>
      </c>
      <c r="D51" s="108"/>
      <c r="E51" s="102"/>
      <c r="F51" s="102"/>
      <c r="G51" s="102"/>
      <c r="H51" s="102"/>
      <c r="I51" s="102"/>
      <c r="J51" s="102"/>
      <c r="K51" s="102"/>
      <c r="L51" s="102"/>
      <c r="M51" s="102"/>
      <c r="N51" s="102"/>
      <c r="O51" s="102"/>
    </row>
    <row r="52" customFormat="false" ht="17.25" hidden="false" customHeight="true" outlineLevel="0" collapsed="false">
      <c r="A52" s="102"/>
      <c r="B52" s="111" t="s">
        <v>5524</v>
      </c>
      <c r="C52" s="125" t="n">
        <v>0.192</v>
      </c>
      <c r="D52" s="125"/>
      <c r="E52" s="102"/>
      <c r="F52" s="102"/>
      <c r="G52" s="102"/>
      <c r="H52" s="102"/>
      <c r="I52" s="102"/>
      <c r="J52" s="102"/>
      <c r="K52" s="102"/>
      <c r="L52" s="102"/>
      <c r="M52" s="102"/>
      <c r="N52" s="102"/>
      <c r="O52" s="102"/>
    </row>
    <row r="53" customFormat="false" ht="17.25" hidden="false" customHeight="true" outlineLevel="0" collapsed="false">
      <c r="A53" s="102"/>
      <c r="B53" s="111" t="s">
        <v>5525</v>
      </c>
      <c r="C53" s="125" t="n">
        <v>0.178</v>
      </c>
      <c r="D53" s="125"/>
      <c r="E53" s="102"/>
      <c r="F53" s="102"/>
      <c r="G53" s="102"/>
      <c r="H53" s="102"/>
      <c r="I53" s="102"/>
      <c r="J53" s="102"/>
      <c r="K53" s="102"/>
      <c r="L53" s="102"/>
      <c r="M53" s="102"/>
      <c r="N53" s="102"/>
      <c r="O53" s="102"/>
    </row>
    <row r="54" customFormat="false" ht="17.25" hidden="false" customHeight="true" outlineLevel="0" collapsed="false">
      <c r="A54" s="102"/>
      <c r="B54" s="111" t="s">
        <v>5526</v>
      </c>
      <c r="C54" s="125" t="n">
        <v>0.205</v>
      </c>
      <c r="D54" s="125"/>
      <c r="E54" s="102"/>
      <c r="F54" s="102"/>
      <c r="G54" s="102"/>
      <c r="H54" s="102"/>
      <c r="I54" s="102"/>
      <c r="J54" s="102"/>
      <c r="K54" s="102"/>
      <c r="L54" s="102"/>
      <c r="M54" s="102"/>
      <c r="N54" s="102"/>
      <c r="O54" s="102"/>
    </row>
    <row r="55" customFormat="false" ht="17.25" hidden="false" customHeight="true" outlineLevel="0" collapsed="false">
      <c r="A55" s="102"/>
      <c r="B55" s="111" t="s">
        <v>5527</v>
      </c>
      <c r="C55" s="125" t="n">
        <v>0.186</v>
      </c>
      <c r="D55" s="125"/>
      <c r="E55" s="102"/>
      <c r="F55" s="102"/>
      <c r="G55" s="102"/>
      <c r="H55" s="102"/>
      <c r="I55" s="102"/>
      <c r="J55" s="102"/>
      <c r="K55" s="102"/>
      <c r="L55" s="102"/>
      <c r="M55" s="102"/>
      <c r="N55" s="102"/>
      <c r="O55" s="102"/>
    </row>
    <row r="56" customFormat="false" ht="17.25" hidden="false" customHeight="true" outlineLevel="0" collapsed="false">
      <c r="A56" s="102"/>
      <c r="B56" s="111" t="s">
        <v>5528</v>
      </c>
      <c r="C56" s="125" t="n">
        <v>0.198</v>
      </c>
      <c r="D56" s="125"/>
      <c r="E56" s="102"/>
      <c r="F56" s="102"/>
      <c r="G56" s="102"/>
      <c r="H56" s="102"/>
      <c r="I56" s="102"/>
      <c r="J56" s="102"/>
      <c r="K56" s="102"/>
      <c r="L56" s="102"/>
      <c r="M56" s="102"/>
      <c r="N56" s="102"/>
      <c r="O56" s="102"/>
    </row>
    <row r="57" customFormat="false" ht="17.25" hidden="false" customHeight="true" outlineLevel="0" collapsed="false">
      <c r="A57" s="102"/>
      <c r="B57" s="111" t="s">
        <v>5529</v>
      </c>
      <c r="C57" s="125" t="n">
        <v>0.181</v>
      </c>
      <c r="D57" s="125"/>
      <c r="E57" s="102"/>
      <c r="F57" s="102"/>
      <c r="G57" s="102"/>
      <c r="H57" s="102"/>
      <c r="I57" s="102"/>
      <c r="J57" s="102"/>
      <c r="K57" s="102"/>
      <c r="L57" s="102"/>
      <c r="M57" s="102"/>
      <c r="N57" s="102"/>
      <c r="O57" s="102"/>
    </row>
    <row r="58" customFormat="false" ht="17.25" hidden="false" customHeight="true" outlineLevel="0" collapsed="false">
      <c r="A58" s="102"/>
      <c r="B58" s="111" t="s">
        <v>5530</v>
      </c>
      <c r="C58" s="125" t="n">
        <v>0.211</v>
      </c>
      <c r="D58" s="125"/>
      <c r="E58" s="102"/>
      <c r="F58" s="102"/>
      <c r="G58" s="102"/>
      <c r="H58" s="102"/>
      <c r="I58" s="102"/>
      <c r="J58" s="102"/>
      <c r="K58" s="102"/>
      <c r="L58" s="102"/>
      <c r="M58" s="102"/>
      <c r="N58" s="102"/>
      <c r="O58" s="102"/>
    </row>
    <row r="59" customFormat="false" ht="17.25" hidden="false" customHeight="true" outlineLevel="0" collapsed="false">
      <c r="A59" s="102"/>
      <c r="B59" s="111" t="s">
        <v>5531</v>
      </c>
      <c r="C59" s="125" t="n">
        <v>0.189</v>
      </c>
      <c r="D59" s="125"/>
      <c r="E59" s="102"/>
      <c r="F59" s="102"/>
      <c r="G59" s="102"/>
      <c r="H59" s="102"/>
      <c r="I59" s="102"/>
      <c r="J59" s="102"/>
      <c r="K59" s="102"/>
      <c r="L59" s="102"/>
      <c r="M59" s="102"/>
      <c r="N59" s="102"/>
      <c r="O59" s="102"/>
    </row>
    <row r="60" customFormat="false" ht="17.25" hidden="false" customHeight="true" outlineLevel="0" collapsed="false">
      <c r="A60" s="102"/>
      <c r="B60" s="111" t="s">
        <v>5532</v>
      </c>
      <c r="C60" s="125" t="n">
        <v>0.191</v>
      </c>
      <c r="D60" s="125"/>
      <c r="E60" s="102"/>
      <c r="F60" s="102"/>
      <c r="G60" s="102"/>
      <c r="H60" s="102"/>
      <c r="I60" s="102"/>
      <c r="J60" s="102"/>
      <c r="K60" s="102"/>
      <c r="L60" s="102"/>
      <c r="M60" s="102"/>
      <c r="N60" s="102"/>
      <c r="O60" s="102"/>
    </row>
    <row r="61" customFormat="false" ht="17.25" hidden="false" customHeight="true" outlineLevel="0" collapsed="false">
      <c r="A61" s="102"/>
      <c r="B61" s="111" t="s">
        <v>5533</v>
      </c>
      <c r="C61" s="125" t="n">
        <v>0.194</v>
      </c>
      <c r="D61" s="125"/>
      <c r="E61" s="102"/>
      <c r="F61" s="102"/>
      <c r="G61" s="102"/>
      <c r="H61" s="102"/>
      <c r="I61" s="102"/>
      <c r="J61" s="102"/>
      <c r="K61" s="102"/>
      <c r="L61" s="102"/>
      <c r="M61" s="102"/>
      <c r="N61" s="102"/>
      <c r="O61" s="102"/>
    </row>
    <row r="62" customFormat="false" ht="17.25" hidden="false" customHeight="true" outlineLevel="0" collapsed="false">
      <c r="A62" s="102"/>
      <c r="B62" s="111" t="s">
        <v>5534</v>
      </c>
      <c r="C62" s="125" t="n">
        <v>0.189</v>
      </c>
      <c r="D62" s="125"/>
      <c r="E62" s="102"/>
      <c r="F62" s="102"/>
      <c r="G62" s="102"/>
      <c r="H62" s="102"/>
      <c r="I62" s="102"/>
      <c r="J62" s="102"/>
      <c r="K62" s="102"/>
      <c r="L62" s="102"/>
      <c r="M62" s="102"/>
      <c r="N62" s="102"/>
      <c r="O62" s="102"/>
    </row>
    <row r="63" customFormat="false" ht="15" hidden="false" customHeight="true" outlineLevel="0" collapsed="false">
      <c r="A63" s="102"/>
      <c r="B63" s="102"/>
      <c r="C63" s="102"/>
      <c r="D63" s="102"/>
      <c r="E63" s="102"/>
      <c r="F63" s="102"/>
      <c r="G63" s="102"/>
      <c r="H63" s="102"/>
      <c r="I63" s="102"/>
      <c r="J63" s="102"/>
      <c r="K63" s="102"/>
      <c r="L63" s="102"/>
      <c r="M63" s="102"/>
      <c r="N63" s="102"/>
      <c r="O63" s="102"/>
    </row>
    <row r="64" customFormat="false" ht="15" hidden="false" customHeight="true" outlineLevel="0" collapsed="false">
      <c r="A64" s="102"/>
      <c r="B64" s="105" t="s">
        <v>5535</v>
      </c>
      <c r="C64" s="126" t="n">
        <f aca="false">AVERAGE(C52:C59)</f>
        <v>0.1925</v>
      </c>
      <c r="D64" s="102"/>
      <c r="E64" s="102"/>
      <c r="F64" s="102"/>
      <c r="G64" s="102"/>
      <c r="H64" s="102"/>
      <c r="I64" s="102"/>
      <c r="J64" s="102"/>
      <c r="K64" s="102"/>
      <c r="L64" s="102"/>
      <c r="M64" s="102"/>
      <c r="N64" s="102"/>
      <c r="O64" s="102"/>
    </row>
    <row r="65" customFormat="false" ht="15" hidden="false" customHeight="true" outlineLevel="0" collapsed="false">
      <c r="A65" s="102"/>
      <c r="B65" s="105" t="s">
        <v>5536</v>
      </c>
      <c r="C65" s="126" t="n">
        <f aca="false">AVERAGE(C60:C62)</f>
        <v>0.191333333333333</v>
      </c>
      <c r="D65" s="102"/>
      <c r="E65" s="102"/>
      <c r="F65" s="102"/>
      <c r="G65" s="102"/>
      <c r="H65" s="102"/>
      <c r="I65" s="102"/>
      <c r="J65" s="102"/>
      <c r="K65" s="102"/>
      <c r="L65" s="102"/>
      <c r="M65" s="102"/>
      <c r="N65" s="102"/>
      <c r="O65" s="102"/>
    </row>
    <row r="66" customFormat="false" ht="15" hidden="false" customHeight="true" outlineLevel="0" collapsed="false">
      <c r="A66" s="102"/>
      <c r="B66" s="105" t="s">
        <v>5537</v>
      </c>
      <c r="C66" s="126" t="n">
        <f aca="false">C64-C65</f>
        <v>0.00116666666666665</v>
      </c>
      <c r="D66" s="102"/>
      <c r="E66" s="102"/>
      <c r="F66" s="102"/>
      <c r="G66" s="102"/>
      <c r="H66" s="102"/>
      <c r="I66" s="102"/>
      <c r="J66" s="102"/>
      <c r="K66" s="102"/>
      <c r="L66" s="102"/>
      <c r="M66" s="102"/>
      <c r="N66" s="102"/>
      <c r="O66" s="102"/>
    </row>
    <row r="67" customFormat="false" ht="15" hidden="false" customHeight="true" outlineLevel="0" collapsed="false">
      <c r="A67" s="102"/>
      <c r="B67" s="105" t="s">
        <v>5538</v>
      </c>
      <c r="C67" s="135" t="n">
        <f aca="false">VAR(C60:C62)</f>
        <v>6.33333333333334E-006</v>
      </c>
      <c r="D67" s="102"/>
      <c r="E67" s="102"/>
      <c r="F67" s="102"/>
      <c r="G67" s="102"/>
      <c r="H67" s="102"/>
      <c r="I67" s="102"/>
      <c r="J67" s="102"/>
      <c r="K67" s="102"/>
      <c r="L67" s="102"/>
      <c r="M67" s="102"/>
      <c r="N67" s="102"/>
      <c r="O67" s="102"/>
    </row>
    <row r="68" customFormat="false" ht="15" hidden="false" customHeight="true" outlineLevel="0" collapsed="false">
      <c r="A68" s="102"/>
      <c r="B68" s="105" t="s">
        <v>5539</v>
      </c>
      <c r="C68" s="135" t="n">
        <f aca="false">8*3*C66^2/(8+3)</f>
        <v>2.96969696969688E-006</v>
      </c>
      <c r="D68" s="102"/>
      <c r="E68" s="102"/>
      <c r="F68" s="102"/>
      <c r="G68" s="102"/>
      <c r="H68" s="102"/>
      <c r="I68" s="102"/>
      <c r="J68" s="102"/>
      <c r="K68" s="102"/>
      <c r="L68" s="102"/>
      <c r="M68" s="102"/>
      <c r="N68" s="102"/>
      <c r="O68" s="102"/>
    </row>
    <row r="69" customFormat="false" ht="15" hidden="false" customHeight="true" outlineLevel="0" collapsed="false">
      <c r="A69" s="102"/>
      <c r="B69" s="105" t="s">
        <v>5540</v>
      </c>
      <c r="C69" s="124" t="n">
        <f aca="false">3-1</f>
        <v>2</v>
      </c>
      <c r="D69" s="102"/>
      <c r="E69" s="102"/>
      <c r="F69" s="102"/>
      <c r="G69" s="102"/>
      <c r="H69" s="102"/>
      <c r="I69" s="102"/>
      <c r="J69" s="102"/>
      <c r="K69" s="102"/>
      <c r="L69" s="102"/>
      <c r="M69" s="102"/>
      <c r="N69" s="102"/>
      <c r="O69" s="102"/>
    </row>
    <row r="70" customFormat="false" ht="15" hidden="false" customHeight="true" outlineLevel="0" collapsed="false">
      <c r="A70" s="102"/>
      <c r="B70" s="105" t="s">
        <v>3257</v>
      </c>
      <c r="C70" s="129" t="n">
        <f aca="false">IFERROR(C66/SQRT(C67*(1/8+1/3)),0)</f>
        <v>0.684762383262315</v>
      </c>
      <c r="D70" s="102"/>
      <c r="E70" s="102"/>
      <c r="F70" s="102"/>
      <c r="G70" s="102"/>
      <c r="H70" s="102"/>
      <c r="I70" s="102"/>
      <c r="J70" s="102"/>
      <c r="K70" s="102"/>
      <c r="L70" s="102"/>
      <c r="M70" s="102"/>
      <c r="N70" s="102"/>
      <c r="O70" s="102"/>
    </row>
    <row r="71" customFormat="false" ht="15" hidden="false" customHeight="true" outlineLevel="0" collapsed="false">
      <c r="A71" s="102"/>
      <c r="B71" s="105" t="s">
        <v>5541</v>
      </c>
      <c r="C71" s="131" t="n">
        <v>0.05</v>
      </c>
      <c r="D71" s="102"/>
      <c r="E71" s="102"/>
      <c r="F71" s="102"/>
      <c r="G71" s="102"/>
      <c r="H71" s="102"/>
      <c r="I71" s="102"/>
      <c r="J71" s="102"/>
      <c r="K71" s="102"/>
      <c r="L71" s="102"/>
      <c r="M71" s="102"/>
      <c r="N71" s="102"/>
      <c r="O71" s="102"/>
    </row>
    <row r="72" customFormat="false" ht="15" hidden="false" customHeight="true" outlineLevel="0" collapsed="false">
      <c r="A72" s="102"/>
      <c r="B72" s="105" t="s">
        <v>3258</v>
      </c>
      <c r="C72" s="126" t="n">
        <f aca="false">TDIST(ABS(C70),C69,2)</f>
        <v>0.564199035544722</v>
      </c>
      <c r="D72" s="102"/>
      <c r="E72" s="102"/>
      <c r="F72" s="102"/>
      <c r="G72" s="102"/>
      <c r="H72" s="102"/>
      <c r="I72" s="102"/>
      <c r="J72" s="102"/>
      <c r="K72" s="102"/>
      <c r="L72" s="102"/>
      <c r="M72" s="102"/>
      <c r="N72" s="102"/>
      <c r="O72" s="102"/>
    </row>
    <row r="73" customFormat="false" ht="15" hidden="false" customHeight="true" outlineLevel="0" collapsed="false">
      <c r="A73" s="102"/>
      <c r="B73" s="102"/>
      <c r="C73" s="102"/>
      <c r="D73" s="102"/>
      <c r="E73" s="102"/>
      <c r="F73" s="102"/>
      <c r="G73" s="102"/>
      <c r="H73" s="102"/>
      <c r="I73" s="102"/>
      <c r="J73" s="102"/>
      <c r="K73" s="102"/>
      <c r="L73" s="102"/>
      <c r="M73" s="102"/>
      <c r="N73" s="102"/>
      <c r="O73" s="102"/>
    </row>
    <row r="74" customFormat="false" ht="15.75" hidden="false" customHeight="true" outlineLevel="0" collapsed="false">
      <c r="A74" s="102"/>
      <c r="B74" s="103" t="s">
        <v>1493</v>
      </c>
      <c r="C74" s="104"/>
      <c r="D74" s="104"/>
      <c r="E74" s="104"/>
      <c r="F74" s="104"/>
      <c r="G74" s="104"/>
      <c r="H74" s="104"/>
      <c r="I74" s="104"/>
      <c r="J74" s="104"/>
      <c r="K74" s="104"/>
      <c r="L74" s="102"/>
      <c r="M74" s="102"/>
      <c r="N74" s="102"/>
      <c r="O74" s="102"/>
    </row>
    <row r="75" customFormat="false" ht="18.75" hidden="false" customHeight="true" outlineLevel="0" collapsed="false">
      <c r="A75" s="102"/>
      <c r="B75" s="105" t="s">
        <v>1494</v>
      </c>
      <c r="C75" s="117" t="str">
        <f aca="false">IF(C72&lt;C71,"SIGNIFICANT CURVATURE (p = "&amp;TEXT(C72,"0.0000")&amp;") - the linear model under-fits this region. Move to a response surface design on E-46 before setting limits from a straight line.","NO SIGNIFICANT CURVATURE (p = "&amp;TEXT(C72,"0.0000")&amp;") - a linear model is adequate across the region tested.")</f>
        <v>NO SIGNIFICANT CURVATURE (p = 0.5642) - a linear model is adequate across the region tested.</v>
      </c>
      <c r="D75" s="117"/>
      <c r="E75" s="117"/>
      <c r="F75" s="117"/>
      <c r="G75" s="117"/>
      <c r="H75" s="102"/>
      <c r="I75" s="102"/>
      <c r="J75" s="102"/>
      <c r="K75" s="102"/>
      <c r="L75" s="102"/>
      <c r="M75" s="102"/>
      <c r="N75" s="102"/>
      <c r="O75" s="102"/>
    </row>
    <row r="76" customFormat="false" ht="15" hidden="false" customHeight="true" outlineLevel="0" collapsed="false">
      <c r="A76" s="102"/>
      <c r="B76" s="102"/>
      <c r="C76" s="102"/>
      <c r="D76" s="102"/>
      <c r="E76" s="102"/>
      <c r="F76" s="102"/>
      <c r="G76" s="102"/>
      <c r="H76" s="102"/>
      <c r="I76" s="102"/>
      <c r="J76" s="102"/>
      <c r="K76" s="102"/>
      <c r="L76" s="102"/>
      <c r="M76" s="102"/>
      <c r="N76" s="102"/>
      <c r="O76" s="102"/>
    </row>
    <row r="77" customFormat="false" ht="16.5" hidden="false" customHeight="true" outlineLevel="0" collapsed="false">
      <c r="A77" s="102"/>
      <c r="B77" s="108" t="s">
        <v>1495</v>
      </c>
      <c r="C77" s="108" t="s">
        <v>1496</v>
      </c>
      <c r="D77" s="108" t="s">
        <v>1497</v>
      </c>
      <c r="E77" s="102"/>
      <c r="F77" s="102"/>
      <c r="G77" s="102"/>
      <c r="H77" s="102"/>
      <c r="I77" s="102"/>
      <c r="J77" s="102"/>
      <c r="K77" s="102"/>
      <c r="L77" s="102"/>
      <c r="M77" s="102"/>
      <c r="N77" s="102"/>
      <c r="O77" s="102"/>
    </row>
    <row r="78" customFormat="false" ht="44.25" hidden="false" customHeight="true" outlineLevel="0" collapsed="false">
      <c r="A78" s="102"/>
      <c r="B78" s="110" t="s">
        <v>5542</v>
      </c>
      <c r="C78" s="111" t="s">
        <v>3444</v>
      </c>
      <c r="D78" s="15" t="s">
        <v>5543</v>
      </c>
      <c r="E78" s="102"/>
      <c r="F78" s="102"/>
      <c r="G78" s="102"/>
      <c r="H78" s="102"/>
      <c r="I78" s="102"/>
      <c r="J78" s="102"/>
      <c r="K78" s="102"/>
      <c r="L78" s="102"/>
      <c r="M78" s="102"/>
      <c r="N78" s="102"/>
      <c r="O78" s="102"/>
    </row>
    <row r="79" customFormat="false" ht="44.25" hidden="false" customHeight="true" outlineLevel="0" collapsed="false">
      <c r="A79" s="102"/>
      <c r="B79" s="110" t="s">
        <v>5544</v>
      </c>
      <c r="C79" s="111" t="s">
        <v>5545</v>
      </c>
      <c r="D79" s="15" t="s">
        <v>5546</v>
      </c>
      <c r="E79" s="102"/>
      <c r="F79" s="102"/>
      <c r="G79" s="102"/>
      <c r="H79" s="102"/>
      <c r="I79" s="102"/>
      <c r="J79" s="102"/>
      <c r="K79" s="102"/>
      <c r="L79" s="102"/>
      <c r="M79" s="102"/>
      <c r="N79" s="102"/>
      <c r="O79" s="102"/>
    </row>
    <row r="80" customFormat="false" ht="44.25" hidden="false" customHeight="true" outlineLevel="0" collapsed="false">
      <c r="A80" s="102"/>
      <c r="B80" s="110" t="s">
        <v>5547</v>
      </c>
      <c r="C80" s="111" t="s">
        <v>5548</v>
      </c>
      <c r="D80" s="15" t="s">
        <v>5549</v>
      </c>
      <c r="E80" s="102"/>
      <c r="F80" s="102"/>
      <c r="G80" s="102"/>
      <c r="H80" s="102"/>
      <c r="I80" s="102"/>
      <c r="J80" s="102"/>
      <c r="K80" s="102"/>
      <c r="L80" s="102"/>
      <c r="M80" s="102"/>
      <c r="N80" s="102"/>
      <c r="O80" s="102"/>
    </row>
    <row r="81" customFormat="false" ht="15" hidden="false" customHeight="true" outlineLevel="0" collapsed="false">
      <c r="A81" s="102"/>
      <c r="B81" s="102"/>
      <c r="C81" s="102"/>
      <c r="D81" s="102"/>
      <c r="E81" s="102"/>
      <c r="F81" s="102"/>
      <c r="G81" s="102"/>
      <c r="H81" s="102"/>
      <c r="I81" s="102"/>
      <c r="J81" s="102"/>
      <c r="K81" s="102"/>
      <c r="L81" s="102"/>
      <c r="M81" s="102"/>
      <c r="N81" s="102"/>
      <c r="O81" s="102"/>
    </row>
    <row r="82" customFormat="false" ht="15" hidden="false" customHeight="true" outlineLevel="0" collapsed="false">
      <c r="A82" s="102"/>
      <c r="B82" s="105" t="s">
        <v>1507</v>
      </c>
      <c r="C82" s="102"/>
      <c r="D82" s="102"/>
      <c r="E82" s="102"/>
      <c r="F82" s="102"/>
      <c r="G82" s="102"/>
      <c r="H82" s="102"/>
      <c r="I82" s="102"/>
      <c r="J82" s="102"/>
      <c r="K82" s="102"/>
      <c r="L82" s="102"/>
      <c r="M82" s="102"/>
      <c r="N82" s="102"/>
      <c r="O82" s="102"/>
    </row>
    <row r="83" customFormat="false" ht="17.25" hidden="false" customHeight="true" outlineLevel="0" collapsed="false">
      <c r="A83" s="102"/>
      <c r="B83" s="106" t="s">
        <v>5550</v>
      </c>
      <c r="C83" s="106"/>
      <c r="D83" s="106"/>
      <c r="E83" s="106"/>
      <c r="F83" s="106"/>
      <c r="G83" s="106"/>
      <c r="H83" s="106"/>
      <c r="I83" s="102"/>
      <c r="J83" s="102"/>
      <c r="K83" s="102"/>
      <c r="L83" s="102"/>
      <c r="M83" s="102"/>
      <c r="N83" s="102"/>
      <c r="O83" s="102"/>
    </row>
    <row r="84" customFormat="false" ht="17.25" hidden="false" customHeight="true" outlineLevel="0" collapsed="false">
      <c r="A84" s="102"/>
      <c r="B84" s="106" t="s">
        <v>5551</v>
      </c>
      <c r="C84" s="106"/>
      <c r="D84" s="106"/>
      <c r="E84" s="106"/>
      <c r="F84" s="106"/>
      <c r="G84" s="106"/>
      <c r="H84" s="106"/>
      <c r="I84" s="102"/>
      <c r="J84" s="102"/>
      <c r="K84" s="102"/>
      <c r="L84" s="102"/>
      <c r="M84" s="102"/>
      <c r="N84" s="102"/>
      <c r="O84" s="102"/>
    </row>
    <row r="85" customFormat="false" ht="17.25" hidden="false" customHeight="true" outlineLevel="0" collapsed="false">
      <c r="A85" s="102"/>
      <c r="B85" s="106" t="s">
        <v>5552</v>
      </c>
      <c r="C85" s="106"/>
      <c r="D85" s="106"/>
      <c r="E85" s="106"/>
      <c r="F85" s="106"/>
      <c r="G85" s="106"/>
      <c r="H85" s="106"/>
      <c r="I85" s="102"/>
      <c r="J85" s="102"/>
      <c r="K85" s="102"/>
      <c r="L85" s="102"/>
      <c r="M85" s="102"/>
      <c r="N85" s="102"/>
      <c r="O85" s="102"/>
    </row>
    <row r="86" customFormat="false" ht="17.25" hidden="false" customHeight="true" outlineLevel="0" collapsed="false">
      <c r="A86" s="102"/>
      <c r="B86" s="106" t="s">
        <v>5553</v>
      </c>
      <c r="C86" s="106"/>
      <c r="D86" s="106"/>
      <c r="E86" s="106"/>
      <c r="F86" s="106"/>
      <c r="G86" s="106"/>
      <c r="H86" s="106"/>
      <c r="I86" s="102"/>
      <c r="J86" s="102"/>
      <c r="K86" s="102"/>
      <c r="L86" s="102"/>
      <c r="M86" s="102"/>
      <c r="N86" s="102"/>
      <c r="O86" s="102"/>
    </row>
    <row r="87" customFormat="false" ht="15" hidden="false" customHeight="true" outlineLevel="0" collapsed="false">
      <c r="A87" s="102"/>
      <c r="B87" s="102"/>
      <c r="C87" s="102"/>
      <c r="D87" s="102"/>
      <c r="E87" s="102"/>
      <c r="F87" s="102"/>
      <c r="G87" s="102"/>
      <c r="H87" s="102"/>
      <c r="I87" s="102"/>
      <c r="J87" s="102"/>
      <c r="K87" s="102"/>
      <c r="L87" s="102"/>
      <c r="M87" s="102"/>
      <c r="N87" s="102"/>
      <c r="O87" s="102"/>
    </row>
    <row r="88" customFormat="false" ht="15.75" hidden="false" customHeight="true" outlineLevel="0" collapsed="false">
      <c r="A88" s="102"/>
      <c r="B88" s="103" t="s">
        <v>1513</v>
      </c>
      <c r="C88" s="104"/>
      <c r="D88" s="104"/>
      <c r="E88" s="104"/>
      <c r="F88" s="104"/>
      <c r="G88" s="104"/>
      <c r="H88" s="104"/>
      <c r="I88" s="104"/>
      <c r="J88" s="104"/>
      <c r="K88" s="104"/>
      <c r="L88" s="102"/>
      <c r="M88" s="102"/>
      <c r="N88" s="102"/>
      <c r="O88" s="102"/>
    </row>
    <row r="89" customFormat="false" ht="17.25" hidden="false" customHeight="true" outlineLevel="0" collapsed="false">
      <c r="A89" s="102"/>
      <c r="B89" s="118" t="s">
        <v>1514</v>
      </c>
      <c r="C89" s="118"/>
      <c r="D89" s="118"/>
      <c r="E89" s="118"/>
      <c r="F89" s="102"/>
      <c r="G89" s="102"/>
      <c r="H89" s="102"/>
      <c r="I89" s="102"/>
      <c r="J89" s="102"/>
      <c r="K89" s="102"/>
      <c r="L89" s="102"/>
      <c r="M89" s="102"/>
      <c r="N89" s="119" t="s">
        <v>1515</v>
      </c>
      <c r="O89" s="102"/>
    </row>
    <row r="90" customFormat="false" ht="44.25" hidden="false" customHeight="true" outlineLevel="0" collapsed="false">
      <c r="A90" s="102"/>
      <c r="B90" s="106" t="s">
        <v>5554</v>
      </c>
      <c r="C90" s="106"/>
      <c r="D90" s="106"/>
      <c r="E90" s="106"/>
      <c r="F90" s="102"/>
      <c r="G90" s="102"/>
      <c r="H90" s="102"/>
      <c r="I90" s="102"/>
      <c r="J90" s="102"/>
      <c r="K90" s="102"/>
      <c r="L90" s="102"/>
      <c r="M90" s="102"/>
      <c r="N90" s="120" t="s">
        <v>5555</v>
      </c>
      <c r="O90" s="102"/>
    </row>
    <row r="91" customFormat="false" ht="44.25" hidden="false" customHeight="true" outlineLevel="0" collapsed="false">
      <c r="A91" s="102"/>
      <c r="B91" s="106" t="s">
        <v>5556</v>
      </c>
      <c r="C91" s="106"/>
      <c r="D91" s="106"/>
      <c r="E91" s="106"/>
      <c r="F91" s="102"/>
      <c r="G91" s="102"/>
      <c r="H91" s="102"/>
      <c r="I91" s="102"/>
      <c r="J91" s="102"/>
      <c r="K91" s="102"/>
      <c r="L91" s="102"/>
      <c r="M91" s="102"/>
      <c r="N91" s="120" t="s">
        <v>5557</v>
      </c>
      <c r="O91" s="102"/>
    </row>
    <row r="92" customFormat="false" ht="44.25" hidden="false" customHeight="true" outlineLevel="0" collapsed="false">
      <c r="A92" s="102"/>
      <c r="B92" s="106" t="s">
        <v>5558</v>
      </c>
      <c r="C92" s="106"/>
      <c r="D92" s="106"/>
      <c r="E92" s="106"/>
      <c r="F92" s="102"/>
      <c r="G92" s="102"/>
      <c r="H92" s="102"/>
      <c r="I92" s="102"/>
      <c r="J92" s="102"/>
      <c r="K92" s="102"/>
      <c r="L92" s="102"/>
      <c r="M92" s="102"/>
      <c r="N92" s="120" t="s">
        <v>5559</v>
      </c>
      <c r="O92" s="102"/>
    </row>
    <row r="93" customFormat="false" ht="15" hidden="false" customHeight="true" outlineLevel="0" collapsed="false">
      <c r="A93" s="102"/>
      <c r="B93" s="102"/>
      <c r="C93" s="102"/>
      <c r="D93" s="102"/>
      <c r="E93" s="102"/>
      <c r="F93" s="102"/>
      <c r="G93" s="102"/>
      <c r="H93" s="102"/>
      <c r="I93" s="102"/>
      <c r="J93" s="102"/>
      <c r="K93" s="102"/>
      <c r="L93" s="102"/>
      <c r="M93" s="102"/>
      <c r="N93" s="102"/>
      <c r="O93" s="102"/>
    </row>
    <row r="94" customFormat="false" ht="15.75" hidden="false" customHeight="true" outlineLevel="0" collapsed="false">
      <c r="A94" s="102"/>
      <c r="B94" s="103" t="s">
        <v>1522</v>
      </c>
      <c r="C94" s="104"/>
      <c r="D94" s="104"/>
      <c r="E94" s="104"/>
      <c r="F94" s="104"/>
      <c r="G94" s="104"/>
      <c r="H94" s="104"/>
      <c r="I94" s="104"/>
      <c r="J94" s="104"/>
      <c r="K94" s="104"/>
      <c r="L94" s="102"/>
      <c r="M94" s="102"/>
      <c r="N94" s="102"/>
      <c r="O94" s="102"/>
    </row>
    <row r="95" customFormat="false" ht="16.5" hidden="false" customHeight="true" outlineLevel="0" collapsed="false">
      <c r="A95" s="102"/>
      <c r="B95" s="108" t="s">
        <v>1523</v>
      </c>
      <c r="C95" s="108" t="s">
        <v>1524</v>
      </c>
      <c r="D95" s="108" t="s">
        <v>1615</v>
      </c>
      <c r="E95" s="102"/>
      <c r="F95" s="102"/>
      <c r="G95" s="102"/>
      <c r="H95" s="102"/>
      <c r="I95" s="102"/>
      <c r="J95" s="102"/>
      <c r="K95" s="102"/>
      <c r="L95" s="102"/>
      <c r="M95" s="102"/>
      <c r="N95" s="102"/>
      <c r="O95" s="102"/>
    </row>
    <row r="96" customFormat="false" ht="15" hidden="false" customHeight="true" outlineLevel="0" collapsed="false">
      <c r="A96" s="102"/>
      <c r="B96" s="121" t="s">
        <v>1039</v>
      </c>
      <c r="C96" s="121" t="s">
        <v>4451</v>
      </c>
      <c r="D96" s="121" t="s">
        <v>967</v>
      </c>
      <c r="E96" s="102"/>
      <c r="F96" s="102"/>
      <c r="G96" s="102"/>
      <c r="H96" s="102"/>
      <c r="I96" s="102"/>
      <c r="J96" s="102"/>
      <c r="K96" s="102"/>
      <c r="L96" s="102"/>
      <c r="M96" s="102"/>
      <c r="N96" s="102"/>
      <c r="O96" s="102"/>
    </row>
    <row r="97" customFormat="false" ht="15" hidden="false" customHeight="true" outlineLevel="0" collapsed="false">
      <c r="A97" s="102"/>
      <c r="B97" s="102"/>
      <c r="C97" s="102"/>
      <c r="D97" s="102"/>
      <c r="E97" s="102"/>
      <c r="F97" s="102"/>
      <c r="G97" s="102"/>
      <c r="H97" s="102"/>
      <c r="I97" s="102"/>
      <c r="J97" s="102"/>
      <c r="K97" s="102"/>
      <c r="L97" s="102"/>
      <c r="M97" s="102"/>
      <c r="N97" s="102"/>
      <c r="O97" s="102"/>
    </row>
    <row r="98" customFormat="false" ht="15" hidden="false" customHeight="true" outlineLevel="0" collapsed="false">
      <c r="A98" s="102"/>
      <c r="B98" s="102"/>
      <c r="C98" s="102"/>
      <c r="D98" s="102"/>
      <c r="E98" s="102"/>
      <c r="F98" s="102"/>
      <c r="G98" s="102"/>
      <c r="H98" s="102"/>
      <c r="I98" s="102"/>
      <c r="J98" s="102"/>
      <c r="K98" s="102"/>
      <c r="L98" s="102"/>
      <c r="M98" s="102"/>
      <c r="N98" s="102"/>
      <c r="O98" s="102"/>
    </row>
    <row r="99" customFormat="false" ht="15" hidden="false" customHeight="true" outlineLevel="0" collapsed="false">
      <c r="A99" s="102"/>
      <c r="B99" s="102"/>
      <c r="C99" s="102"/>
      <c r="D99" s="102"/>
      <c r="E99" s="102"/>
      <c r="F99" s="102"/>
      <c r="G99" s="102"/>
      <c r="H99" s="102"/>
      <c r="I99" s="102"/>
      <c r="J99" s="102"/>
      <c r="K99" s="102"/>
      <c r="L99" s="102"/>
      <c r="M99" s="102"/>
      <c r="N99" s="102"/>
      <c r="O99" s="102"/>
    </row>
    <row r="100" customFormat="false" ht="15" hidden="false" customHeight="true" outlineLevel="0" collapsed="false">
      <c r="A100" s="102"/>
      <c r="B100" s="102"/>
      <c r="C100" s="102"/>
      <c r="D100" s="102"/>
      <c r="E100" s="102"/>
      <c r="F100" s="102"/>
      <c r="G100" s="102"/>
      <c r="H100" s="102"/>
      <c r="I100" s="102"/>
      <c r="J100" s="102"/>
      <c r="K100" s="102"/>
      <c r="L100" s="102"/>
      <c r="M100" s="102"/>
      <c r="N100" s="102"/>
      <c r="O100" s="102"/>
    </row>
    <row r="101" customFormat="false" ht="15" hidden="false" customHeight="true" outlineLevel="0" collapsed="false">
      <c r="A101" s="102"/>
      <c r="B101" s="102"/>
      <c r="C101" s="102"/>
      <c r="D101" s="102"/>
      <c r="E101" s="102"/>
      <c r="F101" s="102"/>
      <c r="G101" s="102"/>
      <c r="H101" s="102"/>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 hidden="false" customHeight="true" outlineLevel="0" collapsed="false">
      <c r="A120" s="102"/>
      <c r="B120" s="102"/>
      <c r="C120" s="102"/>
      <c r="D120" s="102"/>
      <c r="E120" s="102"/>
      <c r="F120" s="102"/>
      <c r="G120" s="102"/>
      <c r="H120" s="102"/>
      <c r="I120" s="102"/>
      <c r="J120" s="102"/>
      <c r="K120" s="102"/>
      <c r="L120" s="102"/>
      <c r="M120" s="102"/>
      <c r="N120" s="102"/>
      <c r="O120" s="102"/>
    </row>
    <row r="121" customFormat="false" ht="15" hidden="false" customHeight="true" outlineLevel="0" collapsed="false">
      <c r="A121" s="102"/>
      <c r="B121" s="102"/>
      <c r="C121" s="102"/>
      <c r="D121" s="102"/>
      <c r="E121" s="102"/>
      <c r="F121" s="102"/>
      <c r="G121" s="102"/>
      <c r="H121" s="102"/>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 hidden="false" customHeight="true" outlineLevel="0" collapsed="false">
      <c r="A124" s="102"/>
      <c r="B124" s="102"/>
      <c r="C124" s="102"/>
      <c r="D124" s="102"/>
      <c r="E124" s="102"/>
      <c r="F124" s="102"/>
      <c r="G124" s="102"/>
      <c r="H124" s="102"/>
      <c r="I124" s="102"/>
      <c r="J124" s="102"/>
      <c r="K124" s="102"/>
      <c r="L124" s="102"/>
      <c r="M124" s="102"/>
      <c r="N124" s="102"/>
      <c r="O124" s="102"/>
    </row>
    <row r="125" customFormat="false" ht="15" hidden="false" customHeight="true" outlineLevel="0" collapsed="false">
      <c r="A125" s="102"/>
      <c r="B125" s="102"/>
      <c r="C125" s="102"/>
      <c r="D125" s="102"/>
      <c r="E125" s="102"/>
      <c r="F125" s="102"/>
      <c r="G125" s="102"/>
      <c r="H125" s="102"/>
      <c r="I125" s="102"/>
      <c r="J125" s="102"/>
      <c r="K125" s="102"/>
      <c r="L125" s="102"/>
      <c r="M125" s="102"/>
      <c r="N125" s="102"/>
      <c r="O125" s="102"/>
    </row>
    <row r="126" customFormat="false" ht="15" hidden="false" customHeight="true" outlineLevel="0" collapsed="false">
      <c r="A126" s="102"/>
      <c r="B126" s="102"/>
      <c r="C126" s="102"/>
      <c r="D126" s="102"/>
      <c r="E126" s="102"/>
      <c r="F126" s="102"/>
      <c r="G126" s="102"/>
      <c r="H126" s="102"/>
      <c r="I126" s="102"/>
      <c r="J126" s="102"/>
      <c r="K126" s="102"/>
      <c r="L126" s="102"/>
      <c r="M126" s="102"/>
      <c r="N126" s="102"/>
      <c r="O126" s="102"/>
    </row>
    <row r="127" customFormat="false" ht="15" hidden="false" customHeight="true" outlineLevel="0" collapsed="false">
      <c r="A127" s="102"/>
      <c r="B127" s="102"/>
      <c r="C127" s="102"/>
      <c r="D127" s="102"/>
      <c r="E127" s="102"/>
      <c r="F127" s="102"/>
      <c r="G127" s="102"/>
      <c r="H127" s="102"/>
      <c r="I127" s="102"/>
      <c r="J127" s="102"/>
      <c r="K127" s="102"/>
      <c r="L127" s="102"/>
      <c r="M127" s="102"/>
      <c r="N127" s="102"/>
      <c r="O127" s="102"/>
    </row>
    <row r="128" customFormat="false" ht="15" hidden="false" customHeight="true" outlineLevel="0" collapsed="false">
      <c r="A128" s="102"/>
      <c r="B128" s="102"/>
      <c r="C128" s="102"/>
      <c r="D128" s="102"/>
      <c r="E128" s="102"/>
      <c r="F128" s="102"/>
      <c r="G128" s="102"/>
      <c r="H128" s="102"/>
      <c r="I128" s="102"/>
      <c r="J128" s="102"/>
      <c r="K128" s="102"/>
      <c r="L128" s="102"/>
      <c r="M128" s="102"/>
      <c r="N128" s="102"/>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5" hidden="false" customHeight="true" outlineLevel="0" collapsed="false">
      <c r="A130" s="102"/>
      <c r="B130" s="102"/>
      <c r="C130" s="102"/>
      <c r="D130" s="102"/>
      <c r="E130" s="102"/>
      <c r="F130" s="102"/>
      <c r="G130" s="102"/>
      <c r="H130" s="102"/>
      <c r="I130" s="102"/>
      <c r="J130" s="102"/>
      <c r="K130" s="102"/>
      <c r="L130" s="102"/>
      <c r="M130" s="102"/>
      <c r="N130" s="102"/>
      <c r="O130" s="102"/>
    </row>
    <row r="131" customFormat="false" ht="15" hidden="false" customHeight="true" outlineLevel="0" collapsed="false">
      <c r="A131" s="102"/>
      <c r="B131" s="102"/>
      <c r="C131" s="102"/>
      <c r="D131" s="102"/>
      <c r="E131" s="102"/>
      <c r="F131" s="102"/>
      <c r="G131" s="102"/>
      <c r="H131" s="102"/>
      <c r="I131" s="102"/>
      <c r="J131" s="102"/>
      <c r="K131" s="102"/>
      <c r="L131" s="102"/>
      <c r="M131" s="102"/>
      <c r="N131" s="102"/>
      <c r="O131" s="102"/>
    </row>
    <row r="132" customFormat="false" ht="15" hidden="false" customHeight="true" outlineLevel="0" collapsed="false">
      <c r="A132" s="102"/>
      <c r="B132" s="102"/>
      <c r="C132" s="102"/>
      <c r="D132" s="102"/>
      <c r="E132" s="102"/>
      <c r="F132" s="102"/>
      <c r="G132" s="102"/>
      <c r="H132" s="102"/>
      <c r="I132" s="102"/>
      <c r="J132" s="102"/>
      <c r="K132" s="102"/>
      <c r="L132" s="102"/>
      <c r="M132" s="102"/>
      <c r="N132" s="102"/>
      <c r="O132" s="102"/>
    </row>
    <row r="133" customFormat="false" ht="15" hidden="false" customHeight="true" outlineLevel="0" collapsed="false">
      <c r="A133" s="102"/>
      <c r="B133" s="102"/>
      <c r="C133" s="102"/>
      <c r="D133" s="102"/>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 hidden="false" customHeight="true" outlineLevel="0" collapsed="false">
      <c r="A137" s="102"/>
      <c r="B137" s="102"/>
      <c r="C137" s="102"/>
      <c r="D137" s="102"/>
      <c r="E137" s="102"/>
      <c r="F137" s="102"/>
      <c r="G137" s="102"/>
      <c r="H137" s="102"/>
      <c r="I137" s="102"/>
      <c r="J137" s="102"/>
      <c r="K137" s="102"/>
      <c r="L137" s="102"/>
      <c r="M137" s="102"/>
      <c r="N137" s="102"/>
      <c r="O137" s="102"/>
    </row>
    <row r="138" customFormat="false" ht="15" hidden="false" customHeight="true" outlineLevel="0" collapsed="false">
      <c r="A138" s="102"/>
      <c r="B138" s="102"/>
      <c r="C138" s="102"/>
      <c r="D138" s="102"/>
      <c r="E138" s="102"/>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42">
    <mergeCell ref="B2:J2"/>
    <mergeCell ref="D3:E3"/>
    <mergeCell ref="C6:G6"/>
    <mergeCell ref="C7:G7"/>
    <mergeCell ref="C8:G8"/>
    <mergeCell ref="B11:H13"/>
    <mergeCell ref="B14:H16"/>
    <mergeCell ref="B17:H18"/>
    <mergeCell ref="B21:D21"/>
    <mergeCell ref="E21:H21"/>
    <mergeCell ref="B22:D22"/>
    <mergeCell ref="E22:H22"/>
    <mergeCell ref="B23:D23"/>
    <mergeCell ref="E23:H23"/>
    <mergeCell ref="B24:H24"/>
    <mergeCell ref="B32:H32"/>
    <mergeCell ref="B33:H34"/>
    <mergeCell ref="B35:H36"/>
    <mergeCell ref="B38:H39"/>
    <mergeCell ref="B48:H48"/>
    <mergeCell ref="C49:D49"/>
    <mergeCell ref="C51:D51"/>
    <mergeCell ref="C52:D52"/>
    <mergeCell ref="C53:D53"/>
    <mergeCell ref="C54:D54"/>
    <mergeCell ref="C55:D55"/>
    <mergeCell ref="C56:D56"/>
    <mergeCell ref="C57:D57"/>
    <mergeCell ref="C58:D58"/>
    <mergeCell ref="C59:D59"/>
    <mergeCell ref="C60:D60"/>
    <mergeCell ref="C61:D61"/>
    <mergeCell ref="C62:D62"/>
    <mergeCell ref="C75:G75"/>
    <mergeCell ref="B83:H83"/>
    <mergeCell ref="B84:H84"/>
    <mergeCell ref="B85:H85"/>
    <mergeCell ref="B86:H86"/>
    <mergeCell ref="B89:E89"/>
    <mergeCell ref="B90:E90"/>
    <mergeCell ref="B91:E91"/>
    <mergeCell ref="B92:E92"/>
  </mergeCells>
  <hyperlinks>
    <hyperlink ref="B3" location="'N-03 Index DMAIC'!A1" display="← Back to Index"/>
    <hyperlink ref="E27" location="'E-42 Full Factorial'!A1" display="E-42  Full Factorial Designs (2^k)"/>
    <hyperlink ref="E28" location="'E-20 Sample Size'!A1" display="E-20  Sample Size Determination"/>
    <hyperlink ref="E29" location="'E-26 One-Way ANOVA'!A1" display="E-26  One-Way ANOVA with Tukey HSD"/>
    <hyperlink ref="B96" location="'E-42 Full Factorial'!A1" display="E-42  Full Factorial Designs (2^k)"/>
    <hyperlink ref="C96" location="'E-46 Response Surface'!A1" display="E-46  Response Surface Methods and Optimisation"/>
    <hyperlink ref="D96" location="'E-28 Variance Tests'!A1" display="E-28  Tests for Variance: F, Levene, Bartlet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5"/>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5560</v>
      </c>
      <c r="C2" s="3"/>
      <c r="D2" s="3"/>
      <c r="E2" s="3"/>
      <c r="F2" s="3"/>
      <c r="G2" s="3"/>
      <c r="H2" s="3"/>
      <c r="I2" s="3"/>
      <c r="J2" s="3"/>
      <c r="K2" s="101" t="s">
        <v>5137</v>
      </c>
    </row>
    <row r="3" customFormat="false" ht="28.5" hidden="false" customHeight="true" outlineLevel="0" collapsed="false">
      <c r="B3" s="5" t="s">
        <v>3</v>
      </c>
      <c r="D3" s="6" t="s">
        <v>5561</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5562</v>
      </c>
      <c r="D6" s="106"/>
      <c r="E6" s="106"/>
      <c r="F6" s="106"/>
      <c r="G6" s="106"/>
      <c r="H6" s="102"/>
      <c r="I6" s="102"/>
      <c r="J6" s="102"/>
      <c r="K6" s="102"/>
      <c r="L6" s="102"/>
      <c r="M6" s="102"/>
      <c r="N6" s="102"/>
      <c r="O6" s="102"/>
    </row>
    <row r="7" customFormat="false" ht="31.5" hidden="false" customHeight="true" outlineLevel="0" collapsed="false">
      <c r="A7" s="102"/>
      <c r="B7" s="105" t="s">
        <v>1394</v>
      </c>
      <c r="C7" s="106" t="s">
        <v>5563</v>
      </c>
      <c r="D7" s="106"/>
      <c r="E7" s="106"/>
      <c r="F7" s="106"/>
      <c r="G7" s="106"/>
      <c r="H7" s="102"/>
      <c r="I7" s="102"/>
      <c r="J7" s="102"/>
      <c r="K7" s="102"/>
      <c r="L7" s="102"/>
      <c r="M7" s="102"/>
      <c r="N7" s="102"/>
      <c r="O7" s="102"/>
    </row>
    <row r="8" customFormat="false" ht="17.25" hidden="false" customHeight="true" outlineLevel="0" collapsed="false">
      <c r="A8" s="102"/>
      <c r="B8" s="105" t="s">
        <v>1396</v>
      </c>
      <c r="C8" s="106" t="s">
        <v>5564</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0.5" hidden="false" customHeight="true" outlineLevel="0" collapsed="false">
      <c r="A11" s="102"/>
      <c r="B11" s="106" t="s">
        <v>5565</v>
      </c>
      <c r="C11" s="106"/>
      <c r="D11" s="106"/>
      <c r="E11" s="106"/>
      <c r="F11" s="106"/>
      <c r="G11" s="106"/>
      <c r="H11" s="106"/>
      <c r="I11" s="102"/>
      <c r="J11" s="102"/>
      <c r="K11" s="102"/>
      <c r="L11" s="102"/>
      <c r="M11" s="102"/>
      <c r="N11" s="102"/>
      <c r="O11" s="102"/>
    </row>
    <row r="12" customFormat="false" ht="10.5" hidden="false" customHeight="true" outlineLevel="0" collapsed="false">
      <c r="A12" s="102"/>
      <c r="B12" s="106"/>
      <c r="C12" s="106"/>
      <c r="D12" s="106"/>
      <c r="E12" s="106"/>
      <c r="F12" s="106"/>
      <c r="G12" s="106"/>
      <c r="H12" s="106"/>
      <c r="I12" s="102"/>
      <c r="J12" s="102"/>
      <c r="K12" s="102"/>
      <c r="L12" s="102"/>
      <c r="M12" s="102"/>
      <c r="N12" s="102"/>
      <c r="O12" s="102"/>
    </row>
    <row r="13" customFormat="false" ht="10.5" hidden="false" customHeight="true" outlineLevel="0" collapsed="false">
      <c r="A13" s="102"/>
      <c r="B13" s="106"/>
      <c r="C13" s="106"/>
      <c r="D13" s="106"/>
      <c r="E13" s="106"/>
      <c r="F13" s="106"/>
      <c r="G13" s="106"/>
      <c r="H13" s="106"/>
      <c r="I13" s="102"/>
      <c r="J13" s="102"/>
      <c r="K13" s="102"/>
      <c r="L13" s="102"/>
      <c r="M13" s="102"/>
      <c r="N13" s="102"/>
      <c r="O13" s="102"/>
    </row>
    <row r="14" customFormat="false" ht="11.25" hidden="false" customHeight="true" outlineLevel="0" collapsed="false">
      <c r="A14" s="102"/>
      <c r="B14" s="106" t="s">
        <v>5566</v>
      </c>
      <c r="C14" s="106"/>
      <c r="D14" s="106"/>
      <c r="E14" s="106"/>
      <c r="F14" s="106"/>
      <c r="G14" s="106"/>
      <c r="H14" s="106"/>
      <c r="I14" s="102"/>
      <c r="J14" s="102"/>
      <c r="K14" s="102"/>
      <c r="L14" s="102"/>
      <c r="M14" s="102"/>
      <c r="N14" s="102"/>
      <c r="O14" s="102"/>
    </row>
    <row r="15" customFormat="false" ht="11.25" hidden="false" customHeight="true" outlineLevel="0" collapsed="false">
      <c r="A15" s="102"/>
      <c r="B15" s="106"/>
      <c r="C15" s="106"/>
      <c r="D15" s="106"/>
      <c r="E15" s="106"/>
      <c r="F15" s="106"/>
      <c r="G15" s="106"/>
      <c r="H15" s="106"/>
      <c r="I15" s="102"/>
      <c r="J15" s="102"/>
      <c r="K15" s="102"/>
      <c r="L15" s="102"/>
      <c r="M15" s="102"/>
      <c r="N15" s="102"/>
      <c r="O15" s="102"/>
    </row>
    <row r="16" customFormat="false" ht="11.25" hidden="false" customHeight="true" outlineLevel="0" collapsed="false">
      <c r="A16" s="102"/>
      <c r="B16" s="106"/>
      <c r="C16" s="106"/>
      <c r="D16" s="106"/>
      <c r="E16" s="106"/>
      <c r="F16" s="106"/>
      <c r="G16" s="106"/>
      <c r="H16" s="106"/>
      <c r="I16" s="102"/>
      <c r="J16" s="102"/>
      <c r="K16" s="102"/>
      <c r="L16" s="102"/>
      <c r="M16" s="102"/>
      <c r="N16" s="102"/>
      <c r="O16" s="102"/>
    </row>
    <row r="17" customFormat="false" ht="11.25" hidden="false" customHeight="true" outlineLevel="0" collapsed="false">
      <c r="A17" s="102"/>
      <c r="B17" s="106"/>
      <c r="C17" s="106"/>
      <c r="D17" s="106"/>
      <c r="E17" s="106"/>
      <c r="F17" s="106"/>
      <c r="G17" s="106"/>
      <c r="H17" s="106"/>
      <c r="I17" s="102"/>
      <c r="J17" s="102"/>
      <c r="K17" s="102"/>
      <c r="L17" s="102"/>
      <c r="M17" s="102"/>
      <c r="N17" s="102"/>
      <c r="O17" s="102"/>
    </row>
    <row r="18" customFormat="false" ht="15.75" hidden="false" customHeight="true" outlineLevel="0" collapsed="false">
      <c r="A18" s="102"/>
      <c r="B18" s="106" t="s">
        <v>5567</v>
      </c>
      <c r="C18" s="106"/>
      <c r="D18" s="106"/>
      <c r="E18" s="106"/>
      <c r="F18" s="106"/>
      <c r="G18" s="106"/>
      <c r="H18" s="106"/>
      <c r="I18" s="102"/>
      <c r="J18" s="102"/>
      <c r="K18" s="102"/>
      <c r="L18" s="102"/>
      <c r="M18" s="102"/>
      <c r="N18" s="102"/>
      <c r="O18" s="102"/>
    </row>
    <row r="19" customFormat="false" ht="15.75" hidden="false" customHeight="true" outlineLevel="0" collapsed="false">
      <c r="A19" s="102"/>
      <c r="B19" s="106"/>
      <c r="C19" s="106"/>
      <c r="D19" s="106"/>
      <c r="E19" s="106"/>
      <c r="F19" s="106"/>
      <c r="G19" s="106"/>
      <c r="H19" s="106"/>
      <c r="I19" s="102"/>
      <c r="J19" s="102"/>
      <c r="K19" s="102"/>
      <c r="L19" s="102"/>
      <c r="M19" s="102"/>
      <c r="N19" s="102"/>
      <c r="O19" s="102"/>
    </row>
    <row r="20" customFormat="false" ht="15" hidden="false" customHeight="true" outlineLevel="0" collapsed="false">
      <c r="A20" s="102"/>
      <c r="B20" s="102"/>
      <c r="C20" s="102"/>
      <c r="D20" s="102"/>
      <c r="E20" s="102"/>
      <c r="F20" s="102"/>
      <c r="G20" s="102"/>
      <c r="H20" s="102"/>
      <c r="I20" s="102"/>
      <c r="J20" s="102"/>
      <c r="K20" s="102"/>
      <c r="L20" s="102"/>
      <c r="M20" s="102"/>
      <c r="N20" s="102"/>
      <c r="O20" s="102"/>
    </row>
    <row r="21" customFormat="false" ht="15.75" hidden="false" customHeight="true" outlineLevel="0" collapsed="false">
      <c r="A21" s="102"/>
      <c r="B21" s="103" t="s">
        <v>1406</v>
      </c>
      <c r="C21" s="104"/>
      <c r="D21" s="104"/>
      <c r="E21" s="104"/>
      <c r="F21" s="104"/>
      <c r="G21" s="104"/>
      <c r="H21" s="104"/>
      <c r="I21" s="104"/>
      <c r="J21" s="104"/>
      <c r="K21" s="104"/>
      <c r="L21" s="102"/>
      <c r="M21" s="102"/>
      <c r="N21" s="102"/>
      <c r="O21" s="102"/>
    </row>
    <row r="22" customFormat="false" ht="17.25" hidden="false" customHeight="true" outlineLevel="0" collapsed="false">
      <c r="A22" s="102"/>
      <c r="B22" s="107" t="s">
        <v>1407</v>
      </c>
      <c r="C22" s="107"/>
      <c r="D22" s="107"/>
      <c r="E22" s="107" t="s">
        <v>1408</v>
      </c>
      <c r="F22" s="107"/>
      <c r="G22" s="107"/>
      <c r="H22" s="102"/>
      <c r="I22" s="102"/>
      <c r="J22" s="102"/>
      <c r="K22" s="102"/>
      <c r="L22" s="102"/>
      <c r="M22" s="102"/>
      <c r="N22" s="102"/>
      <c r="O22" s="102"/>
    </row>
    <row r="23" customFormat="false" ht="31.5" hidden="false" customHeight="true" outlineLevel="0" collapsed="false">
      <c r="A23" s="102"/>
      <c r="B23" s="106" t="s">
        <v>5568</v>
      </c>
      <c r="C23" s="106"/>
      <c r="D23" s="106"/>
      <c r="E23" s="106" t="s">
        <v>5569</v>
      </c>
      <c r="F23" s="106"/>
      <c r="G23" s="106"/>
      <c r="H23" s="102"/>
      <c r="I23" s="102"/>
      <c r="J23" s="102"/>
      <c r="K23" s="102"/>
      <c r="L23" s="102"/>
      <c r="M23" s="102"/>
      <c r="N23" s="102"/>
      <c r="O23" s="102"/>
    </row>
    <row r="24" customFormat="false" ht="31.5" hidden="false" customHeight="true" outlineLevel="0" collapsed="false">
      <c r="A24" s="102"/>
      <c r="B24" s="106" t="s">
        <v>5570</v>
      </c>
      <c r="C24" s="106"/>
      <c r="D24" s="106"/>
      <c r="E24" s="106" t="s">
        <v>5571</v>
      </c>
      <c r="F24" s="106"/>
      <c r="G24" s="106"/>
      <c r="H24" s="102"/>
      <c r="I24" s="102"/>
      <c r="J24" s="102"/>
      <c r="K24" s="102"/>
      <c r="L24" s="102"/>
      <c r="M24" s="102"/>
      <c r="N24" s="102"/>
      <c r="O24" s="102"/>
    </row>
    <row r="25" customFormat="false" ht="31.5" hidden="false" customHeight="true" outlineLevel="0" collapsed="false">
      <c r="A25" s="102"/>
      <c r="B25" s="106" t="s">
        <v>5572</v>
      </c>
      <c r="C25" s="106"/>
      <c r="D25" s="106"/>
      <c r="E25" s="106" t="s">
        <v>5573</v>
      </c>
      <c r="F25" s="106"/>
      <c r="G25" s="106"/>
      <c r="H25" s="102"/>
      <c r="I25" s="102"/>
      <c r="J25" s="102"/>
      <c r="K25" s="102"/>
      <c r="L25" s="102"/>
      <c r="M25" s="102"/>
      <c r="N25" s="102"/>
      <c r="O25" s="102"/>
    </row>
    <row r="26" customFormat="false" ht="15" hidden="false" customHeight="true" outlineLevel="0" collapsed="false">
      <c r="A26" s="102"/>
      <c r="B26" s="102"/>
      <c r="C26" s="102"/>
      <c r="D26" s="102"/>
      <c r="E26" s="102"/>
      <c r="F26" s="102"/>
      <c r="G26" s="102"/>
      <c r="H26" s="102"/>
      <c r="I26" s="102"/>
      <c r="J26" s="102"/>
      <c r="K26" s="102"/>
      <c r="L26" s="102"/>
      <c r="M26" s="102"/>
      <c r="N26" s="102"/>
      <c r="O26" s="102"/>
    </row>
    <row r="27" customFormat="false" ht="16.5" hidden="false" customHeight="true" outlineLevel="0" collapsed="false">
      <c r="A27" s="102"/>
      <c r="B27" s="108" t="s">
        <v>1416</v>
      </c>
      <c r="C27" s="108" t="s">
        <v>1417</v>
      </c>
      <c r="D27" s="108" t="s">
        <v>1418</v>
      </c>
      <c r="E27" s="108" t="s">
        <v>1419</v>
      </c>
      <c r="F27" s="102"/>
      <c r="G27" s="102"/>
      <c r="H27" s="102"/>
      <c r="I27" s="102"/>
      <c r="J27" s="102"/>
      <c r="K27" s="102"/>
      <c r="L27" s="102"/>
      <c r="M27" s="102"/>
      <c r="N27" s="102"/>
      <c r="O27" s="102"/>
    </row>
    <row r="28" customFormat="false" ht="30.75" hidden="false" customHeight="true" outlineLevel="0" collapsed="false">
      <c r="A28" s="102"/>
      <c r="B28" s="15" t="s">
        <v>5574</v>
      </c>
      <c r="C28" s="15" t="s">
        <v>5575</v>
      </c>
      <c r="D28" s="15" t="s">
        <v>5576</v>
      </c>
      <c r="E28" s="109" t="s">
        <v>5252</v>
      </c>
      <c r="F28" s="102"/>
      <c r="G28" s="102"/>
      <c r="H28" s="102"/>
      <c r="I28" s="102"/>
      <c r="J28" s="102"/>
      <c r="K28" s="102"/>
      <c r="L28" s="102"/>
      <c r="M28" s="102"/>
      <c r="N28" s="102"/>
      <c r="O28" s="102"/>
    </row>
    <row r="29" customFormat="false" ht="58.5" hidden="false" customHeight="true" outlineLevel="0" collapsed="false">
      <c r="A29" s="102"/>
      <c r="B29" s="15" t="s">
        <v>5577</v>
      </c>
      <c r="C29" s="15" t="s">
        <v>5578</v>
      </c>
      <c r="D29" s="15" t="s">
        <v>5579</v>
      </c>
      <c r="E29" s="109" t="s">
        <v>1039</v>
      </c>
      <c r="F29" s="102"/>
      <c r="G29" s="102"/>
      <c r="H29" s="102"/>
      <c r="I29" s="102"/>
      <c r="J29" s="102"/>
      <c r="K29" s="102"/>
      <c r="L29" s="102"/>
      <c r="M29" s="102"/>
      <c r="N29" s="102"/>
      <c r="O29" s="102"/>
    </row>
    <row r="30" customFormat="false" ht="30.75" hidden="false" customHeight="true" outlineLevel="0" collapsed="false">
      <c r="A30" s="102"/>
      <c r="B30" s="15" t="s">
        <v>5580</v>
      </c>
      <c r="C30" s="15" t="s">
        <v>5581</v>
      </c>
      <c r="D30" s="15" t="s">
        <v>5582</v>
      </c>
      <c r="E30" s="109" t="s">
        <v>4633</v>
      </c>
      <c r="F30" s="102"/>
      <c r="G30" s="102"/>
      <c r="H30" s="102"/>
      <c r="I30" s="102"/>
      <c r="J30" s="102"/>
      <c r="K30" s="102"/>
      <c r="L30" s="102"/>
      <c r="M30" s="102"/>
      <c r="N30" s="102"/>
      <c r="O30" s="102"/>
    </row>
    <row r="31" customFormat="false" ht="15" hidden="false" customHeight="true" outlineLevel="0" collapsed="false">
      <c r="A31" s="102"/>
      <c r="B31" s="102"/>
      <c r="C31" s="102"/>
      <c r="D31" s="102"/>
      <c r="E31" s="102"/>
      <c r="F31" s="102"/>
      <c r="G31" s="102"/>
      <c r="H31" s="102"/>
      <c r="I31" s="102"/>
      <c r="J31" s="102"/>
      <c r="K31" s="102"/>
      <c r="L31" s="102"/>
      <c r="M31" s="102"/>
      <c r="N31" s="102"/>
      <c r="O31" s="102"/>
    </row>
    <row r="32" customFormat="false" ht="15.75" hidden="false" customHeight="true" outlineLevel="0" collapsed="false">
      <c r="A32" s="102"/>
      <c r="B32" s="103" t="s">
        <v>1429</v>
      </c>
      <c r="C32" s="104"/>
      <c r="D32" s="104"/>
      <c r="E32" s="104"/>
      <c r="F32" s="104"/>
      <c r="G32" s="104"/>
      <c r="H32" s="104"/>
      <c r="I32" s="104"/>
      <c r="J32" s="104"/>
      <c r="K32" s="104"/>
      <c r="L32" s="102"/>
      <c r="M32" s="102"/>
      <c r="N32" s="102"/>
      <c r="O32" s="102"/>
    </row>
    <row r="33" customFormat="false" ht="17.25" hidden="false" customHeight="true" outlineLevel="0" collapsed="false">
      <c r="A33" s="102"/>
      <c r="B33" s="106" t="s">
        <v>5583</v>
      </c>
      <c r="C33" s="106"/>
      <c r="D33" s="106"/>
      <c r="E33" s="106"/>
      <c r="F33" s="106"/>
      <c r="G33" s="106"/>
      <c r="H33" s="106"/>
      <c r="I33" s="102"/>
      <c r="J33" s="102"/>
      <c r="K33" s="102"/>
      <c r="L33" s="102"/>
      <c r="M33" s="102"/>
      <c r="N33" s="102"/>
      <c r="O33" s="102"/>
    </row>
    <row r="34" customFormat="false" ht="10.5" hidden="false" customHeight="true" outlineLevel="0" collapsed="false">
      <c r="A34" s="102"/>
      <c r="B34" s="106" t="s">
        <v>5584</v>
      </c>
      <c r="C34" s="106"/>
      <c r="D34" s="106"/>
      <c r="E34" s="106"/>
      <c r="F34" s="106"/>
      <c r="G34" s="106"/>
      <c r="H34" s="106"/>
      <c r="I34" s="102"/>
      <c r="J34" s="102"/>
      <c r="K34" s="102"/>
      <c r="L34" s="102"/>
      <c r="M34" s="102"/>
      <c r="N34" s="102"/>
      <c r="O34" s="102"/>
    </row>
    <row r="35" customFormat="false" ht="10.5" hidden="false" customHeight="true" outlineLevel="0" collapsed="false">
      <c r="A35" s="102"/>
      <c r="B35" s="106"/>
      <c r="C35" s="106"/>
      <c r="D35" s="106"/>
      <c r="E35" s="106"/>
      <c r="F35" s="106"/>
      <c r="G35" s="106"/>
      <c r="H35" s="106"/>
      <c r="I35" s="102"/>
      <c r="J35" s="102"/>
      <c r="K35" s="102"/>
      <c r="L35" s="102"/>
      <c r="M35" s="102"/>
      <c r="N35" s="102"/>
      <c r="O35" s="102"/>
    </row>
    <row r="36" customFormat="false" ht="10.5" hidden="false" customHeight="true" outlineLevel="0" collapsed="false">
      <c r="A36" s="102"/>
      <c r="B36" s="106"/>
      <c r="C36" s="106"/>
      <c r="D36" s="106"/>
      <c r="E36" s="106"/>
      <c r="F36" s="106"/>
      <c r="G36" s="106"/>
      <c r="H36" s="106"/>
      <c r="I36" s="102"/>
      <c r="J36" s="102"/>
      <c r="K36" s="102"/>
      <c r="L36" s="102"/>
      <c r="M36" s="102"/>
      <c r="N36" s="102"/>
      <c r="O36" s="102"/>
    </row>
    <row r="37" customFormat="false" ht="15" hidden="false" customHeight="true" outlineLevel="0" collapsed="false">
      <c r="A37" s="102"/>
      <c r="B37" s="106" t="s">
        <v>5585</v>
      </c>
      <c r="C37" s="106"/>
      <c r="D37" s="106"/>
      <c r="E37" s="106"/>
      <c r="F37" s="106"/>
      <c r="G37" s="106"/>
      <c r="H37" s="106"/>
      <c r="I37" s="102"/>
      <c r="J37" s="102"/>
      <c r="K37" s="102"/>
      <c r="L37" s="102"/>
      <c r="M37" s="102"/>
      <c r="N37" s="102"/>
      <c r="O37" s="102"/>
    </row>
    <row r="38" customFormat="false" ht="15" hidden="false" customHeight="true" outlineLevel="0" collapsed="false">
      <c r="A38" s="102"/>
      <c r="B38" s="106"/>
      <c r="C38" s="106"/>
      <c r="D38" s="106"/>
      <c r="E38" s="106"/>
      <c r="F38" s="106"/>
      <c r="G38" s="106"/>
      <c r="H38" s="106"/>
      <c r="I38" s="102"/>
      <c r="J38" s="102"/>
      <c r="K38" s="102"/>
      <c r="L38" s="102"/>
      <c r="M38" s="102"/>
      <c r="N38" s="102"/>
      <c r="O38" s="102"/>
    </row>
    <row r="39" customFormat="false" ht="15" hidden="false" customHeight="true" outlineLevel="0" collapsed="false">
      <c r="A39" s="102"/>
      <c r="B39" s="106"/>
      <c r="C39" s="106"/>
      <c r="D39" s="106"/>
      <c r="E39" s="106"/>
      <c r="F39" s="106"/>
      <c r="G39" s="106"/>
      <c r="H39" s="106"/>
      <c r="I39" s="102"/>
      <c r="J39" s="102"/>
      <c r="K39" s="102"/>
      <c r="L39" s="102"/>
      <c r="M39" s="102"/>
      <c r="N39" s="102"/>
      <c r="O39" s="102"/>
    </row>
    <row r="40" customFormat="false" ht="15" hidden="false" customHeight="true" outlineLevel="0" collapsed="false">
      <c r="A40" s="102"/>
      <c r="B40" s="102"/>
      <c r="C40" s="102"/>
      <c r="D40" s="102"/>
      <c r="E40" s="102"/>
      <c r="F40" s="102"/>
      <c r="G40" s="102"/>
      <c r="H40" s="102"/>
      <c r="I40" s="102"/>
      <c r="J40" s="102"/>
      <c r="K40" s="102"/>
      <c r="L40" s="102"/>
      <c r="M40" s="102"/>
      <c r="N40" s="102"/>
      <c r="O40" s="102"/>
    </row>
    <row r="41" customFormat="false" ht="15.75" hidden="false" customHeight="true" outlineLevel="0" collapsed="false">
      <c r="A41" s="102"/>
      <c r="B41" s="103" t="s">
        <v>1437</v>
      </c>
      <c r="C41" s="104"/>
      <c r="D41" s="104"/>
      <c r="E41" s="104"/>
      <c r="F41" s="104"/>
      <c r="G41" s="104"/>
      <c r="H41" s="104"/>
      <c r="I41" s="104"/>
      <c r="J41" s="104"/>
      <c r="K41" s="104"/>
      <c r="L41" s="102"/>
      <c r="M41" s="102"/>
      <c r="N41" s="102"/>
      <c r="O41" s="102"/>
    </row>
    <row r="42" customFormat="false" ht="17.25" hidden="false" customHeight="true" outlineLevel="0" collapsed="false">
      <c r="A42" s="102"/>
      <c r="B42" s="108" t="s">
        <v>1438</v>
      </c>
      <c r="C42" s="108" t="s">
        <v>1439</v>
      </c>
      <c r="D42" s="108" t="s">
        <v>1440</v>
      </c>
      <c r="E42" s="108"/>
      <c r="F42" s="102"/>
      <c r="G42" s="102"/>
      <c r="H42" s="102"/>
      <c r="I42" s="102"/>
      <c r="J42" s="102"/>
      <c r="K42" s="102"/>
      <c r="L42" s="102"/>
      <c r="M42" s="102"/>
      <c r="N42" s="102"/>
      <c r="O42" s="102"/>
    </row>
    <row r="43" customFormat="false" ht="31.5" hidden="false" customHeight="true" outlineLevel="0" collapsed="false">
      <c r="A43" s="102"/>
      <c r="B43" s="110" t="s">
        <v>4652</v>
      </c>
      <c r="C43" s="111" t="s">
        <v>5586</v>
      </c>
      <c r="D43" s="15" t="s">
        <v>5587</v>
      </c>
      <c r="E43" s="15"/>
      <c r="F43" s="102"/>
      <c r="G43" s="102"/>
      <c r="H43" s="102"/>
      <c r="I43" s="102"/>
      <c r="J43" s="102"/>
      <c r="K43" s="102"/>
      <c r="L43" s="102"/>
      <c r="M43" s="102"/>
      <c r="N43" s="102"/>
      <c r="O43" s="102"/>
    </row>
    <row r="44" customFormat="false" ht="17.25" hidden="false" customHeight="true" outlineLevel="0" collapsed="false">
      <c r="A44" s="102"/>
      <c r="B44" s="110" t="s">
        <v>5588</v>
      </c>
      <c r="C44" s="111" t="s">
        <v>5589</v>
      </c>
      <c r="D44" s="15" t="s">
        <v>5590</v>
      </c>
      <c r="E44" s="15"/>
      <c r="F44" s="102"/>
      <c r="G44" s="102"/>
      <c r="H44" s="102"/>
      <c r="I44" s="102"/>
      <c r="J44" s="102"/>
      <c r="K44" s="102"/>
      <c r="L44" s="102"/>
      <c r="M44" s="102"/>
      <c r="N44" s="102"/>
      <c r="O44" s="102"/>
    </row>
    <row r="45" customFormat="false" ht="17.25" hidden="false" customHeight="true" outlineLevel="0" collapsed="false">
      <c r="A45" s="102"/>
      <c r="B45" s="110" t="s">
        <v>5591</v>
      </c>
      <c r="C45" s="111" t="s">
        <v>5592</v>
      </c>
      <c r="D45" s="15" t="s">
        <v>5593</v>
      </c>
      <c r="E45" s="15"/>
      <c r="F45" s="102"/>
      <c r="G45" s="102"/>
      <c r="H45" s="102"/>
      <c r="I45" s="102"/>
      <c r="J45" s="102"/>
      <c r="K45" s="102"/>
      <c r="L45" s="102"/>
      <c r="M45" s="102"/>
      <c r="N45" s="102"/>
      <c r="O45" s="102"/>
    </row>
    <row r="46" customFormat="false" ht="15" hidden="false" customHeight="true" outlineLevel="0" collapsed="false">
      <c r="A46" s="102"/>
      <c r="B46" s="102"/>
      <c r="C46" s="102"/>
      <c r="D46" s="102"/>
      <c r="E46" s="102"/>
      <c r="F46" s="102"/>
      <c r="G46" s="102"/>
      <c r="H46" s="102"/>
      <c r="I46" s="102"/>
      <c r="J46" s="102"/>
      <c r="K46" s="102"/>
      <c r="L46" s="102"/>
      <c r="M46" s="102"/>
      <c r="N46" s="102"/>
      <c r="O46" s="102"/>
    </row>
    <row r="47" customFormat="false" ht="15.75" hidden="false" customHeight="true" outlineLevel="0" collapsed="false">
      <c r="A47" s="102"/>
      <c r="B47" s="103" t="s">
        <v>1454</v>
      </c>
      <c r="C47" s="104"/>
      <c r="D47" s="104"/>
      <c r="E47" s="104"/>
      <c r="F47" s="104"/>
      <c r="G47" s="104"/>
      <c r="H47" s="104"/>
      <c r="I47" s="104"/>
      <c r="J47" s="104"/>
      <c r="K47" s="104"/>
      <c r="L47" s="102"/>
      <c r="M47" s="102"/>
      <c r="N47" s="102"/>
      <c r="O47" s="102"/>
    </row>
    <row r="48" customFormat="false" ht="17.25" hidden="false" customHeight="true" outlineLevel="0" collapsed="false">
      <c r="A48" s="102"/>
      <c r="B48" s="106" t="s">
        <v>5594</v>
      </c>
      <c r="C48" s="106"/>
      <c r="D48" s="106"/>
      <c r="E48" s="106"/>
      <c r="F48" s="106"/>
      <c r="G48" s="106"/>
      <c r="H48" s="106"/>
      <c r="I48" s="102"/>
      <c r="J48" s="102"/>
      <c r="K48" s="102"/>
      <c r="L48" s="102"/>
      <c r="M48" s="102"/>
      <c r="N48" s="102"/>
      <c r="O48" s="102"/>
    </row>
    <row r="49" customFormat="false" ht="17.25" hidden="false" customHeight="true" outlineLevel="0" collapsed="false">
      <c r="A49" s="102"/>
      <c r="B49" s="112" t="s">
        <v>85</v>
      </c>
      <c r="C49" s="113" t="s">
        <v>86</v>
      </c>
      <c r="D49" s="113"/>
      <c r="E49" s="102"/>
      <c r="F49" s="102"/>
      <c r="G49" s="102"/>
      <c r="H49" s="102"/>
      <c r="I49" s="102"/>
      <c r="J49" s="102"/>
      <c r="K49" s="102"/>
      <c r="L49" s="102"/>
      <c r="M49" s="102"/>
      <c r="N49" s="102"/>
      <c r="O49" s="102"/>
    </row>
    <row r="50" customFormat="false" ht="15" hidden="false" customHeight="true" outlineLevel="0" collapsed="false">
      <c r="A50" s="102"/>
      <c r="B50" s="102"/>
      <c r="C50" s="102"/>
      <c r="D50" s="102"/>
      <c r="E50" s="102"/>
      <c r="F50" s="102"/>
      <c r="G50" s="102"/>
      <c r="H50" s="102"/>
      <c r="I50" s="102"/>
      <c r="J50" s="102"/>
      <c r="K50" s="102"/>
      <c r="L50" s="102"/>
      <c r="M50" s="102"/>
      <c r="N50" s="102"/>
      <c r="O50" s="102"/>
    </row>
    <row r="51" customFormat="false" ht="30.75" hidden="false" customHeight="true" outlineLevel="0" collapsed="false">
      <c r="A51" s="102"/>
      <c r="B51" s="108" t="s">
        <v>5275</v>
      </c>
      <c r="C51" s="108" t="s">
        <v>5595</v>
      </c>
      <c r="D51" s="108" t="s">
        <v>5596</v>
      </c>
      <c r="E51" s="108" t="s">
        <v>5597</v>
      </c>
      <c r="F51" s="108" t="s">
        <v>5598</v>
      </c>
      <c r="G51" s="108" t="s">
        <v>5599</v>
      </c>
      <c r="H51" s="108" t="s">
        <v>5600</v>
      </c>
      <c r="I51" s="108" t="s">
        <v>5601</v>
      </c>
      <c r="J51" s="108"/>
      <c r="K51" s="102"/>
      <c r="L51" s="102"/>
      <c r="M51" s="102"/>
      <c r="N51" s="102"/>
      <c r="O51" s="102"/>
    </row>
    <row r="52" customFormat="false" ht="17.25" hidden="false" customHeight="true" outlineLevel="0" collapsed="false">
      <c r="A52" s="102"/>
      <c r="B52" s="123" t="n">
        <v>1</v>
      </c>
      <c r="C52" s="136" t="n">
        <v>-1</v>
      </c>
      <c r="D52" s="136" t="n">
        <v>-1</v>
      </c>
      <c r="E52" s="129" t="n">
        <f aca="false">C52^2</f>
        <v>1</v>
      </c>
      <c r="F52" s="129" t="n">
        <f aca="false">D52^2</f>
        <v>1</v>
      </c>
      <c r="G52" s="129" t="n">
        <f aca="false">C52*D52</f>
        <v>1</v>
      </c>
      <c r="H52" s="131" t="n">
        <v>86.2</v>
      </c>
      <c r="I52" s="137" t="n">
        <f aca="false">$H$67+$G$67*C52+$F$67*D52+$E$67*E52+$D$67*F52+$C$67*G52</f>
        <v>85.7365640106471</v>
      </c>
      <c r="J52" s="137"/>
      <c r="K52" s="102"/>
      <c r="L52" s="102"/>
      <c r="M52" s="102"/>
      <c r="N52" s="102"/>
      <c r="O52" s="102"/>
    </row>
    <row r="53" customFormat="false" ht="17.25" hidden="false" customHeight="true" outlineLevel="0" collapsed="false">
      <c r="A53" s="102"/>
      <c r="B53" s="123" t="n">
        <v>2</v>
      </c>
      <c r="C53" s="136" t="n">
        <v>1</v>
      </c>
      <c r="D53" s="136" t="n">
        <v>-1</v>
      </c>
      <c r="E53" s="129" t="n">
        <f aca="false">C53^2</f>
        <v>1</v>
      </c>
      <c r="F53" s="129" t="n">
        <f aca="false">D53^2</f>
        <v>1</v>
      </c>
      <c r="G53" s="129" t="n">
        <f aca="false">C53*D53</f>
        <v>-1</v>
      </c>
      <c r="H53" s="131" t="n">
        <v>88.9</v>
      </c>
      <c r="I53" s="137" t="n">
        <f aca="false">$H$67+$G$67*C53+$F$67*D53+$E$67*E53+$D$67*F53+$C$67*G53</f>
        <v>88.6673990167331</v>
      </c>
      <c r="J53" s="137"/>
      <c r="K53" s="102"/>
      <c r="L53" s="102"/>
      <c r="M53" s="102"/>
      <c r="N53" s="102"/>
      <c r="O53" s="102"/>
    </row>
    <row r="54" customFormat="false" ht="17.25" hidden="false" customHeight="true" outlineLevel="0" collapsed="false">
      <c r="A54" s="102"/>
      <c r="B54" s="123" t="n">
        <v>3</v>
      </c>
      <c r="C54" s="136" t="n">
        <v>-1</v>
      </c>
      <c r="D54" s="136" t="n">
        <v>1</v>
      </c>
      <c r="E54" s="129" t="n">
        <f aca="false">C54^2</f>
        <v>1</v>
      </c>
      <c r="F54" s="129" t="n">
        <f aca="false">D54^2</f>
        <v>1</v>
      </c>
      <c r="G54" s="129" t="n">
        <f aca="false">C54*D54</f>
        <v>-1</v>
      </c>
      <c r="H54" s="131" t="n">
        <v>87.5</v>
      </c>
      <c r="I54" s="137" t="n">
        <f aca="false">$H$67+$G$67*C54+$F$67*D54+$E$67*E54+$D$67*F54+$C$67*G54</f>
        <v>86.9066331410859</v>
      </c>
      <c r="J54" s="137"/>
      <c r="K54" s="102"/>
      <c r="L54" s="102"/>
      <c r="M54" s="102"/>
      <c r="N54" s="102"/>
      <c r="O54" s="102"/>
    </row>
    <row r="55" customFormat="false" ht="17.25" hidden="false" customHeight="true" outlineLevel="0" collapsed="false">
      <c r="A55" s="102"/>
      <c r="B55" s="123" t="n">
        <v>4</v>
      </c>
      <c r="C55" s="136" t="n">
        <v>1</v>
      </c>
      <c r="D55" s="136" t="n">
        <v>1</v>
      </c>
      <c r="E55" s="129" t="n">
        <f aca="false">C55^2</f>
        <v>1</v>
      </c>
      <c r="F55" s="129" t="n">
        <f aca="false">D55^2</f>
        <v>1</v>
      </c>
      <c r="G55" s="129" t="n">
        <f aca="false">C55*D55</f>
        <v>1</v>
      </c>
      <c r="H55" s="131" t="n">
        <v>90.1</v>
      </c>
      <c r="I55" s="137" t="n">
        <f aca="false">$H$67+$G$67*C55+$F$67*D55+$E$67*E55+$D$67*F55+$C$67*G55</f>
        <v>89.7374681471718</v>
      </c>
      <c r="J55" s="137"/>
      <c r="K55" s="102"/>
      <c r="L55" s="102"/>
      <c r="M55" s="102"/>
      <c r="N55" s="102"/>
      <c r="O55" s="102"/>
    </row>
    <row r="56" customFormat="false" ht="17.25" hidden="false" customHeight="true" outlineLevel="0" collapsed="false">
      <c r="A56" s="102"/>
      <c r="B56" s="123" t="n">
        <v>5</v>
      </c>
      <c r="C56" s="136" t="n">
        <v>-1.414</v>
      </c>
      <c r="D56" s="136" t="n">
        <v>0</v>
      </c>
      <c r="E56" s="129" t="n">
        <f aca="false">C56^2</f>
        <v>1.999396</v>
      </c>
      <c r="F56" s="129" t="n">
        <f aca="false">D56^2</f>
        <v>0</v>
      </c>
      <c r="G56" s="129" t="n">
        <f aca="false">C56*D56</f>
        <v>-0</v>
      </c>
      <c r="H56" s="131" t="n">
        <v>85</v>
      </c>
      <c r="I56" s="137" t="n">
        <f aca="false">$H$67+$G$67*C56+$F$67*D56+$E$67*E56+$D$67*F56+$C$67*G56</f>
        <v>85.5763583306091</v>
      </c>
      <c r="J56" s="137"/>
      <c r="K56" s="102"/>
      <c r="L56" s="102"/>
      <c r="M56" s="102"/>
      <c r="N56" s="102"/>
      <c r="O56" s="102"/>
    </row>
    <row r="57" customFormat="false" ht="17.25" hidden="false" customHeight="true" outlineLevel="0" collapsed="false">
      <c r="A57" s="102"/>
      <c r="B57" s="123" t="n">
        <v>6</v>
      </c>
      <c r="C57" s="136" t="n">
        <v>1.414</v>
      </c>
      <c r="D57" s="136" t="n">
        <v>0</v>
      </c>
      <c r="E57" s="129" t="n">
        <f aca="false">C57^2</f>
        <v>1.999396</v>
      </c>
      <c r="F57" s="129" t="n">
        <f aca="false">D57^2</f>
        <v>0</v>
      </c>
      <c r="G57" s="129" t="n">
        <f aca="false">C57*D57</f>
        <v>0</v>
      </c>
      <c r="H57" s="131" t="n">
        <v>89.4</v>
      </c>
      <c r="I57" s="137" t="n">
        <f aca="false">$H$67+$G$67*C57+$F$67*D57+$E$67*E57+$D$67*F57+$C$67*G57</f>
        <v>89.6498590292146</v>
      </c>
      <c r="J57" s="137"/>
      <c r="K57" s="102"/>
      <c r="L57" s="102"/>
      <c r="M57" s="102"/>
      <c r="N57" s="102"/>
      <c r="O57" s="102"/>
    </row>
    <row r="58" customFormat="false" ht="17.25" hidden="false" customHeight="true" outlineLevel="0" collapsed="false">
      <c r="A58" s="102"/>
      <c r="B58" s="123" t="n">
        <v>7</v>
      </c>
      <c r="C58" s="136" t="n">
        <v>0</v>
      </c>
      <c r="D58" s="136" t="n">
        <v>-1.414</v>
      </c>
      <c r="E58" s="129" t="n">
        <f aca="false">C58^2</f>
        <v>0</v>
      </c>
      <c r="F58" s="129" t="n">
        <f aca="false">D58^2</f>
        <v>1.999396</v>
      </c>
      <c r="G58" s="129" t="n">
        <f aca="false">C58*D58</f>
        <v>-0</v>
      </c>
      <c r="H58" s="131" t="n">
        <v>86.8</v>
      </c>
      <c r="I58" s="137" t="n">
        <f aca="false">$H$67+$G$67*C58+$F$67*D58+$E$67*E58+$D$67*F58+$C$67*G58</f>
        <v>87.1212198046917</v>
      </c>
      <c r="J58" s="137"/>
      <c r="K58" s="102"/>
      <c r="L58" s="102"/>
      <c r="M58" s="102"/>
      <c r="N58" s="102"/>
      <c r="O58" s="102"/>
    </row>
    <row r="59" customFormat="false" ht="17.25" hidden="false" customHeight="true" outlineLevel="0" collapsed="false">
      <c r="A59" s="102"/>
      <c r="B59" s="123" t="n">
        <v>8</v>
      </c>
      <c r="C59" s="136" t="n">
        <v>0</v>
      </c>
      <c r="D59" s="136" t="n">
        <v>1.414</v>
      </c>
      <c r="E59" s="129" t="n">
        <f aca="false">C59^2</f>
        <v>0</v>
      </c>
      <c r="F59" s="129" t="n">
        <f aca="false">D59^2</f>
        <v>1.999396</v>
      </c>
      <c r="G59" s="129" t="n">
        <f aca="false">C59*D59</f>
        <v>0</v>
      </c>
      <c r="H59" s="131" t="n">
        <v>88.2</v>
      </c>
      <c r="I59" s="137" t="n">
        <f aca="false">$H$67+$G$67*C59+$F$67*D59+$E$67*E59+$D$67*F59+$C$67*G59</f>
        <v>88.704997555132</v>
      </c>
      <c r="J59" s="137"/>
      <c r="K59" s="102"/>
      <c r="L59" s="102"/>
      <c r="M59" s="102"/>
      <c r="N59" s="102"/>
      <c r="O59" s="102"/>
    </row>
    <row r="60" customFormat="false" ht="17.25" hidden="false" customHeight="true" outlineLevel="0" collapsed="false">
      <c r="A60" s="102"/>
      <c r="B60" s="123" t="n">
        <v>9</v>
      </c>
      <c r="C60" s="136" t="n">
        <v>0</v>
      </c>
      <c r="D60" s="136" t="n">
        <v>0</v>
      </c>
      <c r="E60" s="129" t="n">
        <f aca="false">C60^2</f>
        <v>0</v>
      </c>
      <c r="F60" s="129" t="n">
        <f aca="false">D60^2</f>
        <v>0</v>
      </c>
      <c r="G60" s="129" t="n">
        <f aca="false">C60*D60</f>
        <v>0</v>
      </c>
      <c r="H60" s="131" t="n">
        <v>91.5</v>
      </c>
      <c r="I60" s="137" t="n">
        <f aca="false">$H$67+$G$67*C60+$F$67*D60+$E$67*E60+$D$67*F60+$C$67*G60</f>
        <v>91.3799001929429</v>
      </c>
      <c r="J60" s="137"/>
      <c r="K60" s="102"/>
      <c r="L60" s="102"/>
      <c r="M60" s="102"/>
      <c r="N60" s="102"/>
      <c r="O60" s="102"/>
    </row>
    <row r="61" customFormat="false" ht="17.25" hidden="false" customHeight="true" outlineLevel="0" collapsed="false">
      <c r="A61" s="102"/>
      <c r="B61" s="123" t="n">
        <v>10</v>
      </c>
      <c r="C61" s="136" t="n">
        <v>0</v>
      </c>
      <c r="D61" s="136" t="n">
        <v>0</v>
      </c>
      <c r="E61" s="129" t="n">
        <f aca="false">C61^2</f>
        <v>0</v>
      </c>
      <c r="F61" s="129" t="n">
        <f aca="false">D61^2</f>
        <v>0</v>
      </c>
      <c r="G61" s="129" t="n">
        <f aca="false">C61*D61</f>
        <v>0</v>
      </c>
      <c r="H61" s="131" t="n">
        <v>91</v>
      </c>
      <c r="I61" s="137" t="n">
        <f aca="false">$H$67+$G$67*C61+$F$67*D61+$E$67*E61+$D$67*F61+$C$67*G61</f>
        <v>91.3799001929429</v>
      </c>
      <c r="J61" s="137"/>
      <c r="K61" s="102"/>
      <c r="L61" s="102"/>
      <c r="M61" s="102"/>
      <c r="N61" s="102"/>
      <c r="O61" s="102"/>
    </row>
    <row r="62" customFormat="false" ht="17.25" hidden="false" customHeight="true" outlineLevel="0" collapsed="false">
      <c r="A62" s="102"/>
      <c r="B62" s="123" t="n">
        <v>11</v>
      </c>
      <c r="C62" s="136" t="n">
        <v>0</v>
      </c>
      <c r="D62" s="136" t="n">
        <v>0</v>
      </c>
      <c r="E62" s="129" t="n">
        <f aca="false">C62^2</f>
        <v>0</v>
      </c>
      <c r="F62" s="129" t="n">
        <f aca="false">D62^2</f>
        <v>0</v>
      </c>
      <c r="G62" s="129" t="n">
        <f aca="false">C62*D62</f>
        <v>0</v>
      </c>
      <c r="H62" s="131" t="n">
        <v>91.8</v>
      </c>
      <c r="I62" s="137" t="n">
        <f aca="false">$H$67+$G$67*C62+$F$67*D62+$E$67*E62+$D$67*F62+$C$67*G62</f>
        <v>91.3799001929429</v>
      </c>
      <c r="J62" s="137"/>
      <c r="K62" s="102"/>
      <c r="L62" s="102"/>
      <c r="M62" s="102"/>
      <c r="N62" s="102"/>
      <c r="O62" s="102"/>
    </row>
    <row r="63" customFormat="false" ht="17.25" hidden="false" customHeight="true" outlineLevel="0" collapsed="false">
      <c r="A63" s="102"/>
      <c r="B63" s="123" t="n">
        <v>12</v>
      </c>
      <c r="C63" s="136" t="n">
        <v>0</v>
      </c>
      <c r="D63" s="136" t="n">
        <v>0</v>
      </c>
      <c r="E63" s="129" t="n">
        <f aca="false">C63^2</f>
        <v>0</v>
      </c>
      <c r="F63" s="129" t="n">
        <f aca="false">D63^2</f>
        <v>0</v>
      </c>
      <c r="G63" s="129" t="n">
        <f aca="false">C63*D63</f>
        <v>0</v>
      </c>
      <c r="H63" s="131" t="n">
        <v>91.2</v>
      </c>
      <c r="I63" s="137" t="n">
        <f aca="false">$H$67+$G$67*C63+$F$67*D63+$E$67*E63+$D$67*F63+$C$67*G63</f>
        <v>91.3799001929429</v>
      </c>
      <c r="J63" s="137"/>
      <c r="K63" s="102"/>
      <c r="L63" s="102"/>
      <c r="M63" s="102"/>
      <c r="N63" s="102"/>
      <c r="O63" s="102"/>
    </row>
    <row r="64" customFormat="false" ht="17.25" hidden="false" customHeight="true" outlineLevel="0" collapsed="false">
      <c r="A64" s="102"/>
      <c r="B64" s="123" t="n">
        <v>13</v>
      </c>
      <c r="C64" s="136" t="n">
        <v>0</v>
      </c>
      <c r="D64" s="136" t="n">
        <v>0</v>
      </c>
      <c r="E64" s="129" t="n">
        <f aca="false">C64^2</f>
        <v>0</v>
      </c>
      <c r="F64" s="129" t="n">
        <f aca="false">D64^2</f>
        <v>0</v>
      </c>
      <c r="G64" s="129" t="n">
        <f aca="false">C64*D64</f>
        <v>0</v>
      </c>
      <c r="H64" s="131" t="n">
        <v>91.4</v>
      </c>
      <c r="I64" s="137" t="n">
        <f aca="false">$H$67+$G$67*C64+$F$67*D64+$E$67*E64+$D$67*F64+$C$67*G64</f>
        <v>91.3799001929429</v>
      </c>
      <c r="J64" s="137"/>
      <c r="K64" s="102"/>
      <c r="L64" s="102"/>
      <c r="M64" s="102"/>
      <c r="N64" s="102"/>
      <c r="O64" s="102"/>
    </row>
    <row r="65" customFormat="false" ht="15" hidden="false" customHeight="true" outlineLevel="0" collapsed="false">
      <c r="A65" s="102"/>
      <c r="B65" s="102"/>
      <c r="C65" s="102"/>
      <c r="D65" s="102"/>
      <c r="E65" s="102"/>
      <c r="F65" s="102"/>
      <c r="G65" s="102"/>
      <c r="H65" s="102"/>
      <c r="I65" s="102"/>
      <c r="J65" s="102"/>
      <c r="K65" s="102"/>
      <c r="L65" s="102"/>
      <c r="M65" s="102"/>
      <c r="N65" s="102"/>
      <c r="O65" s="102"/>
    </row>
    <row r="66" customFormat="false" ht="17.25" hidden="false" customHeight="true" outlineLevel="0" collapsed="false">
      <c r="A66" s="102"/>
      <c r="B66" s="107" t="s">
        <v>5602</v>
      </c>
      <c r="C66" s="107"/>
      <c r="D66" s="107"/>
      <c r="E66" s="107"/>
      <c r="F66" s="107"/>
      <c r="G66" s="107"/>
      <c r="H66" s="107"/>
      <c r="I66" s="102"/>
      <c r="J66" s="102"/>
      <c r="K66" s="102"/>
      <c r="L66" s="102"/>
      <c r="M66" s="102"/>
      <c r="N66" s="102"/>
      <c r="O66" s="102"/>
    </row>
    <row r="67" customFormat="false" ht="15" hidden="false" customHeight="true" outlineLevel="0" collapsed="false">
      <c r="A67" s="102"/>
      <c r="B67" s="102"/>
      <c r="C67" s="138" t="n">
        <f aca="false" t="array" ref="C67:H67">LINEST(H52:H64,C52:G64,TRUE(),FALSE())</f>
        <v>-0.0250000000000021</v>
      </c>
      <c r="D67" s="138" t="n">
        <v>-1.73391940017438</v>
      </c>
      <c r="E67" s="138" t="n">
        <v>-1.88396471385911</v>
      </c>
      <c r="F67" s="138" t="n">
        <v>0.560034565219347</v>
      </c>
      <c r="G67" s="138" t="n">
        <v>1.44041750304296</v>
      </c>
      <c r="H67" s="138" t="n">
        <v>91.3799001929429</v>
      </c>
      <c r="I67" s="102"/>
      <c r="J67" s="102"/>
      <c r="K67" s="102"/>
      <c r="L67" s="102"/>
      <c r="M67" s="102"/>
      <c r="N67" s="102"/>
      <c r="O67" s="102"/>
    </row>
    <row r="68" customFormat="false" ht="15" hidden="false" customHeight="true" outlineLevel="0" collapsed="false">
      <c r="A68" s="102"/>
      <c r="B68" s="102"/>
      <c r="C68" s="102"/>
      <c r="D68" s="102"/>
      <c r="E68" s="102"/>
      <c r="F68" s="102"/>
      <c r="G68" s="102"/>
      <c r="H68" s="102"/>
      <c r="I68" s="102"/>
      <c r="J68" s="102"/>
      <c r="K68" s="102"/>
      <c r="L68" s="102"/>
      <c r="M68" s="102"/>
      <c r="N68" s="102"/>
      <c r="O68" s="102"/>
    </row>
    <row r="69" customFormat="false" ht="15" hidden="false" customHeight="true" outlineLevel="0" collapsed="false">
      <c r="A69" s="102"/>
      <c r="B69" s="105" t="s">
        <v>5603</v>
      </c>
      <c r="C69" s="129" t="n">
        <f aca="false">1-SUMXMY2(H52:H64,I52:I64)/DEVSQ(H52:H64)</f>
        <v>0.969457974420596</v>
      </c>
      <c r="D69" s="102"/>
      <c r="E69" s="102"/>
      <c r="F69" s="102"/>
      <c r="G69" s="102"/>
      <c r="H69" s="102"/>
      <c r="I69" s="102"/>
      <c r="J69" s="102"/>
      <c r="K69" s="102"/>
      <c r="L69" s="102"/>
      <c r="M69" s="102"/>
      <c r="N69" s="102"/>
      <c r="O69" s="102"/>
    </row>
    <row r="70" customFormat="false" ht="15" hidden="false" customHeight="true" outlineLevel="0" collapsed="false">
      <c r="A70" s="102"/>
      <c r="B70" s="102"/>
      <c r="C70" s="102"/>
      <c r="D70" s="102"/>
      <c r="E70" s="102"/>
      <c r="F70" s="102"/>
      <c r="G70" s="102"/>
      <c r="H70" s="102"/>
      <c r="I70" s="102"/>
      <c r="J70" s="102"/>
      <c r="K70" s="102"/>
      <c r="L70" s="102"/>
      <c r="M70" s="102"/>
      <c r="N70" s="102"/>
      <c r="O70" s="102"/>
    </row>
    <row r="71" customFormat="false" ht="15.75" hidden="false" customHeight="true" outlineLevel="0" collapsed="false">
      <c r="A71" s="102"/>
      <c r="B71" s="103" t="s">
        <v>1493</v>
      </c>
      <c r="C71" s="104"/>
      <c r="D71" s="104"/>
      <c r="E71" s="104"/>
      <c r="F71" s="104"/>
      <c r="G71" s="104"/>
      <c r="H71" s="104"/>
      <c r="I71" s="104"/>
      <c r="J71" s="104"/>
      <c r="K71" s="104"/>
      <c r="L71" s="102"/>
      <c r="M71" s="102"/>
      <c r="N71" s="102"/>
      <c r="O71" s="102"/>
    </row>
    <row r="72" customFormat="false" ht="18.75" hidden="false" customHeight="true" outlineLevel="0" collapsed="false">
      <c r="A72" s="102"/>
      <c r="B72" s="105" t="s">
        <v>1494</v>
      </c>
      <c r="C72" s="117" t="str">
        <f aca="false">IF(C69&gt;=0.8,"Model fits well (R2 = "&amp;TEXT(C69,"0.000")&amp;"). Read the optimum from the grid below.","Model fit is weak (R2 = "&amp;TEXT(C69,"0.000")&amp;"). Check residuals on E-37 before trusting the optimum below.")</f>
        <v>Model fits well (R2 = 0.969). Read the optimum from the grid below.</v>
      </c>
      <c r="D72" s="117"/>
      <c r="E72" s="117"/>
      <c r="F72" s="102"/>
      <c r="G72" s="102"/>
      <c r="H72" s="102"/>
      <c r="I72" s="102"/>
      <c r="J72" s="102"/>
      <c r="K72" s="102"/>
      <c r="L72" s="102"/>
      <c r="M72" s="102"/>
      <c r="N72" s="102"/>
      <c r="O72" s="102"/>
    </row>
    <row r="73" customFormat="false" ht="15" hidden="false" customHeight="true" outlineLevel="0" collapsed="false">
      <c r="A73" s="102"/>
      <c r="B73" s="102"/>
      <c r="C73" s="102"/>
      <c r="D73" s="102"/>
      <c r="E73" s="102"/>
      <c r="F73" s="102"/>
      <c r="G73" s="102"/>
      <c r="H73" s="102"/>
      <c r="I73" s="102"/>
      <c r="J73" s="102"/>
      <c r="K73" s="102"/>
      <c r="L73" s="102"/>
      <c r="M73" s="102"/>
      <c r="N73" s="102"/>
      <c r="O73" s="102"/>
    </row>
    <row r="74" customFormat="false" ht="17.25" hidden="false" customHeight="true" outlineLevel="0" collapsed="false">
      <c r="A74" s="102"/>
      <c r="B74" s="108" t="s">
        <v>1495</v>
      </c>
      <c r="C74" s="108" t="s">
        <v>1496</v>
      </c>
      <c r="D74" s="108" t="s">
        <v>1497</v>
      </c>
      <c r="E74" s="108"/>
      <c r="F74" s="102"/>
      <c r="G74" s="102"/>
      <c r="H74" s="102"/>
      <c r="I74" s="102"/>
      <c r="J74" s="102"/>
      <c r="K74" s="102"/>
      <c r="L74" s="102"/>
      <c r="M74" s="102"/>
      <c r="N74" s="102"/>
      <c r="O74" s="102"/>
    </row>
    <row r="75" customFormat="false" ht="17.25" hidden="false" customHeight="true" outlineLevel="0" collapsed="false">
      <c r="A75" s="102"/>
      <c r="B75" s="110" t="s">
        <v>5604</v>
      </c>
      <c r="C75" s="111" t="s">
        <v>5605</v>
      </c>
      <c r="D75" s="15" t="s">
        <v>5606</v>
      </c>
      <c r="E75" s="15"/>
      <c r="F75" s="102"/>
      <c r="G75" s="102"/>
      <c r="H75" s="102"/>
      <c r="I75" s="102"/>
      <c r="J75" s="102"/>
      <c r="K75" s="102"/>
      <c r="L75" s="102"/>
      <c r="M75" s="102"/>
      <c r="N75" s="102"/>
      <c r="O75" s="102"/>
    </row>
    <row r="76" customFormat="false" ht="31.5" hidden="false" customHeight="true" outlineLevel="0" collapsed="false">
      <c r="A76" s="102"/>
      <c r="B76" s="110" t="s">
        <v>5607</v>
      </c>
      <c r="C76" s="111" t="s">
        <v>5608</v>
      </c>
      <c r="D76" s="15" t="s">
        <v>5609</v>
      </c>
      <c r="E76" s="15"/>
      <c r="F76" s="102"/>
      <c r="G76" s="102"/>
      <c r="H76" s="102"/>
      <c r="I76" s="102"/>
      <c r="J76" s="102"/>
      <c r="K76" s="102"/>
      <c r="L76" s="102"/>
      <c r="M76" s="102"/>
      <c r="N76" s="102"/>
      <c r="O76" s="102"/>
    </row>
    <row r="77" customFormat="false" ht="17.25" hidden="false" customHeight="true" outlineLevel="0" collapsed="false">
      <c r="A77" s="102"/>
      <c r="B77" s="110" t="s">
        <v>5610</v>
      </c>
      <c r="C77" s="111" t="s">
        <v>5611</v>
      </c>
      <c r="D77" s="15" t="s">
        <v>5612</v>
      </c>
      <c r="E77" s="15"/>
      <c r="F77" s="102"/>
      <c r="G77" s="102"/>
      <c r="H77" s="102"/>
      <c r="I77" s="102"/>
      <c r="J77" s="102"/>
      <c r="K77" s="102"/>
      <c r="L77" s="102"/>
      <c r="M77" s="102"/>
      <c r="N77" s="102"/>
      <c r="O77" s="102"/>
    </row>
    <row r="78" customFormat="false" ht="15" hidden="false" customHeight="true" outlineLevel="0" collapsed="false">
      <c r="A78" s="102"/>
      <c r="B78" s="102"/>
      <c r="C78" s="102"/>
      <c r="D78" s="102"/>
      <c r="E78" s="102"/>
      <c r="F78" s="102"/>
      <c r="G78" s="102"/>
      <c r="H78" s="102"/>
      <c r="I78" s="102"/>
      <c r="J78" s="102"/>
      <c r="K78" s="102"/>
      <c r="L78" s="102"/>
      <c r="M78" s="102"/>
      <c r="N78" s="102"/>
      <c r="O78" s="102"/>
    </row>
    <row r="79" customFormat="false" ht="15" hidden="false" customHeight="true" outlineLevel="0" collapsed="false">
      <c r="A79" s="102"/>
      <c r="B79" s="105" t="s">
        <v>1507</v>
      </c>
      <c r="C79" s="102"/>
      <c r="D79" s="102"/>
      <c r="E79" s="102"/>
      <c r="F79" s="102"/>
      <c r="G79" s="102"/>
      <c r="H79" s="102"/>
      <c r="I79" s="102"/>
      <c r="J79" s="102"/>
      <c r="K79" s="102"/>
      <c r="L79" s="102"/>
      <c r="M79" s="102"/>
      <c r="N79" s="102"/>
      <c r="O79" s="102"/>
    </row>
    <row r="80" customFormat="false" ht="17.25" hidden="false" customHeight="true" outlineLevel="0" collapsed="false">
      <c r="A80" s="102"/>
      <c r="B80" s="106" t="s">
        <v>5613</v>
      </c>
      <c r="C80" s="106"/>
      <c r="D80" s="106"/>
      <c r="E80" s="106"/>
      <c r="F80" s="106"/>
      <c r="G80" s="106"/>
      <c r="H80" s="106"/>
      <c r="I80" s="102"/>
      <c r="J80" s="102"/>
      <c r="K80" s="102"/>
      <c r="L80" s="102"/>
      <c r="M80" s="102"/>
      <c r="N80" s="102"/>
      <c r="O80" s="102"/>
    </row>
    <row r="81" customFormat="false" ht="17.25" hidden="false" customHeight="true" outlineLevel="0" collapsed="false">
      <c r="A81" s="102"/>
      <c r="B81" s="106" t="s">
        <v>5614</v>
      </c>
      <c r="C81" s="106"/>
      <c r="D81" s="106"/>
      <c r="E81" s="106"/>
      <c r="F81" s="106"/>
      <c r="G81" s="106"/>
      <c r="H81" s="106"/>
      <c r="I81" s="102"/>
      <c r="J81" s="102"/>
      <c r="K81" s="102"/>
      <c r="L81" s="102"/>
      <c r="M81" s="102"/>
      <c r="N81" s="102"/>
      <c r="O81" s="102"/>
    </row>
    <row r="82" customFormat="false" ht="17.25" hidden="false" customHeight="true" outlineLevel="0" collapsed="false">
      <c r="A82" s="102"/>
      <c r="B82" s="106" t="s">
        <v>5615</v>
      </c>
      <c r="C82" s="106"/>
      <c r="D82" s="106"/>
      <c r="E82" s="106"/>
      <c r="F82" s="106"/>
      <c r="G82" s="106"/>
      <c r="H82" s="106"/>
      <c r="I82" s="102"/>
      <c r="J82" s="102"/>
      <c r="K82" s="102"/>
      <c r="L82" s="102"/>
      <c r="M82" s="102"/>
      <c r="N82" s="102"/>
      <c r="O82" s="102"/>
    </row>
    <row r="83" customFormat="false" ht="17.25" hidden="false" customHeight="true" outlineLevel="0" collapsed="false">
      <c r="A83" s="102"/>
      <c r="B83" s="106" t="s">
        <v>5616</v>
      </c>
      <c r="C83" s="106"/>
      <c r="D83" s="106"/>
      <c r="E83" s="106"/>
      <c r="F83" s="106"/>
      <c r="G83" s="106"/>
      <c r="H83" s="106"/>
      <c r="I83" s="102"/>
      <c r="J83" s="102"/>
      <c r="K83" s="102"/>
      <c r="L83" s="102"/>
      <c r="M83" s="102"/>
      <c r="N83" s="102"/>
      <c r="O83" s="102"/>
    </row>
    <row r="84" customFormat="false" ht="15" hidden="false" customHeight="true" outlineLevel="0" collapsed="false">
      <c r="A84" s="102"/>
      <c r="B84" s="102"/>
      <c r="C84" s="102"/>
      <c r="D84" s="102"/>
      <c r="E84" s="102"/>
      <c r="F84" s="102"/>
      <c r="G84" s="102"/>
      <c r="H84" s="102"/>
      <c r="I84" s="102"/>
      <c r="J84" s="102"/>
      <c r="K84" s="102"/>
      <c r="L84" s="102"/>
      <c r="M84" s="102"/>
      <c r="N84" s="102"/>
      <c r="O84" s="102"/>
    </row>
    <row r="85" customFormat="false" ht="15.75" hidden="false" customHeight="true" outlineLevel="0" collapsed="false">
      <c r="A85" s="102"/>
      <c r="B85" s="103" t="s">
        <v>5617</v>
      </c>
      <c r="C85" s="104"/>
      <c r="D85" s="104"/>
      <c r="E85" s="104"/>
      <c r="F85" s="104"/>
      <c r="G85" s="104"/>
      <c r="H85" s="104"/>
      <c r="I85" s="104"/>
      <c r="J85" s="104"/>
      <c r="K85" s="104"/>
      <c r="L85" s="102"/>
      <c r="M85" s="102"/>
      <c r="N85" s="102"/>
      <c r="O85" s="102"/>
    </row>
    <row r="86" customFormat="false" ht="15" hidden="false" customHeight="true" outlineLevel="0" collapsed="false">
      <c r="A86" s="102"/>
      <c r="B86" s="102"/>
      <c r="C86" s="110" t="s">
        <v>5618</v>
      </c>
      <c r="D86" s="139" t="n">
        <v>-1.5</v>
      </c>
      <c r="E86" s="139" t="n">
        <v>-1</v>
      </c>
      <c r="F86" s="139" t="n">
        <v>-0.5</v>
      </c>
      <c r="G86" s="139" t="n">
        <v>0</v>
      </c>
      <c r="H86" s="139" t="n">
        <v>0.5</v>
      </c>
      <c r="I86" s="139" t="n">
        <v>1</v>
      </c>
      <c r="J86" s="139" t="n">
        <v>1.5</v>
      </c>
      <c r="K86" s="140" t="s">
        <v>5619</v>
      </c>
      <c r="L86" s="102"/>
      <c r="M86" s="102"/>
      <c r="N86" s="102"/>
      <c r="O86" s="102"/>
    </row>
    <row r="87" customFormat="false" ht="15" hidden="false" customHeight="true" outlineLevel="0" collapsed="false">
      <c r="A87" s="102"/>
      <c r="B87" s="102"/>
      <c r="C87" s="139" t="n">
        <v>-1.5</v>
      </c>
      <c r="D87" s="133" t="n">
        <f aca="false">$H$67+$G$67*D$86+$F$67*$C87+$E$67*D$86^2+$D$67*$C87^2+$C$67*D$86*$C87</f>
        <v>80.1827328339741</v>
      </c>
      <c r="E87" s="133" t="n">
        <f aca="false">$H$67+$G$67*E$86+$F$67*$C87+$E$67*E$86^2+$D$67*$C87^2+$C$67*E$86*$C87</f>
        <v>83.2766474778195</v>
      </c>
      <c r="F87" s="133" t="n">
        <f aca="false">$H$67+$G$67*F$86+$F$67*$C87+$E$67*F$86^2+$D$67*$C87^2+$C$67*F$86*$C87</f>
        <v>85.4285797647353</v>
      </c>
      <c r="G87" s="133" t="n">
        <f aca="false">$H$67+$G$67*G$86+$F$67*$C87+$E$67*G$86^2+$D$67*$C87^2+$C$67*G$86*$C87</f>
        <v>86.6385296947216</v>
      </c>
      <c r="H87" s="133" t="n">
        <f aca="false">$H$67+$G$67*H$86+$F$67*$C87+$E$67*H$86^2+$D$67*$C87^2+$C$67*H$86*$C87</f>
        <v>86.9064972677783</v>
      </c>
      <c r="I87" s="133" t="n">
        <f aca="false">$H$67+$G$67*I$86+$F$67*$C87+$E$67*I$86^2+$D$67*$C87^2+$C$67*I$86*$C87</f>
        <v>86.2324824839054</v>
      </c>
      <c r="J87" s="133" t="n">
        <f aca="false">$H$67+$G$67*J$86+$F$67*$C87+$E$67*J$86^2+$D$67*$C87^2+$C$67*J$86*$C87</f>
        <v>84.616485343103</v>
      </c>
      <c r="K87" s="133" t="n">
        <f aca="false">MAX(D87:J87)</f>
        <v>86.9064972677783</v>
      </c>
      <c r="L87" s="102"/>
      <c r="M87" s="102"/>
      <c r="N87" s="102"/>
      <c r="O87" s="102"/>
    </row>
    <row r="88" customFormat="false" ht="15" hidden="false" customHeight="true" outlineLevel="0" collapsed="false">
      <c r="A88" s="102"/>
      <c r="B88" s="102"/>
      <c r="C88" s="139" t="n">
        <v>-1</v>
      </c>
      <c r="D88" s="133" t="n">
        <f aca="false">$H$67+$G$67*D$86+$F$67*$C88+$E$67*D$86^2+$D$67*$C88^2+$C$67*D$86*$C88</f>
        <v>82.6488993668018</v>
      </c>
      <c r="E88" s="133" t="n">
        <f aca="false">$H$67+$G$67*E$86+$F$67*$C88+$E$67*E$86^2+$D$67*$C88^2+$C$67*E$86*$C88</f>
        <v>85.7365640106471</v>
      </c>
      <c r="F88" s="133" t="n">
        <f aca="false">$H$67+$G$67*F$86+$F$67*$C88+$E$67*F$86^2+$D$67*$C88^2+$C$67*F$86*$C88</f>
        <v>87.882246297563</v>
      </c>
      <c r="G88" s="133" t="n">
        <f aca="false">$H$67+$G$67*G$86+$F$67*$C88+$E$67*G$86^2+$D$67*$C88^2+$C$67*G$86*$C88</f>
        <v>89.0859462275492</v>
      </c>
      <c r="H88" s="133" t="n">
        <f aca="false">$H$67+$G$67*H$86+$F$67*$C88+$E$67*H$86^2+$D$67*$C88^2+$C$67*H$86*$C88</f>
        <v>89.3476638006059</v>
      </c>
      <c r="I88" s="133" t="n">
        <f aca="false">$H$67+$G$67*I$86+$F$67*$C88+$E$67*I$86^2+$D$67*$C88^2+$C$67*I$86*$C88</f>
        <v>88.6673990167331</v>
      </c>
      <c r="J88" s="133" t="n">
        <f aca="false">$H$67+$G$67*J$86+$F$67*$C88+$E$67*J$86^2+$D$67*$C88^2+$C$67*J$86*$C88</f>
        <v>87.0451518759307</v>
      </c>
      <c r="K88" s="133" t="n">
        <f aca="false">MAX(D88:J88)</f>
        <v>89.3476638006059</v>
      </c>
      <c r="L88" s="102"/>
      <c r="M88" s="102"/>
      <c r="N88" s="102"/>
      <c r="O88" s="102"/>
    </row>
    <row r="89" customFormat="false" ht="15" hidden="false" customHeight="true" outlineLevel="0" collapsed="false">
      <c r="A89" s="102"/>
      <c r="B89" s="102"/>
      <c r="C89" s="139" t="n">
        <v>-0.5</v>
      </c>
      <c r="D89" s="133" t="n">
        <f aca="false">$H$67+$G$67*D$86+$F$67*$C89+$E$67*D$86^2+$D$67*$C89^2+$C$67*D$86*$C89</f>
        <v>84.2481061995422</v>
      </c>
      <c r="E89" s="133" t="n">
        <f aca="false">$H$67+$G$67*E$86+$F$67*$C89+$E$67*E$86^2+$D$67*$C89^2+$C$67*E$86*$C89</f>
        <v>87.3295208433876</v>
      </c>
      <c r="F89" s="133" t="n">
        <f aca="false">$H$67+$G$67*F$86+$F$67*$C89+$E$67*F$86^2+$D$67*$C89^2+$C$67*F$86*$C89</f>
        <v>89.4689531303034</v>
      </c>
      <c r="G89" s="133" t="n">
        <f aca="false">$H$67+$G$67*G$86+$F$67*$C89+$E$67*G$86^2+$D$67*$C89^2+$C$67*G$86*$C89</f>
        <v>90.6664030602897</v>
      </c>
      <c r="H89" s="133" t="n">
        <f aca="false">$H$67+$G$67*H$86+$F$67*$C89+$E$67*H$86^2+$D$67*$C89^2+$C$67*H$86*$C89</f>
        <v>90.9218706333464</v>
      </c>
      <c r="I89" s="133" t="n">
        <f aca="false">$H$67+$G$67*I$86+$F$67*$C89+$E$67*I$86^2+$D$67*$C89^2+$C$67*I$86*$C89</f>
        <v>90.2353558494735</v>
      </c>
      <c r="J89" s="133" t="n">
        <f aca="false">$H$67+$G$67*J$86+$F$67*$C89+$E$67*J$86^2+$D$67*$C89^2+$C$67*J$86*$C89</f>
        <v>88.6068587086711</v>
      </c>
      <c r="K89" s="133" t="n">
        <f aca="false">MAX(D89:J89)</f>
        <v>90.9218706333464</v>
      </c>
      <c r="L89" s="102"/>
      <c r="M89" s="102"/>
      <c r="N89" s="102"/>
      <c r="O89" s="102"/>
    </row>
    <row r="90" customFormat="false" ht="15" hidden="false" customHeight="true" outlineLevel="0" collapsed="false">
      <c r="A90" s="102"/>
      <c r="B90" s="102"/>
      <c r="C90" s="139" t="n">
        <v>0</v>
      </c>
      <c r="D90" s="133" t="n">
        <f aca="false">$H$67+$G$67*D$86+$F$67*$C90+$E$67*D$86^2+$D$67*$C90^2+$C$67*D$86*$C90</f>
        <v>84.9803533321955</v>
      </c>
      <c r="E90" s="133" t="n">
        <f aca="false">$H$67+$G$67*E$86+$F$67*$C90+$E$67*E$86^2+$D$67*$C90^2+$C$67*E$86*$C90</f>
        <v>88.0555179760409</v>
      </c>
      <c r="F90" s="133" t="n">
        <f aca="false">$H$67+$G$67*F$86+$F$67*$C90+$E$67*F$86^2+$D$67*$C90^2+$C$67*F$86*$C90</f>
        <v>90.1887002629567</v>
      </c>
      <c r="G90" s="133" t="n">
        <f aca="false">$H$67+$G$67*G$86+$F$67*$C90+$E$67*G$86^2+$D$67*$C90^2+$C$67*G$86*$C90</f>
        <v>91.3799001929429</v>
      </c>
      <c r="H90" s="133" t="n">
        <f aca="false">$H$67+$G$67*H$86+$F$67*$C90+$E$67*H$86^2+$D$67*$C90^2+$C$67*H$86*$C90</f>
        <v>91.6291177659997</v>
      </c>
      <c r="I90" s="133" t="n">
        <f aca="false">$H$67+$G$67*I$86+$F$67*$C90+$E$67*I$86^2+$D$67*$C90^2+$C$67*I$86*$C90</f>
        <v>90.9363529821268</v>
      </c>
      <c r="J90" s="133" t="n">
        <f aca="false">$H$67+$G$67*J$86+$F$67*$C90+$E$67*J$86^2+$D$67*$C90^2+$C$67*J$86*$C90</f>
        <v>89.3016058413244</v>
      </c>
      <c r="K90" s="133" t="n">
        <f aca="false">MAX(D90:J90)</f>
        <v>91.6291177659997</v>
      </c>
      <c r="L90" s="102"/>
      <c r="M90" s="102"/>
      <c r="N90" s="102"/>
      <c r="O90" s="102"/>
    </row>
    <row r="91" customFormat="false" ht="15" hidden="false" customHeight="true" outlineLevel="0" collapsed="false">
      <c r="A91" s="102"/>
      <c r="B91" s="102"/>
      <c r="C91" s="139" t="n">
        <v>0.5</v>
      </c>
      <c r="D91" s="133" t="n">
        <f aca="false">$H$67+$G$67*D$86+$F$67*$C91+$E$67*D$86^2+$D$67*$C91^2+$C$67*D$86*$C91</f>
        <v>84.8456407647616</v>
      </c>
      <c r="E91" s="133" t="n">
        <f aca="false">$H$67+$G$67*E$86+$F$67*$C91+$E$67*E$86^2+$D$67*$C91^2+$C$67*E$86*$C91</f>
        <v>87.9145554086069</v>
      </c>
      <c r="F91" s="133" t="n">
        <f aca="false">$H$67+$G$67*F$86+$F$67*$C91+$E$67*F$86^2+$D$67*$C91^2+$C$67*F$86*$C91</f>
        <v>90.0414876955228</v>
      </c>
      <c r="G91" s="133" t="n">
        <f aca="false">$H$67+$G$67*G$86+$F$67*$C91+$E$67*G$86^2+$D$67*$C91^2+$C$67*G$86*$C91</f>
        <v>91.226437625509</v>
      </c>
      <c r="H91" s="133" t="n">
        <f aca="false">$H$67+$G$67*H$86+$F$67*$C91+$E$67*H$86^2+$D$67*$C91^2+$C$67*H$86*$C91</f>
        <v>91.4694051985657</v>
      </c>
      <c r="I91" s="133" t="n">
        <f aca="false">$H$67+$G$67*I$86+$F$67*$C91+$E$67*I$86^2+$D$67*$C91^2+$C$67*I$86*$C91</f>
        <v>90.7703904146929</v>
      </c>
      <c r="J91" s="133" t="n">
        <f aca="false">$H$67+$G$67*J$86+$F$67*$C91+$E$67*J$86^2+$D$67*$C91^2+$C$67*J$86*$C91</f>
        <v>89.1293932738905</v>
      </c>
      <c r="K91" s="133" t="n">
        <f aca="false">MAX(D91:J91)</f>
        <v>91.4694051985657</v>
      </c>
      <c r="L91" s="102"/>
      <c r="M91" s="102"/>
      <c r="N91" s="102"/>
      <c r="O91" s="102"/>
    </row>
    <row r="92" customFormat="false" ht="15" hidden="false" customHeight="true" outlineLevel="0" collapsed="false">
      <c r="A92" s="102"/>
      <c r="B92" s="102"/>
      <c r="C92" s="139" t="n">
        <v>1</v>
      </c>
      <c r="D92" s="133" t="n">
        <f aca="false">$H$67+$G$67*D$86+$F$67*$C92+$E$67*D$86^2+$D$67*$C92^2+$C$67*D$86*$C92</f>
        <v>83.8439684972405</v>
      </c>
      <c r="E92" s="133" t="n">
        <f aca="false">$H$67+$G$67*E$86+$F$67*$C92+$E$67*E$86^2+$D$67*$C92^2+$C$67*E$86*$C92</f>
        <v>86.9066331410859</v>
      </c>
      <c r="F92" s="133" t="n">
        <f aca="false">$H$67+$G$67*F$86+$F$67*$C92+$E$67*F$86^2+$D$67*$C92^2+$C$67*F$86*$C92</f>
        <v>89.0273154280017</v>
      </c>
      <c r="G92" s="133" t="n">
        <f aca="false">$H$67+$G$67*G$86+$F$67*$C92+$E$67*G$86^2+$D$67*$C92^2+$C$67*G$86*$C92</f>
        <v>90.2060153579879</v>
      </c>
      <c r="H92" s="133" t="n">
        <f aca="false">$H$67+$G$67*H$86+$F$67*$C92+$E$67*H$86^2+$D$67*$C92^2+$C$67*H$86*$C92</f>
        <v>90.4427329310446</v>
      </c>
      <c r="I92" s="133" t="n">
        <f aca="false">$H$67+$G$67*I$86+$F$67*$C92+$E$67*I$86^2+$D$67*$C92^2+$C$67*I$86*$C92</f>
        <v>89.7374681471718</v>
      </c>
      <c r="J92" s="133" t="n">
        <f aca="false">$H$67+$G$67*J$86+$F$67*$C92+$E$67*J$86^2+$D$67*$C92^2+$C$67*J$86*$C92</f>
        <v>88.0902210063694</v>
      </c>
      <c r="K92" s="133" t="n">
        <f aca="false">MAX(D92:J92)</f>
        <v>90.4427329310446</v>
      </c>
      <c r="L92" s="102"/>
      <c r="M92" s="102"/>
      <c r="N92" s="102"/>
      <c r="O92" s="102"/>
    </row>
    <row r="93" customFormat="false" ht="15" hidden="false" customHeight="true" outlineLevel="0" collapsed="false">
      <c r="A93" s="102"/>
      <c r="B93" s="102"/>
      <c r="C93" s="139" t="n">
        <v>1.5</v>
      </c>
      <c r="D93" s="133" t="n">
        <f aca="false">$H$67+$G$67*D$86+$F$67*$C93+$E$67*D$86^2+$D$67*$C93^2+$C$67*D$86*$C93</f>
        <v>81.9753365296322</v>
      </c>
      <c r="E93" s="133" t="n">
        <f aca="false">$H$67+$G$67*E$86+$F$67*$C93+$E$67*E$86^2+$D$67*$C93^2+$C$67*E$86*$C93</f>
        <v>85.0317511734775</v>
      </c>
      <c r="F93" s="133" t="n">
        <f aca="false">$H$67+$G$67*F$86+$F$67*$C93+$E$67*F$86^2+$D$67*$C93^2+$C$67*F$86*$C93</f>
        <v>87.1461834603934</v>
      </c>
      <c r="G93" s="133" t="n">
        <f aca="false">$H$67+$G$67*G$86+$F$67*$C93+$E$67*G$86^2+$D$67*$C93^2+$C$67*G$86*$C93</f>
        <v>88.3186333903796</v>
      </c>
      <c r="H93" s="133" t="n">
        <f aca="false">$H$67+$G$67*H$86+$F$67*$C93+$E$67*H$86^2+$D$67*$C93^2+$C$67*H$86*$C93</f>
        <v>88.5491009634363</v>
      </c>
      <c r="I93" s="133" t="n">
        <f aca="false">$H$67+$G$67*I$86+$F$67*$C93+$E$67*I$86^2+$D$67*$C93^2+$C$67*I$86*$C93</f>
        <v>87.8375861795634</v>
      </c>
      <c r="J93" s="133" t="n">
        <f aca="false">$H$67+$G$67*J$86+$F$67*$C93+$E$67*J$86^2+$D$67*$C93^2+$C$67*J$86*$C93</f>
        <v>86.184089038761</v>
      </c>
      <c r="K93" s="133" t="n">
        <f aca="false">MAX(D93:J93)</f>
        <v>88.5491009634363</v>
      </c>
      <c r="L93" s="102"/>
      <c r="M93" s="102"/>
      <c r="N93" s="102"/>
      <c r="O93" s="102"/>
    </row>
    <row r="94" customFormat="false" ht="15" hidden="false" customHeight="true" outlineLevel="0" collapsed="false">
      <c r="A94" s="102"/>
      <c r="B94" s="102"/>
      <c r="C94" s="102"/>
      <c r="D94" s="102"/>
      <c r="E94" s="102"/>
      <c r="F94" s="102"/>
      <c r="G94" s="102"/>
      <c r="H94" s="102"/>
      <c r="I94" s="102"/>
      <c r="J94" s="102"/>
      <c r="K94" s="102"/>
      <c r="L94" s="102"/>
      <c r="M94" s="102"/>
      <c r="N94" s="102"/>
      <c r="O94" s="102"/>
    </row>
    <row r="95" customFormat="false" ht="15" hidden="false" customHeight="true" outlineLevel="0" collapsed="false">
      <c r="A95" s="102"/>
      <c r="B95" s="105" t="s">
        <v>5620</v>
      </c>
      <c r="C95" s="102"/>
      <c r="D95" s="102"/>
      <c r="E95" s="102"/>
      <c r="F95" s="102"/>
      <c r="G95" s="102"/>
      <c r="H95" s="102"/>
      <c r="I95" s="102"/>
      <c r="J95" s="102"/>
      <c r="K95" s="102"/>
      <c r="L95" s="102"/>
      <c r="M95" s="102"/>
      <c r="N95" s="102"/>
      <c r="O95" s="102"/>
    </row>
    <row r="96" customFormat="false" ht="15" hidden="false" customHeight="true" outlineLevel="0" collapsed="false">
      <c r="A96" s="102"/>
      <c r="B96" s="105" t="s">
        <v>5621</v>
      </c>
      <c r="C96" s="133" t="n">
        <f aca="false">MAX(K87:K93)</f>
        <v>91.6291177659997</v>
      </c>
      <c r="D96" s="102"/>
      <c r="E96" s="102"/>
      <c r="F96" s="102"/>
      <c r="G96" s="102"/>
      <c r="H96" s="102"/>
      <c r="I96" s="102"/>
      <c r="J96" s="102"/>
      <c r="K96" s="102"/>
      <c r="L96" s="102"/>
      <c r="M96" s="102"/>
      <c r="N96" s="102"/>
      <c r="O96" s="102"/>
    </row>
    <row r="97" customFormat="false" ht="15" hidden="false" customHeight="true" outlineLevel="0" collapsed="false">
      <c r="A97" s="102"/>
      <c r="B97" s="105" t="s">
        <v>5622</v>
      </c>
      <c r="C97" s="133" t="n">
        <f aca="false">INDEX($C$87:$C$93,MATCH(C96,K87:K93,0))</f>
        <v>0</v>
      </c>
      <c r="D97" s="102"/>
      <c r="E97" s="102"/>
      <c r="F97" s="102"/>
      <c r="G97" s="102"/>
      <c r="H97" s="102"/>
      <c r="I97" s="102"/>
      <c r="J97" s="102"/>
      <c r="K97" s="102"/>
      <c r="L97" s="102"/>
      <c r="M97" s="102"/>
      <c r="N97" s="102"/>
      <c r="O97" s="102"/>
    </row>
    <row r="98" customFormat="false" ht="15" hidden="false" customHeight="true" outlineLevel="0" collapsed="false">
      <c r="A98" s="102"/>
      <c r="B98" s="105" t="s">
        <v>5623</v>
      </c>
      <c r="C98" s="133" t="n">
        <f aca="false">INDEX($D$86:$J$86,MATCH(C96,INDEX($D$87:$J$93,MATCH(C97,$C$87:$C$93,0),0),0))</f>
        <v>0.5</v>
      </c>
      <c r="D98" s="102"/>
      <c r="E98" s="102"/>
      <c r="F98" s="102"/>
      <c r="G98" s="102"/>
      <c r="H98" s="102"/>
      <c r="I98" s="102"/>
      <c r="J98" s="102"/>
      <c r="K98" s="102"/>
      <c r="L98" s="102"/>
      <c r="M98" s="102"/>
      <c r="N98" s="102"/>
      <c r="O98" s="102"/>
    </row>
    <row r="99" customFormat="false" ht="15" hidden="false" customHeight="true" outlineLevel="0" collapsed="false">
      <c r="A99" s="102"/>
      <c r="B99" s="102"/>
      <c r="C99" s="102"/>
      <c r="D99" s="102"/>
      <c r="E99" s="102"/>
      <c r="F99" s="102"/>
      <c r="G99" s="102"/>
      <c r="H99" s="102"/>
      <c r="I99" s="102"/>
      <c r="J99" s="102"/>
      <c r="K99" s="102"/>
      <c r="L99" s="102"/>
      <c r="M99" s="102"/>
      <c r="N99" s="102"/>
      <c r="O99" s="102"/>
    </row>
    <row r="100" customFormat="false" ht="15" hidden="false" customHeight="true" outlineLevel="0" collapsed="false">
      <c r="A100" s="102"/>
      <c r="B100" s="102"/>
      <c r="C100" s="102"/>
      <c r="D100" s="102"/>
      <c r="E100" s="102"/>
      <c r="F100" s="102"/>
      <c r="G100" s="102"/>
      <c r="H100" s="102"/>
      <c r="I100" s="102"/>
      <c r="J100" s="102"/>
      <c r="K100" s="102"/>
      <c r="L100" s="102"/>
      <c r="M100" s="102"/>
      <c r="N100" s="102"/>
      <c r="O100" s="102"/>
    </row>
    <row r="101" customFormat="false" ht="15" hidden="false" customHeight="true" outlineLevel="0" collapsed="false">
      <c r="A101" s="102"/>
      <c r="B101" s="102"/>
      <c r="C101" s="102"/>
      <c r="D101" s="102"/>
      <c r="E101" s="102"/>
      <c r="F101" s="102"/>
      <c r="G101" s="102"/>
      <c r="H101" s="102"/>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8" hidden="false" customHeight="true" outlineLevel="0" collapsed="false">
      <c r="A118" s="102"/>
      <c r="B118" s="103" t="s">
        <v>1513</v>
      </c>
      <c r="C118" s="104"/>
      <c r="D118" s="104"/>
      <c r="E118" s="104"/>
      <c r="F118" s="104"/>
      <c r="G118" s="104"/>
      <c r="H118" s="104"/>
      <c r="I118" s="104"/>
      <c r="J118" s="104"/>
      <c r="K118" s="104"/>
      <c r="L118" s="102"/>
      <c r="M118" s="102"/>
      <c r="N118" s="102"/>
      <c r="O118" s="102"/>
    </row>
    <row r="119" customFormat="false" ht="17.25" hidden="false" customHeight="true" outlineLevel="0" collapsed="false">
      <c r="A119" s="102"/>
      <c r="B119" s="118" t="s">
        <v>1514</v>
      </c>
      <c r="C119" s="118"/>
      <c r="D119" s="118"/>
      <c r="E119" s="118"/>
      <c r="F119" s="102"/>
      <c r="G119" s="102"/>
      <c r="H119" s="102"/>
      <c r="I119" s="102"/>
      <c r="J119" s="102"/>
      <c r="K119" s="102"/>
      <c r="L119" s="102"/>
      <c r="M119" s="102"/>
      <c r="N119" s="119" t="s">
        <v>1515</v>
      </c>
      <c r="O119" s="102"/>
    </row>
    <row r="120" customFormat="false" ht="58.5" hidden="false" customHeight="true" outlineLevel="0" collapsed="false">
      <c r="A120" s="102"/>
      <c r="B120" s="106" t="s">
        <v>5624</v>
      </c>
      <c r="C120" s="106"/>
      <c r="D120" s="106"/>
      <c r="E120" s="106"/>
      <c r="F120" s="102"/>
      <c r="G120" s="102"/>
      <c r="H120" s="102"/>
      <c r="I120" s="102"/>
      <c r="J120" s="102"/>
      <c r="K120" s="102"/>
      <c r="L120" s="102"/>
      <c r="M120" s="102"/>
      <c r="N120" s="120" t="s">
        <v>5625</v>
      </c>
      <c r="O120" s="102"/>
    </row>
    <row r="121" customFormat="false" ht="44.25" hidden="false" customHeight="true" outlineLevel="0" collapsed="false">
      <c r="A121" s="102"/>
      <c r="B121" s="106" t="s">
        <v>5626</v>
      </c>
      <c r="C121" s="106"/>
      <c r="D121" s="106"/>
      <c r="E121" s="106"/>
      <c r="F121" s="102"/>
      <c r="G121" s="102"/>
      <c r="H121" s="102"/>
      <c r="I121" s="102"/>
      <c r="J121" s="102"/>
      <c r="K121" s="102"/>
      <c r="L121" s="102"/>
      <c r="M121" s="102"/>
      <c r="N121" s="120" t="s">
        <v>5627</v>
      </c>
      <c r="O121" s="102"/>
    </row>
    <row r="122" customFormat="false" ht="44.25" hidden="false" customHeight="true" outlineLevel="0" collapsed="false">
      <c r="A122" s="102"/>
      <c r="B122" s="106" t="s">
        <v>5628</v>
      </c>
      <c r="C122" s="106"/>
      <c r="D122" s="106"/>
      <c r="E122" s="106"/>
      <c r="F122" s="102"/>
      <c r="G122" s="102"/>
      <c r="H122" s="102"/>
      <c r="I122" s="102"/>
      <c r="J122" s="102"/>
      <c r="K122" s="102"/>
      <c r="L122" s="102"/>
      <c r="M122" s="102"/>
      <c r="N122" s="120" t="s">
        <v>5629</v>
      </c>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75" hidden="false" customHeight="true" outlineLevel="0" collapsed="false">
      <c r="A124" s="102"/>
      <c r="B124" s="103" t="s">
        <v>1522</v>
      </c>
      <c r="C124" s="104"/>
      <c r="D124" s="104"/>
      <c r="E124" s="104"/>
      <c r="F124" s="104"/>
      <c r="G124" s="104"/>
      <c r="H124" s="104"/>
      <c r="I124" s="104"/>
      <c r="J124" s="104"/>
      <c r="K124" s="104"/>
      <c r="L124" s="102"/>
      <c r="M124" s="102"/>
      <c r="N124" s="102"/>
      <c r="O124" s="102"/>
    </row>
    <row r="125" customFormat="false" ht="16.5" hidden="false" customHeight="true" outlineLevel="0" collapsed="false">
      <c r="A125" s="102"/>
      <c r="B125" s="108" t="s">
        <v>1523</v>
      </c>
      <c r="C125" s="108" t="s">
        <v>1524</v>
      </c>
      <c r="D125" s="108" t="s">
        <v>1615</v>
      </c>
      <c r="E125" s="102"/>
      <c r="F125" s="102"/>
      <c r="G125" s="102"/>
      <c r="H125" s="102"/>
      <c r="I125" s="102"/>
      <c r="J125" s="102"/>
      <c r="K125" s="102"/>
      <c r="L125" s="102"/>
      <c r="M125" s="102"/>
      <c r="N125" s="102"/>
      <c r="O125" s="102"/>
    </row>
    <row r="126" customFormat="false" ht="15" hidden="false" customHeight="true" outlineLevel="0" collapsed="false">
      <c r="A126" s="102"/>
      <c r="B126" s="121" t="s">
        <v>5252</v>
      </c>
      <c r="C126" s="121" t="s">
        <v>4633</v>
      </c>
      <c r="D126" s="121" t="s">
        <v>4724</v>
      </c>
      <c r="E126" s="102"/>
      <c r="F126" s="102"/>
      <c r="G126" s="102"/>
      <c r="H126" s="102"/>
      <c r="I126" s="102"/>
      <c r="J126" s="102"/>
      <c r="K126" s="102"/>
      <c r="L126" s="102"/>
      <c r="M126" s="102"/>
      <c r="N126" s="102"/>
      <c r="O126" s="102"/>
    </row>
    <row r="127" customFormat="false" ht="15" hidden="false" customHeight="true" outlineLevel="0" collapsed="false">
      <c r="A127" s="102"/>
      <c r="B127" s="102"/>
      <c r="C127" s="102"/>
      <c r="D127" s="102"/>
      <c r="E127" s="102"/>
      <c r="F127" s="102"/>
      <c r="G127" s="102"/>
      <c r="H127" s="102"/>
      <c r="I127" s="102"/>
      <c r="J127" s="102"/>
      <c r="K127" s="102"/>
      <c r="L127" s="102"/>
      <c r="M127" s="102"/>
      <c r="N127" s="102"/>
      <c r="O127" s="102"/>
    </row>
    <row r="128" customFormat="false" ht="15" hidden="false" customHeight="true" outlineLevel="0" collapsed="false">
      <c r="A128" s="102"/>
      <c r="B128" s="102"/>
      <c r="C128" s="102"/>
      <c r="D128" s="102"/>
      <c r="E128" s="102"/>
      <c r="F128" s="102"/>
      <c r="G128" s="102"/>
      <c r="H128" s="102"/>
      <c r="I128" s="102"/>
      <c r="J128" s="102"/>
      <c r="K128" s="102"/>
      <c r="L128" s="102"/>
      <c r="M128" s="102"/>
      <c r="N128" s="102"/>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5" hidden="false" customHeight="true" outlineLevel="0" collapsed="false">
      <c r="A130" s="102"/>
      <c r="B130" s="102"/>
      <c r="C130" s="102"/>
      <c r="D130" s="102"/>
      <c r="E130" s="102"/>
      <c r="F130" s="102"/>
      <c r="G130" s="102"/>
      <c r="H130" s="102"/>
      <c r="I130" s="102"/>
      <c r="J130" s="102"/>
      <c r="K130" s="102"/>
      <c r="L130" s="102"/>
      <c r="M130" s="102"/>
      <c r="N130" s="102"/>
      <c r="O130" s="102"/>
    </row>
    <row r="131" customFormat="false" ht="15" hidden="false" customHeight="true" outlineLevel="0" collapsed="false">
      <c r="A131" s="102"/>
      <c r="B131" s="102"/>
      <c r="C131" s="102"/>
      <c r="D131" s="102"/>
      <c r="E131" s="102"/>
      <c r="F131" s="102"/>
      <c r="G131" s="102"/>
      <c r="H131" s="102"/>
      <c r="I131" s="102"/>
      <c r="J131" s="102"/>
      <c r="K131" s="102"/>
      <c r="L131" s="102"/>
      <c r="M131" s="102"/>
      <c r="N131" s="102"/>
      <c r="O131" s="102"/>
    </row>
    <row r="132" customFormat="false" ht="15" hidden="false" customHeight="true" outlineLevel="0" collapsed="false">
      <c r="A132" s="102"/>
      <c r="B132" s="102"/>
      <c r="C132" s="102"/>
      <c r="D132" s="102"/>
      <c r="E132" s="102"/>
      <c r="F132" s="102"/>
      <c r="G132" s="102"/>
      <c r="H132" s="102"/>
      <c r="I132" s="102"/>
      <c r="J132" s="102"/>
      <c r="K132" s="102"/>
      <c r="L132" s="102"/>
      <c r="M132" s="102"/>
      <c r="N132" s="102"/>
      <c r="O132" s="102"/>
    </row>
    <row r="133" customFormat="false" ht="15" hidden="false" customHeight="true" outlineLevel="0" collapsed="false">
      <c r="A133" s="102"/>
      <c r="B133" s="102"/>
      <c r="C133" s="102"/>
      <c r="D133" s="102"/>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 hidden="false" customHeight="true" outlineLevel="0" collapsed="false">
      <c r="A137" s="102"/>
      <c r="B137" s="102"/>
      <c r="C137" s="102"/>
      <c r="D137" s="102"/>
      <c r="E137" s="102"/>
      <c r="F137" s="102"/>
      <c r="G137" s="102"/>
      <c r="H137" s="102"/>
      <c r="I137" s="102"/>
      <c r="J137" s="102"/>
      <c r="K137" s="102"/>
      <c r="L137" s="102"/>
      <c r="M137" s="102"/>
      <c r="N137" s="102"/>
      <c r="O137" s="102"/>
    </row>
    <row r="138" customFormat="false" ht="15" hidden="false" customHeight="true" outlineLevel="0" collapsed="false">
      <c r="A138" s="102"/>
      <c r="B138" s="102"/>
      <c r="C138" s="102"/>
      <c r="D138" s="102"/>
      <c r="E138" s="102"/>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53">
    <mergeCell ref="B2:J2"/>
    <mergeCell ref="D3:E3"/>
    <mergeCell ref="C6:G6"/>
    <mergeCell ref="C7:G7"/>
    <mergeCell ref="C8:G8"/>
    <mergeCell ref="B11:H13"/>
    <mergeCell ref="B14:H17"/>
    <mergeCell ref="B18:H19"/>
    <mergeCell ref="B22:D22"/>
    <mergeCell ref="E22:G22"/>
    <mergeCell ref="B23:D23"/>
    <mergeCell ref="E23:G23"/>
    <mergeCell ref="B24:D24"/>
    <mergeCell ref="E24:G24"/>
    <mergeCell ref="B25:D25"/>
    <mergeCell ref="E25:G25"/>
    <mergeCell ref="B33:H33"/>
    <mergeCell ref="B34:H36"/>
    <mergeCell ref="B37:H39"/>
    <mergeCell ref="D42:E42"/>
    <mergeCell ref="D43:E43"/>
    <mergeCell ref="D44:E44"/>
    <mergeCell ref="D45:E45"/>
    <mergeCell ref="B48:H48"/>
    <mergeCell ref="C49:D49"/>
    <mergeCell ref="I51:J51"/>
    <mergeCell ref="I52:J52"/>
    <mergeCell ref="I53:J53"/>
    <mergeCell ref="I54:J54"/>
    <mergeCell ref="I55:J55"/>
    <mergeCell ref="I56:J56"/>
    <mergeCell ref="I57:J57"/>
    <mergeCell ref="I58:J58"/>
    <mergeCell ref="I59:J59"/>
    <mergeCell ref="I60:J60"/>
    <mergeCell ref="I61:J61"/>
    <mergeCell ref="I62:J62"/>
    <mergeCell ref="I63:J63"/>
    <mergeCell ref="I64:J64"/>
    <mergeCell ref="B66:H66"/>
    <mergeCell ref="C72:E72"/>
    <mergeCell ref="D74:E74"/>
    <mergeCell ref="D75:E75"/>
    <mergeCell ref="D76:E76"/>
    <mergeCell ref="D77:E77"/>
    <mergeCell ref="B80:H80"/>
    <mergeCell ref="B81:H81"/>
    <mergeCell ref="B82:H82"/>
    <mergeCell ref="B83:H83"/>
    <mergeCell ref="B119:E119"/>
    <mergeCell ref="B120:E120"/>
    <mergeCell ref="B121:E121"/>
    <mergeCell ref="B122:E122"/>
  </mergeCells>
  <hyperlinks>
    <hyperlink ref="B3" location="'N-03 Index DMAIC'!A1" display="← Back to Index"/>
    <hyperlink ref="E28" location="'E-45 Center Points Curvature'!A1" display="E-45  Centre Points and Curvature Detection"/>
    <hyperlink ref="E29" location="'E-42 Full Factorial'!A1" display="E-42  Full Factorial Designs (2^k)"/>
    <hyperlink ref="E30" location="'E-37 Residual Analysis'!A1" display="E-37  Residual Analysis and Model Diagnostics"/>
    <hyperlink ref="B126" location="'E-45 Center Points Curvature'!A1" display="E-45  Centre Points and Curvature Detection"/>
    <hyperlink ref="C126" location="'E-37 Residual Analysis'!A1" display="E-37  Residual Analysis and Model Diagnostics"/>
    <hyperlink ref="D126" location="'E-38 Multiple Regression'!A1" display="E-38  Multiple Regression and Multicollinearit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5630</v>
      </c>
      <c r="C2" s="3"/>
      <c r="D2" s="3"/>
      <c r="E2" s="3"/>
      <c r="F2" s="3"/>
      <c r="G2" s="3"/>
      <c r="H2" s="3"/>
      <c r="I2" s="3"/>
      <c r="J2" s="3"/>
      <c r="K2" s="141" t="s">
        <v>5631</v>
      </c>
    </row>
    <row r="3" customFormat="false" ht="28.5" hidden="false" customHeight="true" outlineLevel="0" collapsed="false">
      <c r="B3" s="5" t="s">
        <v>3</v>
      </c>
      <c r="D3" s="6" t="s">
        <v>5632</v>
      </c>
      <c r="E3" s="6"/>
      <c r="F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5633</v>
      </c>
      <c r="D6" s="106"/>
      <c r="E6" s="106"/>
      <c r="F6" s="106"/>
      <c r="G6" s="106"/>
      <c r="H6" s="102"/>
      <c r="I6" s="102"/>
      <c r="J6" s="102"/>
      <c r="K6" s="102"/>
      <c r="L6" s="102"/>
      <c r="M6" s="102"/>
      <c r="N6" s="102"/>
      <c r="O6" s="102"/>
    </row>
    <row r="7" customFormat="false" ht="17.25" hidden="false" customHeight="true" outlineLevel="0" collapsed="false">
      <c r="A7" s="102"/>
      <c r="B7" s="105" t="s">
        <v>1394</v>
      </c>
      <c r="C7" s="106" t="s">
        <v>5634</v>
      </c>
      <c r="D7" s="106"/>
      <c r="E7" s="106"/>
      <c r="F7" s="106"/>
      <c r="G7" s="106"/>
      <c r="H7" s="102"/>
      <c r="I7" s="102"/>
      <c r="J7" s="102"/>
      <c r="K7" s="102"/>
      <c r="L7" s="102"/>
      <c r="M7" s="102"/>
      <c r="N7" s="102"/>
      <c r="O7" s="102"/>
    </row>
    <row r="8" customFormat="false" ht="31.5" hidden="false" customHeight="true" outlineLevel="0" collapsed="false">
      <c r="A8" s="102"/>
      <c r="B8" s="105" t="s">
        <v>1396</v>
      </c>
      <c r="C8" s="106" t="s">
        <v>5635</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0.5" hidden="false" customHeight="true" outlineLevel="0" collapsed="false">
      <c r="A11" s="102"/>
      <c r="B11" s="106" t="s">
        <v>5636</v>
      </c>
      <c r="C11" s="106"/>
      <c r="D11" s="106"/>
      <c r="E11" s="106"/>
      <c r="F11" s="106"/>
      <c r="G11" s="106"/>
      <c r="H11" s="106"/>
      <c r="I11" s="102"/>
      <c r="J11" s="102"/>
      <c r="K11" s="102"/>
      <c r="L11" s="102"/>
      <c r="M11" s="102"/>
      <c r="N11" s="102"/>
      <c r="O11" s="102"/>
    </row>
    <row r="12" customFormat="false" ht="10.5" hidden="false" customHeight="true" outlineLevel="0" collapsed="false">
      <c r="A12" s="102"/>
      <c r="B12" s="106"/>
      <c r="C12" s="106"/>
      <c r="D12" s="106"/>
      <c r="E12" s="106"/>
      <c r="F12" s="106"/>
      <c r="G12" s="106"/>
      <c r="H12" s="106"/>
      <c r="I12" s="102"/>
      <c r="J12" s="102"/>
      <c r="K12" s="102"/>
      <c r="L12" s="102"/>
      <c r="M12" s="102"/>
      <c r="N12" s="102"/>
      <c r="O12" s="102"/>
    </row>
    <row r="13" customFormat="false" ht="10.5" hidden="false" customHeight="true" outlineLevel="0" collapsed="false">
      <c r="A13" s="102"/>
      <c r="B13" s="106"/>
      <c r="C13" s="106"/>
      <c r="D13" s="106"/>
      <c r="E13" s="106"/>
      <c r="F13" s="106"/>
      <c r="G13" s="106"/>
      <c r="H13" s="106"/>
      <c r="I13" s="102"/>
      <c r="J13" s="102"/>
      <c r="K13" s="102"/>
      <c r="L13" s="102"/>
      <c r="M13" s="102"/>
      <c r="N13" s="102"/>
      <c r="O13" s="102"/>
    </row>
    <row r="14" customFormat="false" ht="15.75" hidden="false" customHeight="true" outlineLevel="0" collapsed="false">
      <c r="A14" s="102"/>
      <c r="B14" s="106" t="s">
        <v>5637</v>
      </c>
      <c r="C14" s="106"/>
      <c r="D14" s="106"/>
      <c r="E14" s="106"/>
      <c r="F14" s="106"/>
      <c r="G14" s="106"/>
      <c r="H14" s="106"/>
      <c r="I14" s="102"/>
      <c r="J14" s="102"/>
      <c r="K14" s="102"/>
      <c r="L14" s="102"/>
      <c r="M14" s="102"/>
      <c r="N14" s="102"/>
      <c r="O14" s="102"/>
    </row>
    <row r="15" customFormat="false" ht="15.75" hidden="false" customHeight="true" outlineLevel="0" collapsed="false">
      <c r="A15" s="102"/>
      <c r="B15" s="106"/>
      <c r="C15" s="106"/>
      <c r="D15" s="106"/>
      <c r="E15" s="106"/>
      <c r="F15" s="106"/>
      <c r="G15" s="106"/>
      <c r="H15" s="106"/>
      <c r="I15" s="102"/>
      <c r="J15" s="102"/>
      <c r="K15" s="102"/>
      <c r="L15" s="102"/>
      <c r="M15" s="102"/>
      <c r="N15" s="102"/>
      <c r="O15" s="102"/>
    </row>
    <row r="16" customFormat="false" ht="11.25" hidden="false" customHeight="true" outlineLevel="0" collapsed="false">
      <c r="A16" s="102"/>
      <c r="B16" s="106" t="s">
        <v>5638</v>
      </c>
      <c r="C16" s="106"/>
      <c r="D16" s="106"/>
      <c r="E16" s="106"/>
      <c r="F16" s="106"/>
      <c r="G16" s="106"/>
      <c r="H16" s="106"/>
      <c r="I16" s="102"/>
      <c r="J16" s="102"/>
      <c r="K16" s="102"/>
      <c r="L16" s="102"/>
      <c r="M16" s="102"/>
      <c r="N16" s="102"/>
      <c r="O16" s="102"/>
    </row>
    <row r="17" customFormat="false" ht="11.25" hidden="false" customHeight="true" outlineLevel="0" collapsed="false">
      <c r="A17" s="102"/>
      <c r="B17" s="106"/>
      <c r="C17" s="106"/>
      <c r="D17" s="106"/>
      <c r="E17" s="106"/>
      <c r="F17" s="106"/>
      <c r="G17" s="106"/>
      <c r="H17" s="106"/>
      <c r="I17" s="102"/>
      <c r="J17" s="102"/>
      <c r="K17" s="102"/>
      <c r="L17" s="102"/>
      <c r="M17" s="102"/>
      <c r="N17" s="102"/>
      <c r="O17" s="102"/>
    </row>
    <row r="18" customFormat="false" ht="11.25" hidden="false" customHeight="true" outlineLevel="0" collapsed="false">
      <c r="A18" s="102"/>
      <c r="B18" s="106"/>
      <c r="C18" s="106"/>
      <c r="D18" s="106"/>
      <c r="E18" s="106"/>
      <c r="F18" s="106"/>
      <c r="G18" s="106"/>
      <c r="H18" s="106"/>
      <c r="I18" s="102"/>
      <c r="J18" s="102"/>
      <c r="K18" s="102"/>
      <c r="L18" s="102"/>
      <c r="M18" s="102"/>
      <c r="N18" s="102"/>
      <c r="O18" s="102"/>
    </row>
    <row r="19" customFormat="false" ht="11.25" hidden="false" customHeight="true" outlineLevel="0" collapsed="false">
      <c r="A19" s="102"/>
      <c r="B19" s="106"/>
      <c r="C19" s="106"/>
      <c r="D19" s="106"/>
      <c r="E19" s="106"/>
      <c r="F19" s="106"/>
      <c r="G19" s="106"/>
      <c r="H19" s="106"/>
      <c r="I19" s="102"/>
      <c r="J19" s="102"/>
      <c r="K19" s="102"/>
      <c r="L19" s="102"/>
      <c r="M19" s="102"/>
      <c r="N19" s="102"/>
      <c r="O19" s="102"/>
    </row>
    <row r="20" customFormat="false" ht="15.75" hidden="false" customHeight="true" outlineLevel="0" collapsed="false">
      <c r="A20" s="102"/>
      <c r="B20" s="106" t="s">
        <v>5639</v>
      </c>
      <c r="C20" s="106"/>
      <c r="D20" s="106"/>
      <c r="E20" s="106"/>
      <c r="F20" s="106"/>
      <c r="G20" s="106"/>
      <c r="H20" s="106"/>
      <c r="I20" s="102"/>
      <c r="J20" s="102"/>
      <c r="K20" s="102"/>
      <c r="L20" s="102"/>
      <c r="M20" s="102"/>
      <c r="N20" s="102"/>
      <c r="O20" s="102"/>
    </row>
    <row r="21" customFormat="false" ht="15.75" hidden="false" customHeight="true" outlineLevel="0" collapsed="false">
      <c r="A21" s="102"/>
      <c r="B21" s="106"/>
      <c r="C21" s="106"/>
      <c r="D21" s="106"/>
      <c r="E21" s="106"/>
      <c r="F21" s="106"/>
      <c r="G21" s="106"/>
      <c r="H21" s="106"/>
      <c r="I21" s="102"/>
      <c r="J21" s="102"/>
      <c r="K21" s="102"/>
      <c r="L21" s="102"/>
      <c r="M21" s="102"/>
      <c r="N21" s="102"/>
      <c r="O21" s="102"/>
    </row>
    <row r="22" customFormat="false" ht="15" hidden="false" customHeight="true" outlineLevel="0" collapsed="false">
      <c r="A22" s="102"/>
      <c r="B22" s="102"/>
      <c r="C22" s="102"/>
      <c r="D22" s="102"/>
      <c r="E22" s="102"/>
      <c r="F22" s="102"/>
      <c r="G22" s="102"/>
      <c r="H22" s="102"/>
      <c r="I22" s="102"/>
      <c r="J22" s="102"/>
      <c r="K22" s="102"/>
      <c r="L22" s="102"/>
      <c r="M22" s="102"/>
      <c r="N22" s="102"/>
      <c r="O22" s="102"/>
    </row>
    <row r="23" customFormat="false" ht="15.75" hidden="false" customHeight="true" outlineLevel="0" collapsed="false">
      <c r="A23" s="102"/>
      <c r="B23" s="103" t="s">
        <v>1406</v>
      </c>
      <c r="C23" s="104"/>
      <c r="D23" s="104"/>
      <c r="E23" s="104"/>
      <c r="F23" s="104"/>
      <c r="G23" s="104"/>
      <c r="H23" s="104"/>
      <c r="I23" s="104"/>
      <c r="J23" s="104"/>
      <c r="K23" s="104"/>
      <c r="L23" s="102"/>
      <c r="M23" s="102"/>
      <c r="N23" s="102"/>
      <c r="O23" s="102"/>
    </row>
    <row r="24" customFormat="false" ht="17.25" hidden="false" customHeight="true" outlineLevel="0" collapsed="false">
      <c r="A24" s="102"/>
      <c r="B24" s="107" t="s">
        <v>1407</v>
      </c>
      <c r="C24" s="107"/>
      <c r="D24" s="107"/>
      <c r="E24" s="107" t="s">
        <v>1408</v>
      </c>
      <c r="F24" s="107"/>
      <c r="G24" s="107"/>
      <c r="H24" s="102"/>
      <c r="I24" s="102"/>
      <c r="J24" s="102"/>
      <c r="K24" s="102"/>
      <c r="L24" s="102"/>
      <c r="M24" s="102"/>
      <c r="N24" s="102"/>
      <c r="O24" s="102"/>
    </row>
    <row r="25" customFormat="false" ht="31.5" hidden="false" customHeight="true" outlineLevel="0" collapsed="false">
      <c r="A25" s="102"/>
      <c r="B25" s="106" t="s">
        <v>5640</v>
      </c>
      <c r="C25" s="106"/>
      <c r="D25" s="106"/>
      <c r="E25" s="106" t="s">
        <v>5641</v>
      </c>
      <c r="F25" s="106"/>
      <c r="G25" s="106"/>
      <c r="H25" s="102"/>
      <c r="I25" s="102"/>
      <c r="J25" s="102"/>
      <c r="K25" s="102"/>
      <c r="L25" s="102"/>
      <c r="M25" s="102"/>
      <c r="N25" s="102"/>
      <c r="O25" s="102"/>
    </row>
    <row r="26" customFormat="false" ht="31.5" hidden="false" customHeight="true" outlineLevel="0" collapsed="false">
      <c r="A26" s="102"/>
      <c r="B26" s="106" t="s">
        <v>5642</v>
      </c>
      <c r="C26" s="106"/>
      <c r="D26" s="106"/>
      <c r="E26" s="106" t="s">
        <v>5643</v>
      </c>
      <c r="F26" s="106"/>
      <c r="G26" s="106"/>
      <c r="H26" s="102"/>
      <c r="I26" s="102"/>
      <c r="J26" s="102"/>
      <c r="K26" s="102"/>
      <c r="L26" s="102"/>
      <c r="M26" s="102"/>
      <c r="N26" s="102"/>
      <c r="O26" s="102"/>
    </row>
    <row r="27" customFormat="false" ht="17.25" hidden="false" customHeight="true" outlineLevel="0" collapsed="false">
      <c r="A27" s="102"/>
      <c r="B27" s="106" t="s">
        <v>5644</v>
      </c>
      <c r="C27" s="106"/>
      <c r="D27" s="106"/>
      <c r="E27" s="106"/>
      <c r="F27" s="106"/>
      <c r="G27" s="106"/>
      <c r="H27" s="106"/>
      <c r="I27" s="102"/>
      <c r="J27" s="102"/>
      <c r="K27" s="102"/>
      <c r="L27" s="102"/>
      <c r="M27" s="102"/>
      <c r="N27" s="102"/>
      <c r="O27" s="102"/>
    </row>
    <row r="28" customFormat="false" ht="15" hidden="false" customHeight="true" outlineLevel="0" collapsed="false">
      <c r="A28" s="102"/>
      <c r="B28" s="102"/>
      <c r="C28" s="102"/>
      <c r="D28" s="102"/>
      <c r="E28" s="102"/>
      <c r="F28" s="102"/>
      <c r="G28" s="102"/>
      <c r="H28" s="102"/>
      <c r="I28" s="102"/>
      <c r="J28" s="102"/>
      <c r="K28" s="102"/>
      <c r="L28" s="102"/>
      <c r="M28" s="102"/>
      <c r="N28" s="102"/>
      <c r="O28" s="102"/>
    </row>
    <row r="29" customFormat="false" ht="30.75" hidden="false" customHeight="true" outlineLevel="0" collapsed="false">
      <c r="A29" s="102"/>
      <c r="B29" s="108" t="s">
        <v>1416</v>
      </c>
      <c r="C29" s="108" t="s">
        <v>1417</v>
      </c>
      <c r="D29" s="108" t="s">
        <v>1418</v>
      </c>
      <c r="E29" s="108" t="s">
        <v>1419</v>
      </c>
      <c r="F29" s="102"/>
      <c r="G29" s="102"/>
      <c r="H29" s="102"/>
      <c r="I29" s="102"/>
      <c r="J29" s="102"/>
      <c r="K29" s="102"/>
      <c r="L29" s="102"/>
      <c r="M29" s="102"/>
      <c r="N29" s="102"/>
      <c r="O29" s="102"/>
    </row>
    <row r="30" customFormat="false" ht="86.25" hidden="false" customHeight="true" outlineLevel="0" collapsed="false">
      <c r="A30" s="102"/>
      <c r="B30" s="15" t="s">
        <v>5645</v>
      </c>
      <c r="C30" s="15" t="s">
        <v>5646</v>
      </c>
      <c r="D30" s="15" t="s">
        <v>5647</v>
      </c>
      <c r="E30" s="109" t="s">
        <v>1025</v>
      </c>
      <c r="F30" s="102"/>
      <c r="G30" s="102"/>
      <c r="H30" s="102"/>
      <c r="I30" s="102"/>
      <c r="J30" s="102"/>
      <c r="K30" s="102"/>
      <c r="L30" s="102"/>
      <c r="M30" s="102"/>
      <c r="N30" s="102"/>
      <c r="O30" s="102"/>
    </row>
    <row r="31" customFormat="false" ht="58.5" hidden="false" customHeight="true" outlineLevel="0" collapsed="false">
      <c r="A31" s="102"/>
      <c r="B31" s="15" t="s">
        <v>5648</v>
      </c>
      <c r="C31" s="15" t="s">
        <v>5649</v>
      </c>
      <c r="D31" s="15" t="s">
        <v>5650</v>
      </c>
      <c r="E31" s="109" t="s">
        <v>1060</v>
      </c>
      <c r="F31" s="102"/>
      <c r="G31" s="102"/>
      <c r="H31" s="102"/>
      <c r="I31" s="102"/>
      <c r="J31" s="102"/>
      <c r="K31" s="102"/>
      <c r="L31" s="102"/>
      <c r="M31" s="102"/>
      <c r="N31" s="102"/>
      <c r="O31" s="102"/>
    </row>
    <row r="32" customFormat="false" ht="72" hidden="false" customHeight="true" outlineLevel="0" collapsed="false">
      <c r="A32" s="102"/>
      <c r="B32" s="15" t="s">
        <v>5651</v>
      </c>
      <c r="C32" s="15" t="s">
        <v>5652</v>
      </c>
      <c r="D32" s="15" t="s">
        <v>5653</v>
      </c>
      <c r="E32" s="109" t="s">
        <v>1546</v>
      </c>
      <c r="F32" s="102"/>
      <c r="G32" s="102"/>
      <c r="H32" s="102"/>
      <c r="I32" s="102"/>
      <c r="J32" s="102"/>
      <c r="K32" s="102"/>
      <c r="L32" s="102"/>
      <c r="M32" s="102"/>
      <c r="N32" s="102"/>
      <c r="O32" s="102"/>
    </row>
    <row r="33" customFormat="false" ht="15" hidden="false" customHeight="true" outlineLevel="0" collapsed="false">
      <c r="A33" s="102"/>
      <c r="B33" s="102"/>
      <c r="C33" s="102"/>
      <c r="D33" s="102"/>
      <c r="E33" s="102"/>
      <c r="F33" s="102"/>
      <c r="G33" s="102"/>
      <c r="H33" s="102"/>
      <c r="I33" s="102"/>
      <c r="J33" s="102"/>
      <c r="K33" s="102"/>
      <c r="L33" s="102"/>
      <c r="M33" s="102"/>
      <c r="N33" s="102"/>
      <c r="O33" s="102"/>
    </row>
    <row r="34" customFormat="false" ht="15.75" hidden="false" customHeight="true" outlineLevel="0" collapsed="false">
      <c r="A34" s="102"/>
      <c r="B34" s="103" t="s">
        <v>1429</v>
      </c>
      <c r="C34" s="104"/>
      <c r="D34" s="104"/>
      <c r="E34" s="104"/>
      <c r="F34" s="104"/>
      <c r="G34" s="104"/>
      <c r="H34" s="104"/>
      <c r="I34" s="104"/>
      <c r="J34" s="104"/>
      <c r="K34" s="104"/>
      <c r="L34" s="102"/>
      <c r="M34" s="102"/>
      <c r="N34" s="102"/>
      <c r="O34" s="102"/>
    </row>
    <row r="35" customFormat="false" ht="17.25" hidden="false" customHeight="true" outlineLevel="0" collapsed="false">
      <c r="A35" s="102"/>
      <c r="B35" s="106" t="s">
        <v>5654</v>
      </c>
      <c r="C35" s="106"/>
      <c r="D35" s="106"/>
      <c r="E35" s="106"/>
      <c r="F35" s="106"/>
      <c r="G35" s="106"/>
      <c r="H35" s="106"/>
      <c r="I35" s="102"/>
      <c r="J35" s="102"/>
      <c r="K35" s="102"/>
      <c r="L35" s="102"/>
      <c r="M35" s="102"/>
      <c r="N35" s="102"/>
      <c r="O35" s="102"/>
    </row>
    <row r="36" customFormat="false" ht="15.75" hidden="false" customHeight="true" outlineLevel="0" collapsed="false">
      <c r="A36" s="102"/>
      <c r="B36" s="106" t="s">
        <v>5655</v>
      </c>
      <c r="C36" s="106"/>
      <c r="D36" s="106"/>
      <c r="E36" s="106"/>
      <c r="F36" s="106"/>
      <c r="G36" s="106"/>
      <c r="H36" s="106"/>
      <c r="I36" s="102"/>
      <c r="J36" s="102"/>
      <c r="K36" s="102"/>
      <c r="L36" s="102"/>
      <c r="M36" s="102"/>
      <c r="N36" s="102"/>
      <c r="O36" s="102"/>
    </row>
    <row r="37" customFormat="false" ht="15.75" hidden="false" customHeight="true" outlineLevel="0" collapsed="false">
      <c r="A37" s="102"/>
      <c r="B37" s="106"/>
      <c r="C37" s="106"/>
      <c r="D37" s="106"/>
      <c r="E37" s="106"/>
      <c r="F37" s="106"/>
      <c r="G37" s="106"/>
      <c r="H37" s="106"/>
      <c r="I37" s="102"/>
      <c r="J37" s="102"/>
      <c r="K37" s="102"/>
      <c r="L37" s="102"/>
      <c r="M37" s="102"/>
      <c r="N37" s="102"/>
      <c r="O37" s="102"/>
    </row>
    <row r="38" customFormat="false" ht="15.75" hidden="false" customHeight="true" outlineLevel="0" collapsed="false">
      <c r="A38" s="102"/>
      <c r="B38" s="106" t="s">
        <v>5656</v>
      </c>
      <c r="C38" s="106"/>
      <c r="D38" s="106"/>
      <c r="E38" s="106"/>
      <c r="F38" s="106"/>
      <c r="G38" s="106"/>
      <c r="H38" s="106"/>
      <c r="I38" s="102"/>
      <c r="J38" s="102"/>
      <c r="K38" s="102"/>
      <c r="L38" s="102"/>
      <c r="M38" s="102"/>
      <c r="N38" s="102"/>
      <c r="O38" s="102"/>
    </row>
    <row r="39" customFormat="false" ht="15.75" hidden="false" customHeight="true" outlineLevel="0" collapsed="false">
      <c r="A39" s="102"/>
      <c r="B39" s="106"/>
      <c r="C39" s="106"/>
      <c r="D39" s="106"/>
      <c r="E39" s="106"/>
      <c r="F39" s="106"/>
      <c r="G39" s="106"/>
      <c r="H39" s="106"/>
      <c r="I39" s="102"/>
      <c r="J39" s="102"/>
      <c r="K39" s="102"/>
      <c r="L39" s="102"/>
      <c r="M39" s="102"/>
      <c r="N39" s="102"/>
      <c r="O39" s="102"/>
    </row>
    <row r="40" customFormat="false" ht="15" hidden="false" customHeight="true" outlineLevel="0" collapsed="false">
      <c r="A40" s="102"/>
      <c r="B40" s="102"/>
      <c r="C40" s="102"/>
      <c r="D40" s="102"/>
      <c r="E40" s="102"/>
      <c r="F40" s="102"/>
      <c r="G40" s="102"/>
      <c r="H40" s="102"/>
      <c r="I40" s="102"/>
      <c r="J40" s="102"/>
      <c r="K40" s="102"/>
      <c r="L40" s="102"/>
      <c r="M40" s="102"/>
      <c r="N40" s="102"/>
      <c r="O40" s="102"/>
    </row>
    <row r="41" customFormat="false" ht="15.75" hidden="false" customHeight="true" outlineLevel="0" collapsed="false">
      <c r="A41" s="102"/>
      <c r="B41" s="103" t="s">
        <v>1437</v>
      </c>
      <c r="C41" s="104"/>
      <c r="D41" s="104"/>
      <c r="E41" s="104"/>
      <c r="F41" s="104"/>
      <c r="G41" s="104"/>
      <c r="H41" s="104"/>
      <c r="I41" s="104"/>
      <c r="J41" s="104"/>
      <c r="K41" s="104"/>
      <c r="L41" s="102"/>
      <c r="M41" s="102"/>
      <c r="N41" s="102"/>
      <c r="O41" s="102"/>
    </row>
    <row r="42" customFormat="false" ht="16.5" hidden="false" customHeight="true" outlineLevel="0" collapsed="false">
      <c r="A42" s="102"/>
      <c r="B42" s="108" t="s">
        <v>1438</v>
      </c>
      <c r="C42" s="108" t="s">
        <v>1439</v>
      </c>
      <c r="D42" s="108" t="s">
        <v>1440</v>
      </c>
      <c r="E42" s="102"/>
      <c r="F42" s="102"/>
      <c r="G42" s="102"/>
      <c r="H42" s="102"/>
      <c r="I42" s="102"/>
      <c r="J42" s="102"/>
      <c r="K42" s="102"/>
      <c r="L42" s="102"/>
      <c r="M42" s="102"/>
      <c r="N42" s="102"/>
      <c r="O42" s="102"/>
    </row>
    <row r="43" customFormat="false" ht="30.75" hidden="false" customHeight="true" outlineLevel="0" collapsed="false">
      <c r="A43" s="102"/>
      <c r="B43" s="110" t="s">
        <v>3595</v>
      </c>
      <c r="C43" s="111" t="s">
        <v>5657</v>
      </c>
      <c r="D43" s="15" t="s">
        <v>5658</v>
      </c>
      <c r="E43" s="102"/>
      <c r="F43" s="102"/>
      <c r="G43" s="102"/>
      <c r="H43" s="102"/>
      <c r="I43" s="102"/>
      <c r="J43" s="102"/>
      <c r="K43" s="102"/>
      <c r="L43" s="102"/>
      <c r="M43" s="102"/>
      <c r="N43" s="102"/>
      <c r="O43" s="102"/>
    </row>
    <row r="44" customFormat="false" ht="30.75" hidden="false" customHeight="true" outlineLevel="0" collapsed="false">
      <c r="A44" s="102"/>
      <c r="B44" s="110" t="s">
        <v>5659</v>
      </c>
      <c r="C44" s="111" t="s">
        <v>5660</v>
      </c>
      <c r="D44" s="15" t="s">
        <v>5661</v>
      </c>
      <c r="E44" s="102"/>
      <c r="F44" s="102"/>
      <c r="G44" s="102"/>
      <c r="H44" s="102"/>
      <c r="I44" s="102"/>
      <c r="J44" s="102"/>
      <c r="K44" s="102"/>
      <c r="L44" s="102"/>
      <c r="M44" s="102"/>
      <c r="N44" s="102"/>
      <c r="O44" s="102"/>
    </row>
    <row r="45" customFormat="false" ht="15" hidden="false" customHeight="true" outlineLevel="0" collapsed="false">
      <c r="A45" s="102"/>
      <c r="B45" s="102"/>
      <c r="C45" s="102"/>
      <c r="D45" s="102"/>
      <c r="E45" s="102"/>
      <c r="F45" s="102"/>
      <c r="G45" s="102"/>
      <c r="H45" s="102"/>
      <c r="I45" s="102"/>
      <c r="J45" s="102"/>
      <c r="K45" s="102"/>
      <c r="L45" s="102"/>
      <c r="M45" s="102"/>
      <c r="N45" s="102"/>
      <c r="O45" s="102"/>
    </row>
    <row r="46" customFormat="false" ht="15.75" hidden="false" customHeight="true" outlineLevel="0" collapsed="false">
      <c r="A46" s="102"/>
      <c r="B46" s="103" t="s">
        <v>1454</v>
      </c>
      <c r="C46" s="104"/>
      <c r="D46" s="104"/>
      <c r="E46" s="104"/>
      <c r="F46" s="104"/>
      <c r="G46" s="104"/>
      <c r="H46" s="104"/>
      <c r="I46" s="104"/>
      <c r="J46" s="104"/>
      <c r="K46" s="104"/>
      <c r="L46" s="102"/>
      <c r="M46" s="102"/>
      <c r="N46" s="102"/>
      <c r="O46" s="102"/>
    </row>
    <row r="47" customFormat="false" ht="17.25" hidden="false" customHeight="true" outlineLevel="0" collapsed="false">
      <c r="A47" s="102"/>
      <c r="B47" s="106" t="s">
        <v>5662</v>
      </c>
      <c r="C47" s="106"/>
      <c r="D47" s="106"/>
      <c r="E47" s="106"/>
      <c r="F47" s="106"/>
      <c r="G47" s="106"/>
      <c r="H47" s="106"/>
      <c r="I47" s="102"/>
      <c r="J47" s="102"/>
      <c r="K47" s="102"/>
      <c r="L47" s="102"/>
      <c r="M47" s="102"/>
      <c r="N47" s="102"/>
      <c r="O47" s="102"/>
    </row>
    <row r="48" customFormat="false" ht="17.25" hidden="false" customHeight="true" outlineLevel="0" collapsed="false">
      <c r="A48" s="102"/>
      <c r="B48" s="112" t="s">
        <v>85</v>
      </c>
      <c r="C48" s="113" t="s">
        <v>86</v>
      </c>
      <c r="D48" s="113"/>
      <c r="E48" s="102"/>
      <c r="F48" s="102"/>
      <c r="G48" s="102"/>
      <c r="H48" s="102"/>
      <c r="I48" s="102"/>
      <c r="J48" s="102"/>
      <c r="K48" s="102"/>
      <c r="L48" s="102"/>
      <c r="M48" s="102"/>
      <c r="N48" s="102"/>
      <c r="O48" s="102"/>
    </row>
    <row r="49" customFormat="false" ht="15" hidden="false" customHeight="true" outlineLevel="0" collapsed="false">
      <c r="A49" s="102"/>
      <c r="B49" s="102"/>
      <c r="C49" s="102"/>
      <c r="D49" s="102"/>
      <c r="E49" s="102"/>
      <c r="F49" s="102"/>
      <c r="G49" s="102"/>
      <c r="H49" s="102"/>
      <c r="I49" s="102"/>
      <c r="J49" s="102"/>
      <c r="K49" s="102"/>
      <c r="L49" s="102"/>
      <c r="M49" s="102"/>
      <c r="N49" s="102"/>
      <c r="O49" s="102"/>
    </row>
    <row r="50" customFormat="false" ht="16.5" hidden="false" customHeight="true" outlineLevel="0" collapsed="false">
      <c r="A50" s="102"/>
      <c r="B50" s="108" t="s">
        <v>5663</v>
      </c>
      <c r="C50" s="108" t="s">
        <v>5664</v>
      </c>
      <c r="D50" s="108" t="s">
        <v>5665</v>
      </c>
      <c r="E50" s="102"/>
      <c r="F50" s="102"/>
      <c r="G50" s="102"/>
      <c r="H50" s="102"/>
      <c r="I50" s="102"/>
      <c r="J50" s="102"/>
      <c r="K50" s="102"/>
      <c r="L50" s="102"/>
      <c r="M50" s="102"/>
      <c r="N50" s="102"/>
      <c r="O50" s="102"/>
    </row>
    <row r="51" customFormat="false" ht="15" hidden="false" customHeight="true" outlineLevel="0" collapsed="false">
      <c r="A51" s="102"/>
      <c r="B51" s="123" t="n">
        <v>1</v>
      </c>
      <c r="C51" s="131" t="n">
        <v>5.58</v>
      </c>
      <c r="D51" s="132" t="str">
        <f aca="false">IF(ABS(C51-$C$72)&gt;3*$C$73,"SPECIAL CAUSE","common cause")</f>
        <v>common cause</v>
      </c>
      <c r="E51" s="102"/>
      <c r="F51" s="102"/>
      <c r="G51" s="102"/>
      <c r="H51" s="102"/>
      <c r="I51" s="102"/>
      <c r="J51" s="102"/>
      <c r="K51" s="102"/>
      <c r="L51" s="102"/>
      <c r="M51" s="102"/>
      <c r="N51" s="102"/>
      <c r="O51" s="102"/>
    </row>
    <row r="52" customFormat="false" ht="15" hidden="false" customHeight="true" outlineLevel="0" collapsed="false">
      <c r="A52" s="102"/>
      <c r="B52" s="123" t="n">
        <v>2</v>
      </c>
      <c r="C52" s="131" t="n">
        <v>5.61</v>
      </c>
      <c r="D52" s="132" t="str">
        <f aca="false">IF(ABS(C52-$C$72)&gt;3*$C$73,"SPECIAL CAUSE","common cause")</f>
        <v>common cause</v>
      </c>
      <c r="E52" s="102"/>
      <c r="F52" s="102"/>
      <c r="G52" s="102"/>
      <c r="H52" s="102"/>
      <c r="I52" s="102"/>
      <c r="J52" s="102"/>
      <c r="K52" s="102"/>
      <c r="L52" s="102"/>
      <c r="M52" s="102"/>
      <c r="N52" s="102"/>
      <c r="O52" s="102"/>
    </row>
    <row r="53" customFormat="false" ht="15" hidden="false" customHeight="true" outlineLevel="0" collapsed="false">
      <c r="A53" s="102"/>
      <c r="B53" s="123" t="n">
        <v>3</v>
      </c>
      <c r="C53" s="131" t="n">
        <v>5.57</v>
      </c>
      <c r="D53" s="132" t="str">
        <f aca="false">IF(ABS(C53-$C$72)&gt;3*$C$73,"SPECIAL CAUSE","common cause")</f>
        <v>common cause</v>
      </c>
      <c r="E53" s="102"/>
      <c r="F53" s="102"/>
      <c r="G53" s="102"/>
      <c r="H53" s="102"/>
      <c r="I53" s="102"/>
      <c r="J53" s="102"/>
      <c r="K53" s="102"/>
      <c r="L53" s="102"/>
      <c r="M53" s="102"/>
      <c r="N53" s="102"/>
      <c r="O53" s="102"/>
    </row>
    <row r="54" customFormat="false" ht="15" hidden="false" customHeight="true" outlineLevel="0" collapsed="false">
      <c r="A54" s="102"/>
      <c r="B54" s="123" t="n">
        <v>4</v>
      </c>
      <c r="C54" s="131" t="n">
        <v>5.63</v>
      </c>
      <c r="D54" s="132" t="str">
        <f aca="false">IF(ABS(C54-$C$72)&gt;3*$C$73,"SPECIAL CAUSE","common cause")</f>
        <v>common cause</v>
      </c>
      <c r="E54" s="102"/>
      <c r="F54" s="102"/>
      <c r="G54" s="102"/>
      <c r="H54" s="102"/>
      <c r="I54" s="102"/>
      <c r="J54" s="102"/>
      <c r="K54" s="102"/>
      <c r="L54" s="102"/>
      <c r="M54" s="102"/>
      <c r="N54" s="102"/>
      <c r="O54" s="102"/>
    </row>
    <row r="55" customFormat="false" ht="15" hidden="false" customHeight="true" outlineLevel="0" collapsed="false">
      <c r="A55" s="102"/>
      <c r="B55" s="123" t="n">
        <v>5</v>
      </c>
      <c r="C55" s="131" t="n">
        <v>5.59</v>
      </c>
      <c r="D55" s="132" t="str">
        <f aca="false">IF(ABS(C55-$C$72)&gt;3*$C$73,"SPECIAL CAUSE","common cause")</f>
        <v>common cause</v>
      </c>
      <c r="E55" s="102"/>
      <c r="F55" s="102"/>
      <c r="G55" s="102"/>
      <c r="H55" s="102"/>
      <c r="I55" s="102"/>
      <c r="J55" s="102"/>
      <c r="K55" s="102"/>
      <c r="L55" s="102"/>
      <c r="M55" s="102"/>
      <c r="N55" s="102"/>
      <c r="O55" s="102"/>
    </row>
    <row r="56" customFormat="false" ht="15" hidden="false" customHeight="true" outlineLevel="0" collapsed="false">
      <c r="A56" s="102"/>
      <c r="B56" s="123" t="n">
        <v>6</v>
      </c>
      <c r="C56" s="131" t="n">
        <v>5.6</v>
      </c>
      <c r="D56" s="132" t="str">
        <f aca="false">IF(ABS(C56-$C$72)&gt;3*$C$73,"SPECIAL CAUSE","common cause")</f>
        <v>common cause</v>
      </c>
      <c r="E56" s="102"/>
      <c r="F56" s="102"/>
      <c r="G56" s="102"/>
      <c r="H56" s="102"/>
      <c r="I56" s="102"/>
      <c r="J56" s="102"/>
      <c r="K56" s="102"/>
      <c r="L56" s="102"/>
      <c r="M56" s="102"/>
      <c r="N56" s="102"/>
      <c r="O56" s="102"/>
    </row>
    <row r="57" customFormat="false" ht="15" hidden="false" customHeight="true" outlineLevel="0" collapsed="false">
      <c r="A57" s="102"/>
      <c r="B57" s="123" t="n">
        <v>7</v>
      </c>
      <c r="C57" s="131" t="n">
        <v>5.62</v>
      </c>
      <c r="D57" s="132" t="str">
        <f aca="false">IF(ABS(C57-$C$72)&gt;3*$C$73,"SPECIAL CAUSE","common cause")</f>
        <v>common cause</v>
      </c>
      <c r="E57" s="102"/>
      <c r="F57" s="102"/>
      <c r="G57" s="102"/>
      <c r="H57" s="102"/>
      <c r="I57" s="102"/>
      <c r="J57" s="102"/>
      <c r="K57" s="102"/>
      <c r="L57" s="102"/>
      <c r="M57" s="102"/>
      <c r="N57" s="102"/>
      <c r="O57" s="102"/>
    </row>
    <row r="58" customFormat="false" ht="15" hidden="false" customHeight="true" outlineLevel="0" collapsed="false">
      <c r="A58" s="102"/>
      <c r="B58" s="123" t="n">
        <v>8</v>
      </c>
      <c r="C58" s="131" t="n">
        <v>5.58</v>
      </c>
      <c r="D58" s="132" t="str">
        <f aca="false">IF(ABS(C58-$C$72)&gt;3*$C$73,"SPECIAL CAUSE","common cause")</f>
        <v>common cause</v>
      </c>
      <c r="E58" s="102"/>
      <c r="F58" s="102"/>
      <c r="G58" s="102"/>
      <c r="H58" s="102"/>
      <c r="I58" s="102"/>
      <c r="J58" s="102"/>
      <c r="K58" s="102"/>
      <c r="L58" s="102"/>
      <c r="M58" s="102"/>
      <c r="N58" s="102"/>
      <c r="O58" s="102"/>
    </row>
    <row r="59" customFormat="false" ht="15" hidden="false" customHeight="true" outlineLevel="0" collapsed="false">
      <c r="A59" s="102"/>
      <c r="B59" s="123" t="n">
        <v>9</v>
      </c>
      <c r="C59" s="131" t="n">
        <v>5.61</v>
      </c>
      <c r="D59" s="132" t="str">
        <f aca="false">IF(ABS(C59-$C$72)&gt;3*$C$73,"SPECIAL CAUSE","common cause")</f>
        <v>common cause</v>
      </c>
      <c r="E59" s="102"/>
      <c r="F59" s="102"/>
      <c r="G59" s="102"/>
      <c r="H59" s="102"/>
      <c r="I59" s="102"/>
      <c r="J59" s="102"/>
      <c r="K59" s="102"/>
      <c r="L59" s="102"/>
      <c r="M59" s="102"/>
      <c r="N59" s="102"/>
      <c r="O59" s="102"/>
    </row>
    <row r="60" customFormat="false" ht="15" hidden="false" customHeight="true" outlineLevel="0" collapsed="false">
      <c r="A60" s="102"/>
      <c r="B60" s="123" t="n">
        <v>10</v>
      </c>
      <c r="C60" s="131" t="n">
        <v>5.59</v>
      </c>
      <c r="D60" s="132" t="str">
        <f aca="false">IF(ABS(C60-$C$72)&gt;3*$C$73,"SPECIAL CAUSE","common cause")</f>
        <v>common cause</v>
      </c>
      <c r="E60" s="102"/>
      <c r="F60" s="102"/>
      <c r="G60" s="102"/>
      <c r="H60" s="102"/>
      <c r="I60" s="102"/>
      <c r="J60" s="102"/>
      <c r="K60" s="102"/>
      <c r="L60" s="102"/>
      <c r="M60" s="102"/>
      <c r="N60" s="102"/>
      <c r="O60" s="102"/>
    </row>
    <row r="61" customFormat="false" ht="15" hidden="false" customHeight="true" outlineLevel="0" collapsed="false">
      <c r="A61" s="102"/>
      <c r="B61" s="123" t="n">
        <v>11</v>
      </c>
      <c r="C61" s="131" t="n">
        <v>5.6</v>
      </c>
      <c r="D61" s="132" t="str">
        <f aca="false">IF(ABS(C61-$C$72)&gt;3*$C$73,"SPECIAL CAUSE","common cause")</f>
        <v>common cause</v>
      </c>
      <c r="E61" s="102"/>
      <c r="F61" s="102"/>
      <c r="G61" s="102"/>
      <c r="H61" s="102"/>
      <c r="I61" s="102"/>
      <c r="J61" s="102"/>
      <c r="K61" s="102"/>
      <c r="L61" s="102"/>
      <c r="M61" s="102"/>
      <c r="N61" s="102"/>
      <c r="O61" s="102"/>
    </row>
    <row r="62" customFormat="false" ht="15" hidden="false" customHeight="true" outlineLevel="0" collapsed="false">
      <c r="A62" s="102"/>
      <c r="B62" s="123" t="n">
        <v>12</v>
      </c>
      <c r="C62" s="131" t="n">
        <v>5.57</v>
      </c>
      <c r="D62" s="132" t="str">
        <f aca="false">IF(ABS(C62-$C$72)&gt;3*$C$73,"SPECIAL CAUSE","common cause")</f>
        <v>common cause</v>
      </c>
      <c r="E62" s="102"/>
      <c r="F62" s="102"/>
      <c r="G62" s="102"/>
      <c r="H62" s="102"/>
      <c r="I62" s="102"/>
      <c r="J62" s="102"/>
      <c r="K62" s="102"/>
      <c r="L62" s="102"/>
      <c r="M62" s="102"/>
      <c r="N62" s="102"/>
      <c r="O62" s="102"/>
    </row>
    <row r="63" customFormat="false" ht="15" hidden="false" customHeight="true" outlineLevel="0" collapsed="false">
      <c r="A63" s="102"/>
      <c r="B63" s="123" t="n">
        <v>13</v>
      </c>
      <c r="C63" s="131" t="n">
        <v>5.63</v>
      </c>
      <c r="D63" s="132" t="str">
        <f aca="false">IF(ABS(C63-$C$72)&gt;3*$C$73,"SPECIAL CAUSE","common cause")</f>
        <v>common cause</v>
      </c>
      <c r="E63" s="102"/>
      <c r="F63" s="102"/>
      <c r="G63" s="102"/>
      <c r="H63" s="102"/>
      <c r="I63" s="102"/>
      <c r="J63" s="102"/>
      <c r="K63" s="102"/>
      <c r="L63" s="102"/>
      <c r="M63" s="102"/>
      <c r="N63" s="102"/>
      <c r="O63" s="102"/>
    </row>
    <row r="64" customFormat="false" ht="15" hidden="false" customHeight="true" outlineLevel="0" collapsed="false">
      <c r="A64" s="102"/>
      <c r="B64" s="123" t="n">
        <v>14</v>
      </c>
      <c r="C64" s="131" t="n">
        <v>5.81</v>
      </c>
      <c r="D64" s="132" t="str">
        <f aca="false">IF(ABS(C64-$C$72)&gt;3*$C$73,"SPECIAL CAUSE","common cause")</f>
        <v>SPECIAL CAUSE</v>
      </c>
      <c r="E64" s="102"/>
      <c r="F64" s="102"/>
      <c r="G64" s="102"/>
      <c r="H64" s="102"/>
      <c r="I64" s="102"/>
      <c r="J64" s="102"/>
      <c r="K64" s="102"/>
      <c r="L64" s="102"/>
      <c r="M64" s="102"/>
      <c r="N64" s="102"/>
      <c r="O64" s="102"/>
    </row>
    <row r="65" customFormat="false" ht="15" hidden="false" customHeight="true" outlineLevel="0" collapsed="false">
      <c r="A65" s="102"/>
      <c r="B65" s="123" t="n">
        <v>15</v>
      </c>
      <c r="C65" s="131" t="n">
        <v>5.59</v>
      </c>
      <c r="D65" s="132" t="str">
        <f aca="false">IF(ABS(C65-$C$72)&gt;3*$C$73,"SPECIAL CAUSE","common cause")</f>
        <v>common cause</v>
      </c>
      <c r="E65" s="102"/>
      <c r="F65" s="102"/>
      <c r="G65" s="102"/>
      <c r="H65" s="102"/>
      <c r="I65" s="102"/>
      <c r="J65" s="102"/>
      <c r="K65" s="102"/>
      <c r="L65" s="102"/>
      <c r="M65" s="102"/>
      <c r="N65" s="102"/>
      <c r="O65" s="102"/>
    </row>
    <row r="66" customFormat="false" ht="15" hidden="false" customHeight="true" outlineLevel="0" collapsed="false">
      <c r="A66" s="102"/>
      <c r="B66" s="123" t="n">
        <v>16</v>
      </c>
      <c r="C66" s="131" t="n">
        <v>5.61</v>
      </c>
      <c r="D66" s="132" t="str">
        <f aca="false">IF(ABS(C66-$C$72)&gt;3*$C$73,"SPECIAL CAUSE","common cause")</f>
        <v>common cause</v>
      </c>
      <c r="E66" s="102"/>
      <c r="F66" s="102"/>
      <c r="G66" s="102"/>
      <c r="H66" s="102"/>
      <c r="I66" s="102"/>
      <c r="J66" s="102"/>
      <c r="K66" s="102"/>
      <c r="L66" s="102"/>
      <c r="M66" s="102"/>
      <c r="N66" s="102"/>
      <c r="O66" s="102"/>
    </row>
    <row r="67" customFormat="false" ht="15" hidden="false" customHeight="true" outlineLevel="0" collapsed="false">
      <c r="A67" s="102"/>
      <c r="B67" s="123" t="n">
        <v>17</v>
      </c>
      <c r="C67" s="131" t="n">
        <v>5.58</v>
      </c>
      <c r="D67" s="132" t="str">
        <f aca="false">IF(ABS(C67-$C$72)&gt;3*$C$73,"SPECIAL CAUSE","common cause")</f>
        <v>common cause</v>
      </c>
      <c r="E67" s="102"/>
      <c r="F67" s="102"/>
      <c r="G67" s="102"/>
      <c r="H67" s="102"/>
      <c r="I67" s="102"/>
      <c r="J67" s="102"/>
      <c r="K67" s="102"/>
      <c r="L67" s="102"/>
      <c r="M67" s="102"/>
      <c r="N67" s="102"/>
      <c r="O67" s="102"/>
    </row>
    <row r="68" customFormat="false" ht="15" hidden="false" customHeight="true" outlineLevel="0" collapsed="false">
      <c r="A68" s="102"/>
      <c r="B68" s="123" t="n">
        <v>18</v>
      </c>
      <c r="C68" s="131" t="n">
        <v>5.6</v>
      </c>
      <c r="D68" s="132" t="str">
        <f aca="false">IF(ABS(C68-$C$72)&gt;3*$C$73,"SPECIAL CAUSE","common cause")</f>
        <v>common cause</v>
      </c>
      <c r="E68" s="102"/>
      <c r="F68" s="102"/>
      <c r="G68" s="102"/>
      <c r="H68" s="102"/>
      <c r="I68" s="102"/>
      <c r="J68" s="102"/>
      <c r="K68" s="102"/>
      <c r="L68" s="102"/>
      <c r="M68" s="102"/>
      <c r="N68" s="102"/>
      <c r="O68" s="102"/>
    </row>
    <row r="69" customFormat="false" ht="15" hidden="false" customHeight="true" outlineLevel="0" collapsed="false">
      <c r="A69" s="102"/>
      <c r="B69" s="123" t="n">
        <v>19</v>
      </c>
      <c r="C69" s="131" t="n">
        <v>5.62</v>
      </c>
      <c r="D69" s="132" t="str">
        <f aca="false">IF(ABS(C69-$C$72)&gt;3*$C$73,"SPECIAL CAUSE","common cause")</f>
        <v>common cause</v>
      </c>
      <c r="E69" s="102"/>
      <c r="F69" s="102"/>
      <c r="G69" s="102"/>
      <c r="H69" s="102"/>
      <c r="I69" s="102"/>
      <c r="J69" s="102"/>
      <c r="K69" s="102"/>
      <c r="L69" s="102"/>
      <c r="M69" s="102"/>
      <c r="N69" s="102"/>
      <c r="O69" s="102"/>
    </row>
    <row r="70" customFormat="false" ht="15" hidden="false" customHeight="true" outlineLevel="0" collapsed="false">
      <c r="A70" s="102"/>
      <c r="B70" s="123" t="n">
        <v>20</v>
      </c>
      <c r="C70" s="131" t="n">
        <v>5.59</v>
      </c>
      <c r="D70" s="132" t="str">
        <f aca="false">IF(ABS(C70-$C$72)&gt;3*$C$73,"SPECIAL CAUSE","common cause")</f>
        <v>common cause</v>
      </c>
      <c r="E70" s="102"/>
      <c r="F70" s="102"/>
      <c r="G70" s="102"/>
      <c r="H70" s="102"/>
      <c r="I70" s="102"/>
      <c r="J70" s="102"/>
      <c r="K70" s="102"/>
      <c r="L70" s="102"/>
      <c r="M70" s="102"/>
      <c r="N70" s="102"/>
      <c r="O70" s="102"/>
    </row>
    <row r="71" customFormat="false" ht="15" hidden="false" customHeight="true" outlineLevel="0" collapsed="false">
      <c r="A71" s="102"/>
      <c r="B71" s="102"/>
      <c r="C71" s="102"/>
      <c r="D71" s="102"/>
      <c r="E71" s="102"/>
      <c r="F71" s="102"/>
      <c r="G71" s="102"/>
      <c r="H71" s="102"/>
      <c r="I71" s="102"/>
      <c r="J71" s="102"/>
      <c r="K71" s="102"/>
      <c r="L71" s="102"/>
      <c r="M71" s="102"/>
      <c r="N71" s="102"/>
      <c r="O71" s="102"/>
    </row>
    <row r="72" customFormat="false" ht="15" hidden="false" customHeight="true" outlineLevel="0" collapsed="false">
      <c r="A72" s="102"/>
      <c r="B72" s="105" t="s">
        <v>5666</v>
      </c>
      <c r="C72" s="129" t="n">
        <f aca="false">AVERAGE(C51:C70)</f>
        <v>5.609</v>
      </c>
      <c r="D72" s="102"/>
      <c r="E72" s="102"/>
      <c r="F72" s="102"/>
      <c r="G72" s="102"/>
      <c r="H72" s="102"/>
      <c r="I72" s="102"/>
      <c r="J72" s="102"/>
      <c r="K72" s="102"/>
      <c r="L72" s="102"/>
      <c r="M72" s="102"/>
      <c r="N72" s="102"/>
      <c r="O72" s="102"/>
    </row>
    <row r="73" customFormat="false" ht="15" hidden="false" customHeight="true" outlineLevel="0" collapsed="false">
      <c r="A73" s="102"/>
      <c r="B73" s="105" t="s">
        <v>5667</v>
      </c>
      <c r="C73" s="129" t="n">
        <f aca="false">STDEV(C51:C70)</f>
        <v>0.0506692058458846</v>
      </c>
      <c r="D73" s="102"/>
      <c r="E73" s="102"/>
      <c r="F73" s="102"/>
      <c r="G73" s="102"/>
      <c r="H73" s="102"/>
      <c r="I73" s="102"/>
      <c r="J73" s="102"/>
      <c r="K73" s="102"/>
      <c r="L73" s="102"/>
      <c r="M73" s="102"/>
      <c r="N73" s="102"/>
      <c r="O73" s="102"/>
    </row>
    <row r="74" customFormat="false" ht="15" hidden="false" customHeight="true" outlineLevel="0" collapsed="false">
      <c r="A74" s="102"/>
      <c r="B74" s="102"/>
      <c r="C74" s="102"/>
      <c r="D74" s="102"/>
      <c r="E74" s="102"/>
      <c r="F74" s="102"/>
      <c r="G74" s="102"/>
      <c r="H74" s="102"/>
      <c r="I74" s="102"/>
      <c r="J74" s="102"/>
      <c r="K74" s="102"/>
      <c r="L74" s="102"/>
      <c r="M74" s="102"/>
      <c r="N74" s="102"/>
      <c r="O74" s="102"/>
    </row>
    <row r="75" customFormat="false" ht="15.75" hidden="false" customHeight="true" outlineLevel="0" collapsed="false">
      <c r="A75" s="102"/>
      <c r="B75" s="103" t="s">
        <v>1493</v>
      </c>
      <c r="C75" s="104"/>
      <c r="D75" s="104"/>
      <c r="E75" s="104"/>
      <c r="F75" s="104"/>
      <c r="G75" s="104"/>
      <c r="H75" s="104"/>
      <c r="I75" s="104"/>
      <c r="J75" s="104"/>
      <c r="K75" s="104"/>
      <c r="L75" s="102"/>
      <c r="M75" s="102"/>
      <c r="N75" s="102"/>
      <c r="O75" s="102"/>
    </row>
    <row r="76" customFormat="false" ht="33.75" hidden="false" customHeight="true" outlineLevel="0" collapsed="false">
      <c r="A76" s="102"/>
      <c r="B76" s="105" t="s">
        <v>1494</v>
      </c>
      <c r="C76" s="117" t="str">
        <f aca="false">IF(COUNTIF(D51:D70,"SPECIAL CAUSE")&gt;0,COUNTIF(D51:D70,"SPECIAL CAUSE")&amp;" point(s) flagged as special cause. Investigate the specific event at that shift - do not retune the process based on the other, common-cause points.","No points flagged. Treat all variation as common cause: do not adjust the process based on individual points; work on reducing the common-cause spread itself if it is too wide for the spec.")</f>
        <v>1 point(s) flagged as special cause. Investigate the specific event at that shift - do not retune the process based on the other, common-cause points.</v>
      </c>
      <c r="D76" s="117"/>
      <c r="E76" s="117"/>
      <c r="F76" s="117"/>
      <c r="G76" s="117"/>
      <c r="H76" s="102"/>
      <c r="I76" s="102"/>
      <c r="J76" s="102"/>
      <c r="K76" s="102"/>
      <c r="L76" s="102"/>
      <c r="M76" s="102"/>
      <c r="N76" s="102"/>
      <c r="O76" s="102"/>
    </row>
    <row r="77" customFormat="false" ht="15" hidden="false" customHeight="true" outlineLevel="0" collapsed="false">
      <c r="A77" s="102"/>
      <c r="B77" s="102"/>
      <c r="C77" s="102"/>
      <c r="D77" s="102"/>
      <c r="E77" s="102"/>
      <c r="F77" s="102"/>
      <c r="G77" s="102"/>
      <c r="H77" s="102"/>
      <c r="I77" s="102"/>
      <c r="J77" s="102"/>
      <c r="K77" s="102"/>
      <c r="L77" s="102"/>
      <c r="M77" s="102"/>
      <c r="N77" s="102"/>
      <c r="O77" s="102"/>
    </row>
    <row r="78" customFormat="false" ht="16.5" hidden="false" customHeight="true" outlineLevel="0" collapsed="false">
      <c r="A78" s="102"/>
      <c r="B78" s="108" t="s">
        <v>1495</v>
      </c>
      <c r="C78" s="108" t="s">
        <v>1496</v>
      </c>
      <c r="D78" s="108" t="s">
        <v>1497</v>
      </c>
      <c r="E78" s="102"/>
      <c r="F78" s="102"/>
      <c r="G78" s="102"/>
      <c r="H78" s="102"/>
      <c r="I78" s="102"/>
      <c r="J78" s="102"/>
      <c r="K78" s="102"/>
      <c r="L78" s="102"/>
      <c r="M78" s="102"/>
      <c r="N78" s="102"/>
      <c r="O78" s="102"/>
    </row>
    <row r="79" customFormat="false" ht="30.75" hidden="false" customHeight="true" outlineLevel="0" collapsed="false">
      <c r="A79" s="102"/>
      <c r="B79" s="110" t="s">
        <v>5668</v>
      </c>
      <c r="C79" s="111" t="s">
        <v>5669</v>
      </c>
      <c r="D79" s="15" t="s">
        <v>5670</v>
      </c>
      <c r="E79" s="102"/>
      <c r="F79" s="102"/>
      <c r="G79" s="102"/>
      <c r="H79" s="102"/>
      <c r="I79" s="102"/>
      <c r="J79" s="102"/>
      <c r="K79" s="102"/>
      <c r="L79" s="102"/>
      <c r="M79" s="102"/>
      <c r="N79" s="102"/>
      <c r="O79" s="102"/>
    </row>
    <row r="80" customFormat="false" ht="30.75" hidden="false" customHeight="true" outlineLevel="0" collapsed="false">
      <c r="A80" s="102"/>
      <c r="B80" s="110" t="s">
        <v>5671</v>
      </c>
      <c r="C80" s="111" t="s">
        <v>5672</v>
      </c>
      <c r="D80" s="15" t="s">
        <v>5673</v>
      </c>
      <c r="E80" s="102"/>
      <c r="F80" s="102"/>
      <c r="G80" s="102"/>
      <c r="H80" s="102"/>
      <c r="I80" s="102"/>
      <c r="J80" s="102"/>
      <c r="K80" s="102"/>
      <c r="L80" s="102"/>
      <c r="M80" s="102"/>
      <c r="N80" s="102"/>
      <c r="O80" s="102"/>
    </row>
    <row r="81" customFormat="false" ht="30.75" hidden="false" customHeight="true" outlineLevel="0" collapsed="false">
      <c r="A81" s="102"/>
      <c r="B81" s="110" t="s">
        <v>5674</v>
      </c>
      <c r="C81" s="111" t="s">
        <v>5675</v>
      </c>
      <c r="D81" s="15" t="s">
        <v>5676</v>
      </c>
      <c r="E81" s="102"/>
      <c r="F81" s="102"/>
      <c r="G81" s="102"/>
      <c r="H81" s="102"/>
      <c r="I81" s="102"/>
      <c r="J81" s="102"/>
      <c r="K81" s="102"/>
      <c r="L81" s="102"/>
      <c r="M81" s="102"/>
      <c r="N81" s="102"/>
      <c r="O81" s="102"/>
    </row>
    <row r="82" customFormat="false" ht="15" hidden="false" customHeight="true" outlineLevel="0" collapsed="false">
      <c r="A82" s="102"/>
      <c r="B82" s="102"/>
      <c r="C82" s="102"/>
      <c r="D82" s="102"/>
      <c r="E82" s="102"/>
      <c r="F82" s="102"/>
      <c r="G82" s="102"/>
      <c r="H82" s="102"/>
      <c r="I82" s="102"/>
      <c r="J82" s="102"/>
      <c r="K82" s="102"/>
      <c r="L82" s="102"/>
      <c r="M82" s="102"/>
      <c r="N82" s="102"/>
      <c r="O82" s="102"/>
    </row>
    <row r="83" customFormat="false" ht="15" hidden="false" customHeight="true" outlineLevel="0" collapsed="false">
      <c r="A83" s="102"/>
      <c r="B83" s="105" t="s">
        <v>1507</v>
      </c>
      <c r="C83" s="102"/>
      <c r="D83" s="102"/>
      <c r="E83" s="102"/>
      <c r="F83" s="102"/>
      <c r="G83" s="102"/>
      <c r="H83" s="102"/>
      <c r="I83" s="102"/>
      <c r="J83" s="102"/>
      <c r="K83" s="102"/>
      <c r="L83" s="102"/>
      <c r="M83" s="102"/>
      <c r="N83" s="102"/>
      <c r="O83" s="102"/>
    </row>
    <row r="84" customFormat="false" ht="17.25" hidden="false" customHeight="true" outlineLevel="0" collapsed="false">
      <c r="A84" s="102"/>
      <c r="B84" s="106" t="s">
        <v>5677</v>
      </c>
      <c r="C84" s="106"/>
      <c r="D84" s="106"/>
      <c r="E84" s="106"/>
      <c r="F84" s="106"/>
      <c r="G84" s="106"/>
      <c r="H84" s="106"/>
      <c r="I84" s="102"/>
      <c r="J84" s="102"/>
      <c r="K84" s="102"/>
      <c r="L84" s="102"/>
      <c r="M84" s="102"/>
      <c r="N84" s="102"/>
      <c r="O84" s="102"/>
    </row>
    <row r="85" customFormat="false" ht="17.25" hidden="false" customHeight="true" outlineLevel="0" collapsed="false">
      <c r="A85" s="102"/>
      <c r="B85" s="106" t="s">
        <v>5678</v>
      </c>
      <c r="C85" s="106"/>
      <c r="D85" s="106"/>
      <c r="E85" s="106"/>
      <c r="F85" s="106"/>
      <c r="G85" s="106"/>
      <c r="H85" s="106"/>
      <c r="I85" s="102"/>
      <c r="J85" s="102"/>
      <c r="K85" s="102"/>
      <c r="L85" s="102"/>
      <c r="M85" s="102"/>
      <c r="N85" s="102"/>
      <c r="O85" s="102"/>
    </row>
    <row r="86" customFormat="false" ht="17.25" hidden="false" customHeight="true" outlineLevel="0" collapsed="false">
      <c r="A86" s="102"/>
      <c r="B86" s="106" t="s">
        <v>5679</v>
      </c>
      <c r="C86" s="106"/>
      <c r="D86" s="106"/>
      <c r="E86" s="106"/>
      <c r="F86" s="106"/>
      <c r="G86" s="106"/>
      <c r="H86" s="106"/>
      <c r="I86" s="102"/>
      <c r="J86" s="102"/>
      <c r="K86" s="102"/>
      <c r="L86" s="102"/>
      <c r="M86" s="102"/>
      <c r="N86" s="102"/>
      <c r="O86" s="102"/>
    </row>
    <row r="87" customFormat="false" ht="17.25" hidden="false" customHeight="true" outlineLevel="0" collapsed="false">
      <c r="A87" s="102"/>
      <c r="B87" s="106" t="s">
        <v>5680</v>
      </c>
      <c r="C87" s="106"/>
      <c r="D87" s="106"/>
      <c r="E87" s="106"/>
      <c r="F87" s="106"/>
      <c r="G87" s="106"/>
      <c r="H87" s="106"/>
      <c r="I87" s="102"/>
      <c r="J87" s="102"/>
      <c r="K87" s="102"/>
      <c r="L87" s="102"/>
      <c r="M87" s="102"/>
      <c r="N87" s="102"/>
      <c r="O87" s="102"/>
    </row>
    <row r="88" customFormat="false" ht="15" hidden="false" customHeight="true" outlineLevel="0" collapsed="false">
      <c r="A88" s="102"/>
      <c r="B88" s="102"/>
      <c r="C88" s="102"/>
      <c r="D88" s="102"/>
      <c r="E88" s="102"/>
      <c r="F88" s="102"/>
      <c r="G88" s="102"/>
      <c r="H88" s="102"/>
      <c r="I88" s="102"/>
      <c r="J88" s="102"/>
      <c r="K88" s="102"/>
      <c r="L88" s="102"/>
      <c r="M88" s="102"/>
      <c r="N88" s="102"/>
      <c r="O88" s="102"/>
    </row>
    <row r="89" customFormat="false" ht="15.75" hidden="false" customHeight="true" outlineLevel="0" collapsed="false">
      <c r="A89" s="102"/>
      <c r="B89" s="103" t="s">
        <v>1513</v>
      </c>
      <c r="C89" s="104"/>
      <c r="D89" s="104"/>
      <c r="E89" s="104"/>
      <c r="F89" s="104"/>
      <c r="G89" s="104"/>
      <c r="H89" s="104"/>
      <c r="I89" s="104"/>
      <c r="J89" s="104"/>
      <c r="K89" s="104"/>
      <c r="L89" s="102"/>
      <c r="M89" s="102"/>
      <c r="N89" s="102"/>
      <c r="O89" s="102"/>
    </row>
    <row r="90" customFormat="false" ht="17.25" hidden="false" customHeight="true" outlineLevel="0" collapsed="false">
      <c r="A90" s="102"/>
      <c r="B90" s="118" t="s">
        <v>1514</v>
      </c>
      <c r="C90" s="118"/>
      <c r="D90" s="118"/>
      <c r="E90" s="118"/>
      <c r="F90" s="102"/>
      <c r="G90" s="102"/>
      <c r="H90" s="102"/>
      <c r="I90" s="102"/>
      <c r="J90" s="102"/>
      <c r="K90" s="102"/>
      <c r="L90" s="102"/>
      <c r="M90" s="102"/>
      <c r="N90" s="119" t="s">
        <v>1515</v>
      </c>
      <c r="O90" s="102"/>
    </row>
    <row r="91" customFormat="false" ht="44.25" hidden="false" customHeight="true" outlineLevel="0" collapsed="false">
      <c r="A91" s="102"/>
      <c r="B91" s="106" t="s">
        <v>5681</v>
      </c>
      <c r="C91" s="106"/>
      <c r="D91" s="106"/>
      <c r="E91" s="106"/>
      <c r="F91" s="102"/>
      <c r="G91" s="102"/>
      <c r="H91" s="102"/>
      <c r="I91" s="102"/>
      <c r="J91" s="102"/>
      <c r="K91" s="102"/>
      <c r="L91" s="102"/>
      <c r="M91" s="102"/>
      <c r="N91" s="120" t="s">
        <v>5682</v>
      </c>
      <c r="O91" s="102"/>
    </row>
    <row r="92" customFormat="false" ht="44.25" hidden="false" customHeight="true" outlineLevel="0" collapsed="false">
      <c r="A92" s="102"/>
      <c r="B92" s="106" t="s">
        <v>5683</v>
      </c>
      <c r="C92" s="106"/>
      <c r="D92" s="106"/>
      <c r="E92" s="106"/>
      <c r="F92" s="102"/>
      <c r="G92" s="102"/>
      <c r="H92" s="102"/>
      <c r="I92" s="102"/>
      <c r="J92" s="102"/>
      <c r="K92" s="102"/>
      <c r="L92" s="102"/>
      <c r="M92" s="102"/>
      <c r="N92" s="120" t="s">
        <v>5684</v>
      </c>
      <c r="O92" s="102"/>
    </row>
    <row r="93" customFormat="false" ht="58.5" hidden="false" customHeight="true" outlineLevel="0" collapsed="false">
      <c r="A93" s="102"/>
      <c r="B93" s="106" t="s">
        <v>5685</v>
      </c>
      <c r="C93" s="106"/>
      <c r="D93" s="106"/>
      <c r="E93" s="106"/>
      <c r="F93" s="102"/>
      <c r="G93" s="102"/>
      <c r="H93" s="102"/>
      <c r="I93" s="102"/>
      <c r="J93" s="102"/>
      <c r="K93" s="102"/>
      <c r="L93" s="102"/>
      <c r="M93" s="102"/>
      <c r="N93" s="120" t="s">
        <v>5686</v>
      </c>
      <c r="O93" s="102"/>
    </row>
    <row r="94" customFormat="false" ht="15" hidden="false" customHeight="true" outlineLevel="0" collapsed="false">
      <c r="A94" s="102"/>
      <c r="B94" s="102"/>
      <c r="C94" s="102"/>
      <c r="D94" s="102"/>
      <c r="E94" s="102"/>
      <c r="F94" s="102"/>
      <c r="G94" s="102"/>
      <c r="H94" s="102"/>
      <c r="I94" s="102"/>
      <c r="J94" s="102"/>
      <c r="K94" s="102"/>
      <c r="L94" s="102"/>
      <c r="M94" s="102"/>
      <c r="N94" s="102"/>
      <c r="O94" s="102"/>
    </row>
    <row r="95" customFormat="false" ht="15.75" hidden="false" customHeight="true" outlineLevel="0" collapsed="false">
      <c r="A95" s="102"/>
      <c r="B95" s="103" t="s">
        <v>1522</v>
      </c>
      <c r="C95" s="104"/>
      <c r="D95" s="104"/>
      <c r="E95" s="104"/>
      <c r="F95" s="104"/>
      <c r="G95" s="104"/>
      <c r="H95" s="104"/>
      <c r="I95" s="104"/>
      <c r="J95" s="104"/>
      <c r="K95" s="104"/>
      <c r="L95" s="102"/>
      <c r="M95" s="102"/>
      <c r="N95" s="102"/>
      <c r="O95" s="102"/>
    </row>
    <row r="96" customFormat="false" ht="16.5" hidden="false" customHeight="true" outlineLevel="0" collapsed="false">
      <c r="A96" s="102"/>
      <c r="B96" s="108" t="s">
        <v>1523</v>
      </c>
      <c r="C96" s="108" t="s">
        <v>1524</v>
      </c>
      <c r="D96" s="108" t="s">
        <v>1615</v>
      </c>
      <c r="E96" s="102"/>
      <c r="F96" s="102"/>
      <c r="G96" s="102"/>
      <c r="H96" s="102"/>
      <c r="I96" s="102"/>
      <c r="J96" s="102"/>
      <c r="K96" s="102"/>
      <c r="L96" s="102"/>
      <c r="M96" s="102"/>
      <c r="N96" s="102"/>
      <c r="O96" s="102"/>
    </row>
    <row r="97" customFormat="false" ht="15" hidden="false" customHeight="true" outlineLevel="0" collapsed="false">
      <c r="A97" s="102"/>
      <c r="B97" s="121" t="s">
        <v>1025</v>
      </c>
      <c r="C97" s="121" t="s">
        <v>1326</v>
      </c>
      <c r="D97" s="121" t="s">
        <v>5687</v>
      </c>
      <c r="E97" s="102"/>
      <c r="F97" s="102"/>
      <c r="G97" s="102"/>
      <c r="H97" s="102"/>
      <c r="I97" s="102"/>
      <c r="J97" s="102"/>
      <c r="K97" s="102"/>
      <c r="L97" s="102"/>
      <c r="M97" s="102"/>
      <c r="N97" s="102"/>
      <c r="O97" s="102"/>
    </row>
    <row r="98" customFormat="false" ht="15" hidden="false" customHeight="true" outlineLevel="0" collapsed="false">
      <c r="A98" s="102"/>
      <c r="B98" s="102"/>
      <c r="C98" s="102"/>
      <c r="D98" s="102"/>
      <c r="E98" s="102"/>
      <c r="F98" s="102"/>
      <c r="G98" s="102"/>
      <c r="H98" s="102"/>
      <c r="I98" s="102"/>
      <c r="J98" s="102"/>
      <c r="K98" s="102"/>
      <c r="L98" s="102"/>
      <c r="M98" s="102"/>
      <c r="N98" s="102"/>
      <c r="O98" s="102"/>
    </row>
    <row r="99" customFormat="false" ht="15" hidden="false" customHeight="true" outlineLevel="0" collapsed="false">
      <c r="A99" s="102"/>
      <c r="B99" s="102"/>
      <c r="C99" s="102"/>
      <c r="D99" s="102"/>
      <c r="E99" s="102"/>
      <c r="F99" s="102"/>
      <c r="G99" s="102"/>
      <c r="H99" s="102"/>
      <c r="I99" s="102"/>
      <c r="J99" s="102"/>
      <c r="K99" s="102"/>
      <c r="L99" s="102"/>
      <c r="M99" s="102"/>
      <c r="N99" s="102"/>
      <c r="O99" s="102"/>
    </row>
    <row r="100" customFormat="false" ht="15" hidden="false" customHeight="true" outlineLevel="0" collapsed="false">
      <c r="A100" s="102"/>
      <c r="B100" s="102"/>
      <c r="C100" s="102"/>
      <c r="D100" s="102"/>
      <c r="E100" s="102"/>
      <c r="F100" s="102"/>
      <c r="G100" s="102"/>
      <c r="H100" s="102"/>
      <c r="I100" s="102"/>
      <c r="J100" s="102"/>
      <c r="K100" s="102"/>
      <c r="L100" s="102"/>
      <c r="M100" s="102"/>
      <c r="N100" s="102"/>
      <c r="O100" s="102"/>
    </row>
    <row r="101" customFormat="false" ht="15" hidden="false" customHeight="true" outlineLevel="0" collapsed="false">
      <c r="A101" s="102"/>
      <c r="B101" s="102"/>
      <c r="C101" s="102"/>
      <c r="D101" s="102"/>
      <c r="E101" s="102"/>
      <c r="F101" s="102"/>
      <c r="G101" s="102"/>
      <c r="H101" s="102"/>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 hidden="false" customHeight="true" outlineLevel="0" collapsed="false">
      <c r="A120" s="102"/>
      <c r="B120" s="102"/>
      <c r="C120" s="102"/>
      <c r="D120" s="102"/>
      <c r="E120" s="102"/>
      <c r="F120" s="102"/>
      <c r="G120" s="102"/>
      <c r="H120" s="102"/>
      <c r="I120" s="102"/>
      <c r="J120" s="102"/>
      <c r="K120" s="102"/>
      <c r="L120" s="102"/>
      <c r="M120" s="102"/>
      <c r="N120" s="102"/>
      <c r="O120" s="102"/>
    </row>
    <row r="121" customFormat="false" ht="15" hidden="false" customHeight="true" outlineLevel="0" collapsed="false">
      <c r="A121" s="102"/>
      <c r="B121" s="102"/>
      <c r="C121" s="102"/>
      <c r="D121" s="102"/>
      <c r="E121" s="102"/>
      <c r="F121" s="102"/>
      <c r="G121" s="102"/>
      <c r="H121" s="102"/>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 hidden="false" customHeight="true" outlineLevel="0" collapsed="false">
      <c r="A124" s="102"/>
      <c r="B124" s="102"/>
      <c r="C124" s="102"/>
      <c r="D124" s="102"/>
      <c r="E124" s="102"/>
      <c r="F124" s="102"/>
      <c r="G124" s="102"/>
      <c r="H124" s="102"/>
      <c r="I124" s="102"/>
      <c r="J124" s="102"/>
      <c r="K124" s="102"/>
      <c r="L124" s="102"/>
      <c r="M124" s="102"/>
      <c r="N124" s="102"/>
      <c r="O124" s="102"/>
    </row>
    <row r="125" customFormat="false" ht="15" hidden="false" customHeight="true" outlineLevel="0" collapsed="false">
      <c r="A125" s="102"/>
      <c r="B125" s="102"/>
      <c r="C125" s="102"/>
      <c r="D125" s="102"/>
      <c r="E125" s="102"/>
      <c r="F125" s="102"/>
      <c r="G125" s="102"/>
      <c r="H125" s="102"/>
      <c r="I125" s="102"/>
      <c r="J125" s="102"/>
      <c r="K125" s="102"/>
      <c r="L125" s="102"/>
      <c r="M125" s="102"/>
      <c r="N125" s="102"/>
      <c r="O125" s="102"/>
    </row>
    <row r="126" customFormat="false" ht="15" hidden="false" customHeight="true" outlineLevel="0" collapsed="false">
      <c r="A126" s="102"/>
      <c r="B126" s="102"/>
      <c r="C126" s="102"/>
      <c r="D126" s="102"/>
      <c r="E126" s="102"/>
      <c r="F126" s="102"/>
      <c r="G126" s="102"/>
      <c r="H126" s="102"/>
      <c r="I126" s="102"/>
      <c r="J126" s="102"/>
      <c r="K126" s="102"/>
      <c r="L126" s="102"/>
      <c r="M126" s="102"/>
      <c r="N126" s="102"/>
      <c r="O126" s="102"/>
    </row>
    <row r="127" customFormat="false" ht="15" hidden="false" customHeight="true" outlineLevel="0" collapsed="false">
      <c r="A127" s="102"/>
      <c r="B127" s="102"/>
      <c r="C127" s="102"/>
      <c r="D127" s="102"/>
      <c r="E127" s="102"/>
      <c r="F127" s="102"/>
      <c r="G127" s="102"/>
      <c r="H127" s="102"/>
      <c r="I127" s="102"/>
      <c r="J127" s="102"/>
      <c r="K127" s="102"/>
      <c r="L127" s="102"/>
      <c r="M127" s="102"/>
      <c r="N127" s="102"/>
      <c r="O127" s="102"/>
    </row>
    <row r="128" customFormat="false" ht="15" hidden="false" customHeight="true" outlineLevel="0" collapsed="false">
      <c r="A128" s="102"/>
      <c r="B128" s="102"/>
      <c r="C128" s="102"/>
      <c r="D128" s="102"/>
      <c r="E128" s="102"/>
      <c r="F128" s="102"/>
      <c r="G128" s="102"/>
      <c r="H128" s="102"/>
      <c r="I128" s="102"/>
      <c r="J128" s="102"/>
      <c r="K128" s="102"/>
      <c r="L128" s="102"/>
      <c r="M128" s="102"/>
      <c r="N128" s="102"/>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5" hidden="false" customHeight="true" outlineLevel="0" collapsed="false">
      <c r="A130" s="102"/>
      <c r="B130" s="102"/>
      <c r="C130" s="102"/>
      <c r="D130" s="102"/>
      <c r="E130" s="102"/>
      <c r="F130" s="102"/>
      <c r="G130" s="102"/>
      <c r="H130" s="102"/>
      <c r="I130" s="102"/>
      <c r="J130" s="102"/>
      <c r="K130" s="102"/>
      <c r="L130" s="102"/>
      <c r="M130" s="102"/>
      <c r="N130" s="102"/>
      <c r="O130" s="102"/>
    </row>
    <row r="131" customFormat="false" ht="15" hidden="false" customHeight="true" outlineLevel="0" collapsed="false">
      <c r="A131" s="102"/>
      <c r="B131" s="102"/>
      <c r="C131" s="102"/>
      <c r="D131" s="102"/>
      <c r="E131" s="102"/>
      <c r="F131" s="102"/>
      <c r="G131" s="102"/>
      <c r="H131" s="102"/>
      <c r="I131" s="102"/>
      <c r="J131" s="102"/>
      <c r="K131" s="102"/>
      <c r="L131" s="102"/>
      <c r="M131" s="102"/>
      <c r="N131" s="102"/>
      <c r="O131" s="102"/>
    </row>
    <row r="132" customFormat="false" ht="15" hidden="false" customHeight="true" outlineLevel="0" collapsed="false">
      <c r="A132" s="102"/>
      <c r="B132" s="102"/>
      <c r="C132" s="102"/>
      <c r="D132" s="102"/>
      <c r="E132" s="102"/>
      <c r="F132" s="102"/>
      <c r="G132" s="102"/>
      <c r="H132" s="102"/>
      <c r="I132" s="102"/>
      <c r="J132" s="102"/>
      <c r="K132" s="102"/>
      <c r="L132" s="102"/>
      <c r="M132" s="102"/>
      <c r="N132" s="102"/>
      <c r="O132" s="102"/>
    </row>
    <row r="133" customFormat="false" ht="15" hidden="false" customHeight="true" outlineLevel="0" collapsed="false">
      <c r="A133" s="102"/>
      <c r="B133" s="102"/>
      <c r="C133" s="102"/>
      <c r="D133" s="102"/>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 hidden="false" customHeight="true" outlineLevel="0" collapsed="false">
      <c r="A137" s="102"/>
      <c r="B137" s="102"/>
      <c r="C137" s="102"/>
      <c r="D137" s="102"/>
      <c r="E137" s="102"/>
      <c r="F137" s="102"/>
      <c r="G137" s="102"/>
      <c r="H137" s="102"/>
      <c r="I137" s="102"/>
      <c r="J137" s="102"/>
      <c r="K137" s="102"/>
      <c r="L137" s="102"/>
      <c r="M137" s="102"/>
      <c r="N137" s="102"/>
      <c r="O137" s="102"/>
    </row>
    <row r="138" customFormat="false" ht="15" hidden="false" customHeight="true" outlineLevel="0" collapsed="false">
      <c r="A138" s="102"/>
      <c r="B138" s="102"/>
      <c r="C138" s="102"/>
      <c r="D138" s="102"/>
      <c r="E138" s="102"/>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30">
    <mergeCell ref="B2:J2"/>
    <mergeCell ref="D3:F3"/>
    <mergeCell ref="C6:G6"/>
    <mergeCell ref="C7:G7"/>
    <mergeCell ref="C8:G8"/>
    <mergeCell ref="B11:H13"/>
    <mergeCell ref="B14:H15"/>
    <mergeCell ref="B16:H19"/>
    <mergeCell ref="B20:H21"/>
    <mergeCell ref="B24:D24"/>
    <mergeCell ref="E24:G24"/>
    <mergeCell ref="B25:D25"/>
    <mergeCell ref="E25:G25"/>
    <mergeCell ref="B26:D26"/>
    <mergeCell ref="E26:G26"/>
    <mergeCell ref="B27:H27"/>
    <mergeCell ref="B35:H35"/>
    <mergeCell ref="B36:H37"/>
    <mergeCell ref="B38:H39"/>
    <mergeCell ref="B47:H47"/>
    <mergeCell ref="C48:D48"/>
    <mergeCell ref="C76:G76"/>
    <mergeCell ref="B84:H84"/>
    <mergeCell ref="B85:H85"/>
    <mergeCell ref="B86:H86"/>
    <mergeCell ref="B87:H87"/>
    <mergeCell ref="B90:E90"/>
    <mergeCell ref="B91:E91"/>
    <mergeCell ref="B92:E92"/>
    <mergeCell ref="B93:E93"/>
  </mergeCells>
  <hyperlinks>
    <hyperlink ref="B3" location="'N-03 Index DMAIC'!A1" display="← Back to Index"/>
    <hyperlink ref="E30" location="'E-06 Data Collection Plan'!A1" display="E-06  Operational Definitions and Data Collection Plan"/>
    <hyperlink ref="E31" location="'E-49 I-MR Chart'!A1" display="E-49  Individuals and Moving Range Chart"/>
    <hyperlink ref="E32" location="'E-05 Sampling Subgroups'!A1" display="E-05  Sampling Strategies and Rational Subgrouping"/>
    <hyperlink ref="B97" location="'E-06 Data Collection Plan'!A1" display="E-06  Operational Definitions and Data Collection Plan"/>
    <hyperlink ref="C97" location="'E-48 Chart Selection Tree'!A1" display="E-48  Control Chart Selection Tree"/>
    <hyperlink ref="D97" location="'E-56 WE and Nelson Rules'!A1" display="E-56  Western Electric and Nelson Rul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8"/>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5688</v>
      </c>
      <c r="C2" s="3"/>
      <c r="D2" s="3"/>
      <c r="E2" s="3"/>
      <c r="F2" s="3"/>
      <c r="G2" s="3"/>
      <c r="H2" s="3"/>
      <c r="I2" s="3"/>
      <c r="J2" s="3"/>
      <c r="K2" s="141" t="s">
        <v>5631</v>
      </c>
    </row>
    <row r="3" customFormat="false" ht="28.5" hidden="false" customHeight="true" outlineLevel="0" collapsed="false">
      <c r="B3" s="5" t="s">
        <v>3</v>
      </c>
      <c r="D3" s="6" t="s">
        <v>5689</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5690</v>
      </c>
      <c r="D6" s="106"/>
      <c r="E6" s="106"/>
      <c r="F6" s="106"/>
      <c r="G6" s="106"/>
      <c r="H6" s="102"/>
      <c r="I6" s="102"/>
      <c r="J6" s="102"/>
      <c r="K6" s="102"/>
      <c r="L6" s="102"/>
      <c r="M6" s="102"/>
      <c r="N6" s="102"/>
      <c r="O6" s="102"/>
    </row>
    <row r="7" customFormat="false" ht="17.25" hidden="false" customHeight="true" outlineLevel="0" collapsed="false">
      <c r="A7" s="102"/>
      <c r="B7" s="105" t="s">
        <v>1394</v>
      </c>
      <c r="C7" s="106" t="s">
        <v>5691</v>
      </c>
      <c r="D7" s="106"/>
      <c r="E7" s="106"/>
      <c r="F7" s="106"/>
      <c r="G7" s="106"/>
      <c r="H7" s="102"/>
      <c r="I7" s="102"/>
      <c r="J7" s="102"/>
      <c r="K7" s="102"/>
      <c r="L7" s="102"/>
      <c r="M7" s="102"/>
      <c r="N7" s="102"/>
      <c r="O7" s="102"/>
    </row>
    <row r="8" customFormat="false" ht="31.5" hidden="false" customHeight="true" outlineLevel="0" collapsed="false">
      <c r="A8" s="102"/>
      <c r="B8" s="105" t="s">
        <v>1396</v>
      </c>
      <c r="C8" s="106" t="s">
        <v>5692</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0.5" hidden="false" customHeight="true" outlineLevel="0" collapsed="false">
      <c r="A11" s="102"/>
      <c r="B11" s="106" t="s">
        <v>5693</v>
      </c>
      <c r="C11" s="106"/>
      <c r="D11" s="106"/>
      <c r="E11" s="106"/>
      <c r="F11" s="106"/>
      <c r="G11" s="106"/>
      <c r="H11" s="106"/>
      <c r="I11" s="102"/>
      <c r="J11" s="102"/>
      <c r="K11" s="102"/>
      <c r="L11" s="102"/>
      <c r="M11" s="102"/>
      <c r="N11" s="102"/>
      <c r="O11" s="102"/>
    </row>
    <row r="12" customFormat="false" ht="10.5" hidden="false" customHeight="true" outlineLevel="0" collapsed="false">
      <c r="A12" s="102"/>
      <c r="B12" s="106"/>
      <c r="C12" s="106"/>
      <c r="D12" s="106"/>
      <c r="E12" s="106"/>
      <c r="F12" s="106"/>
      <c r="G12" s="106"/>
      <c r="H12" s="106"/>
      <c r="I12" s="102"/>
      <c r="J12" s="102"/>
      <c r="K12" s="102"/>
      <c r="L12" s="102"/>
      <c r="M12" s="102"/>
      <c r="N12" s="102"/>
      <c r="O12" s="102"/>
    </row>
    <row r="13" customFormat="false" ht="10.5" hidden="false" customHeight="true" outlineLevel="0" collapsed="false">
      <c r="A13" s="102"/>
      <c r="B13" s="106"/>
      <c r="C13" s="106"/>
      <c r="D13" s="106"/>
      <c r="E13" s="106"/>
      <c r="F13" s="106"/>
      <c r="G13" s="106"/>
      <c r="H13" s="106"/>
      <c r="I13" s="102"/>
      <c r="J13" s="102"/>
      <c r="K13" s="102"/>
      <c r="L13" s="102"/>
      <c r="M13" s="102"/>
      <c r="N13" s="102"/>
      <c r="O13" s="102"/>
    </row>
    <row r="14" customFormat="false" ht="10.5" hidden="false" customHeight="true" outlineLevel="0" collapsed="false">
      <c r="A14" s="102"/>
      <c r="B14" s="106"/>
      <c r="C14" s="106"/>
      <c r="D14" s="106"/>
      <c r="E14" s="106"/>
      <c r="F14" s="106"/>
      <c r="G14" s="106"/>
      <c r="H14" s="106"/>
      <c r="I14" s="102"/>
      <c r="J14" s="102"/>
      <c r="K14" s="102"/>
      <c r="L14" s="102"/>
      <c r="M14" s="102"/>
      <c r="N14" s="102"/>
      <c r="O14" s="102"/>
    </row>
    <row r="15" customFormat="false" ht="10.5" hidden="false" customHeight="true" outlineLevel="0" collapsed="false">
      <c r="A15" s="102"/>
      <c r="B15" s="106"/>
      <c r="C15" s="106"/>
      <c r="D15" s="106"/>
      <c r="E15" s="106"/>
      <c r="F15" s="106"/>
      <c r="G15" s="106"/>
      <c r="H15" s="106"/>
      <c r="I15" s="102"/>
      <c r="J15" s="102"/>
      <c r="K15" s="102"/>
      <c r="L15" s="102"/>
      <c r="M15" s="102"/>
      <c r="N15" s="102"/>
      <c r="O15" s="102"/>
    </row>
    <row r="16" customFormat="false" ht="10.5" hidden="false" customHeight="true" outlineLevel="0" collapsed="false">
      <c r="A16" s="102"/>
      <c r="B16" s="106"/>
      <c r="C16" s="106"/>
      <c r="D16" s="106"/>
      <c r="E16" s="106"/>
      <c r="F16" s="106"/>
      <c r="G16" s="106"/>
      <c r="H16" s="106"/>
      <c r="I16" s="102"/>
      <c r="J16" s="102"/>
      <c r="K16" s="102"/>
      <c r="L16" s="102"/>
      <c r="M16" s="102"/>
      <c r="N16" s="102"/>
      <c r="O16" s="102"/>
    </row>
    <row r="17" customFormat="false" ht="10.5" hidden="false" customHeight="true" outlineLevel="0" collapsed="false">
      <c r="A17" s="102"/>
      <c r="B17" s="106"/>
      <c r="C17" s="106"/>
      <c r="D17" s="106"/>
      <c r="E17" s="106"/>
      <c r="F17" s="106"/>
      <c r="G17" s="106"/>
      <c r="H17" s="106"/>
      <c r="I17" s="102"/>
      <c r="J17" s="102"/>
      <c r="K17" s="102"/>
      <c r="L17" s="102"/>
      <c r="M17" s="102"/>
      <c r="N17" s="102"/>
      <c r="O17" s="102"/>
    </row>
    <row r="18" customFormat="false" ht="10.5" hidden="false" customHeight="true" outlineLevel="0" collapsed="false">
      <c r="A18" s="102"/>
      <c r="B18" s="106"/>
      <c r="C18" s="106"/>
      <c r="D18" s="106"/>
      <c r="E18" s="106"/>
      <c r="F18" s="106"/>
      <c r="G18" s="106"/>
      <c r="H18" s="106"/>
      <c r="I18" s="102"/>
      <c r="J18" s="102"/>
      <c r="K18" s="102"/>
      <c r="L18" s="102"/>
      <c r="M18" s="102"/>
      <c r="N18" s="102"/>
      <c r="O18" s="102"/>
    </row>
    <row r="19" customFormat="false" ht="15" hidden="false" customHeight="true" outlineLevel="0" collapsed="false">
      <c r="A19" s="102"/>
      <c r="B19" s="102"/>
      <c r="C19" s="102"/>
      <c r="D19" s="102"/>
      <c r="E19" s="102"/>
      <c r="F19" s="102"/>
      <c r="G19" s="102"/>
      <c r="H19" s="102"/>
      <c r="I19" s="102"/>
      <c r="J19" s="102"/>
      <c r="K19" s="102"/>
      <c r="L19" s="102"/>
      <c r="M19" s="102"/>
      <c r="N19" s="102"/>
      <c r="O19" s="102"/>
    </row>
    <row r="20" customFormat="false" ht="15.75" hidden="false" customHeight="true" outlineLevel="0" collapsed="false">
      <c r="A20" s="102"/>
      <c r="B20" s="103" t="s">
        <v>1406</v>
      </c>
      <c r="C20" s="104"/>
      <c r="D20" s="104"/>
      <c r="E20" s="104"/>
      <c r="F20" s="104"/>
      <c r="G20" s="104"/>
      <c r="H20" s="104"/>
      <c r="I20" s="104"/>
      <c r="J20" s="104"/>
      <c r="K20" s="104"/>
      <c r="L20" s="102"/>
      <c r="M20" s="102"/>
      <c r="N20" s="102"/>
      <c r="O20" s="102"/>
    </row>
    <row r="21" customFormat="false" ht="17.25" hidden="false" customHeight="true" outlineLevel="0" collapsed="false">
      <c r="A21" s="102"/>
      <c r="B21" s="107" t="s">
        <v>1407</v>
      </c>
      <c r="C21" s="107"/>
      <c r="D21" s="107"/>
      <c r="E21" s="107" t="s">
        <v>1408</v>
      </c>
      <c r="F21" s="107"/>
      <c r="G21" s="107"/>
      <c r="H21" s="107"/>
      <c r="I21" s="102"/>
      <c r="J21" s="102"/>
      <c r="K21" s="102"/>
      <c r="L21" s="102"/>
      <c r="M21" s="102"/>
      <c r="N21" s="102"/>
      <c r="O21" s="102"/>
    </row>
    <row r="22" customFormat="false" ht="17.25" hidden="false" customHeight="true" outlineLevel="0" collapsed="false">
      <c r="A22" s="102"/>
      <c r="B22" s="106" t="s">
        <v>5694</v>
      </c>
      <c r="C22" s="106"/>
      <c r="D22" s="106"/>
      <c r="E22" s="106" t="s">
        <v>5695</v>
      </c>
      <c r="F22" s="106"/>
      <c r="G22" s="106"/>
      <c r="H22" s="106"/>
      <c r="I22" s="102"/>
      <c r="J22" s="102"/>
      <c r="K22" s="102"/>
      <c r="L22" s="102"/>
      <c r="M22" s="102"/>
      <c r="N22" s="102"/>
      <c r="O22" s="102"/>
    </row>
    <row r="23" customFormat="false" ht="31.5" hidden="false" customHeight="true" outlineLevel="0" collapsed="false">
      <c r="A23" s="102"/>
      <c r="B23" s="106" t="s">
        <v>5696</v>
      </c>
      <c r="C23" s="106"/>
      <c r="D23" s="106"/>
      <c r="E23" s="106" t="s">
        <v>5697</v>
      </c>
      <c r="F23" s="106"/>
      <c r="G23" s="106"/>
      <c r="H23" s="106"/>
      <c r="I23" s="102"/>
      <c r="J23" s="102"/>
      <c r="K23" s="102"/>
      <c r="L23" s="102"/>
      <c r="M23" s="102"/>
      <c r="N23" s="102"/>
      <c r="O23" s="102"/>
    </row>
    <row r="24" customFormat="false" ht="17.25" hidden="false" customHeight="true" outlineLevel="0" collapsed="false">
      <c r="A24" s="102"/>
      <c r="B24" s="106" t="s">
        <v>5698</v>
      </c>
      <c r="C24" s="106"/>
      <c r="D24" s="106"/>
      <c r="E24" s="106"/>
      <c r="F24" s="106"/>
      <c r="G24" s="106"/>
      <c r="H24" s="106"/>
      <c r="I24" s="102"/>
      <c r="J24" s="102"/>
      <c r="K24" s="102"/>
      <c r="L24" s="102"/>
      <c r="M24" s="102"/>
      <c r="N24" s="102"/>
      <c r="O24" s="102"/>
    </row>
    <row r="25" customFormat="false" ht="15" hidden="false" customHeight="true" outlineLevel="0" collapsed="false">
      <c r="A25" s="102"/>
      <c r="B25" s="102"/>
      <c r="C25" s="102"/>
      <c r="D25" s="102"/>
      <c r="E25" s="102"/>
      <c r="F25" s="102"/>
      <c r="G25" s="102"/>
      <c r="H25" s="102"/>
      <c r="I25" s="102"/>
      <c r="J25" s="102"/>
      <c r="K25" s="102"/>
      <c r="L25" s="102"/>
      <c r="M25" s="102"/>
      <c r="N25" s="102"/>
      <c r="O25" s="102"/>
    </row>
    <row r="26" customFormat="false" ht="16.5" hidden="false" customHeight="true" outlineLevel="0" collapsed="false">
      <c r="A26" s="102"/>
      <c r="B26" s="108" t="s">
        <v>1416</v>
      </c>
      <c r="C26" s="108" t="s">
        <v>1417</v>
      </c>
      <c r="D26" s="108" t="s">
        <v>1418</v>
      </c>
      <c r="E26" s="108" t="s">
        <v>1419</v>
      </c>
      <c r="F26" s="102"/>
      <c r="G26" s="102"/>
      <c r="H26" s="102"/>
      <c r="I26" s="102"/>
      <c r="J26" s="102"/>
      <c r="K26" s="102"/>
      <c r="L26" s="102"/>
      <c r="M26" s="102"/>
      <c r="N26" s="102"/>
      <c r="O26" s="102"/>
    </row>
    <row r="27" customFormat="false" ht="44.25" hidden="false" customHeight="true" outlineLevel="0" collapsed="false">
      <c r="A27" s="102"/>
      <c r="B27" s="15" t="s">
        <v>5699</v>
      </c>
      <c r="C27" s="15" t="s">
        <v>5700</v>
      </c>
      <c r="D27" s="15" t="s">
        <v>5701</v>
      </c>
      <c r="E27" s="109" t="s">
        <v>1025</v>
      </c>
      <c r="F27" s="102"/>
      <c r="G27" s="102"/>
      <c r="H27" s="102"/>
      <c r="I27" s="102"/>
      <c r="J27" s="102"/>
      <c r="K27" s="102"/>
      <c r="L27" s="102"/>
      <c r="M27" s="102"/>
      <c r="N27" s="102"/>
      <c r="O27" s="102"/>
    </row>
    <row r="28" customFormat="false" ht="44.25" hidden="false" customHeight="true" outlineLevel="0" collapsed="false">
      <c r="A28" s="102"/>
      <c r="B28" s="15" t="s">
        <v>5702</v>
      </c>
      <c r="C28" s="15" t="s">
        <v>5703</v>
      </c>
      <c r="D28" s="15" t="s">
        <v>5704</v>
      </c>
      <c r="E28" s="109" t="s">
        <v>1072</v>
      </c>
      <c r="F28" s="102"/>
      <c r="G28" s="102"/>
      <c r="H28" s="102"/>
      <c r="I28" s="102"/>
      <c r="J28" s="102"/>
      <c r="K28" s="102"/>
      <c r="L28" s="102"/>
      <c r="M28" s="102"/>
      <c r="N28" s="102"/>
      <c r="O28" s="102"/>
    </row>
    <row r="29" customFormat="false" ht="30.75" hidden="false" customHeight="true" outlineLevel="0" collapsed="false">
      <c r="A29" s="102"/>
      <c r="B29" s="15" t="s">
        <v>5705</v>
      </c>
      <c r="C29" s="15" t="s">
        <v>5706</v>
      </c>
      <c r="D29" s="15" t="s">
        <v>5707</v>
      </c>
      <c r="E29" s="109" t="s">
        <v>1027</v>
      </c>
      <c r="F29" s="102"/>
      <c r="G29" s="102"/>
      <c r="H29" s="102"/>
      <c r="I29" s="102"/>
      <c r="J29" s="102"/>
      <c r="K29" s="102"/>
      <c r="L29" s="102"/>
      <c r="M29" s="102"/>
      <c r="N29" s="102"/>
      <c r="O29" s="102"/>
    </row>
    <row r="30" customFormat="false" ht="15" hidden="false" customHeight="true" outlineLevel="0" collapsed="false">
      <c r="A30" s="102"/>
      <c r="B30" s="102"/>
      <c r="C30" s="102"/>
      <c r="D30" s="102"/>
      <c r="E30" s="102"/>
      <c r="F30" s="102"/>
      <c r="G30" s="102"/>
      <c r="H30" s="102"/>
      <c r="I30" s="102"/>
      <c r="J30" s="102"/>
      <c r="K30" s="102"/>
      <c r="L30" s="102"/>
      <c r="M30" s="102"/>
      <c r="N30" s="102"/>
      <c r="O30" s="102"/>
    </row>
    <row r="31" customFormat="false" ht="15.75" hidden="false" customHeight="true" outlineLevel="0" collapsed="false">
      <c r="A31" s="102"/>
      <c r="B31" s="103" t="s">
        <v>1429</v>
      </c>
      <c r="C31" s="104"/>
      <c r="D31" s="104"/>
      <c r="E31" s="104"/>
      <c r="F31" s="104"/>
      <c r="G31" s="104"/>
      <c r="H31" s="104"/>
      <c r="I31" s="104"/>
      <c r="J31" s="104"/>
      <c r="K31" s="104"/>
      <c r="L31" s="102"/>
      <c r="M31" s="102"/>
      <c r="N31" s="102"/>
      <c r="O31" s="102"/>
    </row>
    <row r="32" customFormat="false" ht="16.5" hidden="false" customHeight="true" outlineLevel="0" collapsed="false">
      <c r="A32" s="102"/>
      <c r="B32" s="122" t="s">
        <v>5708</v>
      </c>
      <c r="C32" s="102"/>
      <c r="D32" s="102"/>
      <c r="E32" s="102"/>
      <c r="F32" s="102"/>
      <c r="G32" s="102"/>
      <c r="H32" s="102"/>
      <c r="I32" s="102"/>
      <c r="J32" s="102"/>
      <c r="K32" s="102"/>
      <c r="L32" s="102"/>
      <c r="M32" s="102"/>
      <c r="N32" s="102"/>
      <c r="O32" s="102"/>
    </row>
    <row r="33" customFormat="false" ht="16.5" hidden="false" customHeight="true" outlineLevel="0" collapsed="false">
      <c r="A33" s="102"/>
      <c r="B33" s="122" t="s">
        <v>5709</v>
      </c>
      <c r="C33" s="102"/>
      <c r="D33" s="102"/>
      <c r="E33" s="102"/>
      <c r="F33" s="102"/>
      <c r="G33" s="102"/>
      <c r="H33" s="102"/>
      <c r="I33" s="102"/>
      <c r="J33" s="102"/>
      <c r="K33" s="102"/>
      <c r="L33" s="102"/>
      <c r="M33" s="102"/>
      <c r="N33" s="102"/>
      <c r="O33" s="102"/>
    </row>
    <row r="34" customFormat="false" ht="17.25" hidden="false" customHeight="true" outlineLevel="0" collapsed="false">
      <c r="A34" s="102"/>
      <c r="B34" s="106" t="s">
        <v>5710</v>
      </c>
      <c r="C34" s="106"/>
      <c r="D34" s="106"/>
      <c r="E34" s="106"/>
      <c r="F34" s="106"/>
      <c r="G34" s="106"/>
      <c r="H34" s="106"/>
      <c r="I34" s="102"/>
      <c r="J34" s="102"/>
      <c r="K34" s="102"/>
      <c r="L34" s="102"/>
      <c r="M34" s="102"/>
      <c r="N34" s="102"/>
      <c r="O34" s="102"/>
    </row>
    <row r="35" customFormat="false" ht="17.25" hidden="false" customHeight="true" outlineLevel="0" collapsed="false">
      <c r="A35" s="102"/>
      <c r="B35" s="106" t="s">
        <v>5711</v>
      </c>
      <c r="C35" s="106"/>
      <c r="D35" s="106"/>
      <c r="E35" s="106"/>
      <c r="F35" s="106"/>
      <c r="G35" s="106"/>
      <c r="H35" s="106"/>
      <c r="I35" s="102"/>
      <c r="J35" s="102"/>
      <c r="K35" s="102"/>
      <c r="L35" s="102"/>
      <c r="M35" s="102"/>
      <c r="N35" s="102"/>
      <c r="O35" s="102"/>
    </row>
    <row r="36" customFormat="false" ht="17.25" hidden="false" customHeight="true" outlineLevel="0" collapsed="false">
      <c r="A36" s="102"/>
      <c r="B36" s="106" t="s">
        <v>5712</v>
      </c>
      <c r="C36" s="106"/>
      <c r="D36" s="106"/>
      <c r="E36" s="106"/>
      <c r="F36" s="106"/>
      <c r="G36" s="106"/>
      <c r="H36" s="106"/>
      <c r="I36" s="102"/>
      <c r="J36" s="102"/>
      <c r="K36" s="102"/>
      <c r="L36" s="102"/>
      <c r="M36" s="102"/>
      <c r="N36" s="102"/>
      <c r="O36" s="102"/>
    </row>
    <row r="37" customFormat="false" ht="17.25" hidden="false" customHeight="true" outlineLevel="0" collapsed="false">
      <c r="A37" s="102"/>
      <c r="B37" s="106" t="s">
        <v>5713</v>
      </c>
      <c r="C37" s="106"/>
      <c r="D37" s="106"/>
      <c r="E37" s="106"/>
      <c r="F37" s="106"/>
      <c r="G37" s="106"/>
      <c r="H37" s="106"/>
      <c r="I37" s="102"/>
      <c r="J37" s="102"/>
      <c r="K37" s="102"/>
      <c r="L37" s="102"/>
      <c r="M37" s="102"/>
      <c r="N37" s="102"/>
      <c r="O37" s="102"/>
    </row>
    <row r="38" customFormat="false" ht="17.25" hidden="false" customHeight="true" outlineLevel="0" collapsed="false">
      <c r="A38" s="102"/>
      <c r="B38" s="106" t="s">
        <v>5714</v>
      </c>
      <c r="C38" s="106"/>
      <c r="D38" s="106"/>
      <c r="E38" s="106"/>
      <c r="F38" s="106"/>
      <c r="G38" s="106"/>
      <c r="H38" s="106"/>
      <c r="I38" s="102"/>
      <c r="J38" s="102"/>
      <c r="K38" s="102"/>
      <c r="L38" s="102"/>
      <c r="M38" s="102"/>
      <c r="N38" s="102"/>
      <c r="O38" s="102"/>
    </row>
    <row r="39" customFormat="false" ht="15" hidden="false" customHeight="true" outlineLevel="0" collapsed="false">
      <c r="A39" s="102"/>
      <c r="B39" s="102"/>
      <c r="C39" s="102"/>
      <c r="D39" s="102"/>
      <c r="E39" s="102"/>
      <c r="F39" s="102"/>
      <c r="G39" s="102"/>
      <c r="H39" s="102"/>
      <c r="I39" s="102"/>
      <c r="J39" s="102"/>
      <c r="K39" s="102"/>
      <c r="L39" s="102"/>
      <c r="M39" s="102"/>
      <c r="N39" s="102"/>
      <c r="O39" s="102"/>
    </row>
    <row r="40" customFormat="false" ht="15.75" hidden="false" customHeight="true" outlineLevel="0" collapsed="false">
      <c r="A40" s="102"/>
      <c r="B40" s="103" t="s">
        <v>1437</v>
      </c>
      <c r="C40" s="104"/>
      <c r="D40" s="104"/>
      <c r="E40" s="104"/>
      <c r="F40" s="104"/>
      <c r="G40" s="104"/>
      <c r="H40" s="104"/>
      <c r="I40" s="104"/>
      <c r="J40" s="104"/>
      <c r="K40" s="104"/>
      <c r="L40" s="102"/>
      <c r="M40" s="102"/>
      <c r="N40" s="102"/>
      <c r="O40" s="102"/>
    </row>
    <row r="41" customFormat="false" ht="16.5" hidden="false" customHeight="true" outlineLevel="0" collapsed="false">
      <c r="A41" s="102"/>
      <c r="B41" s="108" t="s">
        <v>1438</v>
      </c>
      <c r="C41" s="108" t="s">
        <v>1439</v>
      </c>
      <c r="D41" s="108" t="s">
        <v>1440</v>
      </c>
      <c r="E41" s="102"/>
      <c r="F41" s="102"/>
      <c r="G41" s="102"/>
      <c r="H41" s="102"/>
      <c r="I41" s="102"/>
      <c r="J41" s="102"/>
      <c r="K41" s="102"/>
      <c r="L41" s="102"/>
      <c r="M41" s="102"/>
      <c r="N41" s="102"/>
      <c r="O41" s="102"/>
    </row>
    <row r="42" customFormat="false" ht="30.75" hidden="false" customHeight="true" outlineLevel="0" collapsed="false">
      <c r="A42" s="102"/>
      <c r="B42" s="110" t="s">
        <v>5165</v>
      </c>
      <c r="C42" s="111" t="s">
        <v>5166</v>
      </c>
      <c r="D42" s="15" t="s">
        <v>3331</v>
      </c>
      <c r="E42" s="102"/>
      <c r="F42" s="102"/>
      <c r="G42" s="102"/>
      <c r="H42" s="102"/>
      <c r="I42" s="102"/>
      <c r="J42" s="102"/>
      <c r="K42" s="102"/>
      <c r="L42" s="102"/>
      <c r="M42" s="102"/>
      <c r="N42" s="102"/>
      <c r="O42" s="102"/>
    </row>
    <row r="43" customFormat="false" ht="15" hidden="false" customHeight="true" outlineLevel="0" collapsed="false">
      <c r="A43" s="102"/>
      <c r="B43" s="102"/>
      <c r="C43" s="102"/>
      <c r="D43" s="102"/>
      <c r="E43" s="102"/>
      <c r="F43" s="102"/>
      <c r="G43" s="102"/>
      <c r="H43" s="102"/>
      <c r="I43" s="102"/>
      <c r="J43" s="102"/>
      <c r="K43" s="102"/>
      <c r="L43" s="102"/>
      <c r="M43" s="102"/>
      <c r="N43" s="102"/>
      <c r="O43" s="102"/>
    </row>
    <row r="44" customFormat="false" ht="15.75" hidden="false" customHeight="true" outlineLevel="0" collapsed="false">
      <c r="A44" s="102"/>
      <c r="B44" s="103" t="s">
        <v>1454</v>
      </c>
      <c r="C44" s="104"/>
      <c r="D44" s="104"/>
      <c r="E44" s="104"/>
      <c r="F44" s="104"/>
      <c r="G44" s="104"/>
      <c r="H44" s="104"/>
      <c r="I44" s="104"/>
      <c r="J44" s="104"/>
      <c r="K44" s="104"/>
      <c r="L44" s="102"/>
      <c r="M44" s="102"/>
      <c r="N44" s="102"/>
      <c r="O44" s="102"/>
    </row>
    <row r="45" customFormat="false" ht="17.25" hidden="false" customHeight="true" outlineLevel="0" collapsed="false">
      <c r="A45" s="102"/>
      <c r="B45" s="106" t="s">
        <v>5715</v>
      </c>
      <c r="C45" s="106"/>
      <c r="D45" s="106"/>
      <c r="E45" s="106"/>
      <c r="F45" s="106"/>
      <c r="G45" s="106"/>
      <c r="H45" s="106"/>
      <c r="I45" s="102"/>
      <c r="J45" s="102"/>
      <c r="K45" s="102"/>
      <c r="L45" s="102"/>
      <c r="M45" s="102"/>
      <c r="N45" s="102"/>
      <c r="O45" s="102"/>
    </row>
    <row r="46" customFormat="false" ht="17.25" hidden="false" customHeight="true" outlineLevel="0" collapsed="false">
      <c r="A46" s="102"/>
      <c r="B46" s="112" t="s">
        <v>85</v>
      </c>
      <c r="C46" s="113" t="s">
        <v>86</v>
      </c>
      <c r="D46" s="113"/>
      <c r="E46" s="102"/>
      <c r="F46" s="102"/>
      <c r="G46" s="102"/>
      <c r="H46" s="102"/>
      <c r="I46" s="102"/>
      <c r="J46" s="102"/>
      <c r="K46" s="102"/>
      <c r="L46" s="102"/>
      <c r="M46" s="102"/>
      <c r="N46" s="102"/>
      <c r="O46" s="102"/>
    </row>
    <row r="47" customFormat="false" ht="15" hidden="false" customHeight="true" outlineLevel="0" collapsed="false">
      <c r="A47" s="102"/>
      <c r="B47" s="102"/>
      <c r="C47" s="102"/>
      <c r="D47" s="102"/>
      <c r="E47" s="102"/>
      <c r="F47" s="102"/>
      <c r="G47" s="102"/>
      <c r="H47" s="102"/>
      <c r="I47" s="102"/>
      <c r="J47" s="102"/>
      <c r="K47" s="102"/>
      <c r="L47" s="102"/>
      <c r="M47" s="102"/>
      <c r="N47" s="102"/>
      <c r="O47" s="102"/>
    </row>
    <row r="48" customFormat="false" ht="15" hidden="false" customHeight="true" outlineLevel="0" collapsed="false">
      <c r="A48" s="102"/>
      <c r="B48" s="105" t="s">
        <v>5716</v>
      </c>
      <c r="C48" s="115" t="s">
        <v>1935</v>
      </c>
      <c r="D48" s="102"/>
      <c r="E48" s="102"/>
      <c r="F48" s="102"/>
      <c r="G48" s="102"/>
      <c r="H48" s="102"/>
      <c r="I48" s="102"/>
      <c r="J48" s="102"/>
      <c r="K48" s="102"/>
      <c r="L48" s="102"/>
      <c r="M48" s="102"/>
      <c r="N48" s="102"/>
      <c r="O48" s="102"/>
    </row>
    <row r="49" customFormat="false" ht="15" hidden="false" customHeight="true" outlineLevel="0" collapsed="false">
      <c r="A49" s="102"/>
      <c r="B49" s="105" t="s">
        <v>5717</v>
      </c>
      <c r="C49" s="114" t="n">
        <v>5</v>
      </c>
      <c r="D49" s="102"/>
      <c r="E49" s="102"/>
      <c r="F49" s="102"/>
      <c r="G49" s="102"/>
      <c r="H49" s="102"/>
      <c r="I49" s="102"/>
      <c r="J49" s="102"/>
      <c r="K49" s="102"/>
      <c r="L49" s="102"/>
      <c r="M49" s="102"/>
      <c r="N49" s="102"/>
      <c r="O49" s="102"/>
    </row>
    <row r="50" customFormat="false" ht="15" hidden="false" customHeight="true" outlineLevel="0" collapsed="false">
      <c r="A50" s="102"/>
      <c r="B50" s="105" t="s">
        <v>5718</v>
      </c>
      <c r="C50" s="115" t="s">
        <v>5719</v>
      </c>
      <c r="D50" s="102"/>
      <c r="E50" s="102"/>
      <c r="F50" s="102"/>
      <c r="G50" s="102"/>
      <c r="H50" s="102"/>
      <c r="I50" s="102"/>
      <c r="J50" s="102"/>
      <c r="K50" s="102"/>
      <c r="L50" s="102"/>
      <c r="M50" s="102"/>
      <c r="N50" s="102"/>
      <c r="O50" s="102"/>
    </row>
    <row r="51" customFormat="false" ht="15" hidden="false" customHeight="true" outlineLevel="0" collapsed="false">
      <c r="A51" s="102"/>
      <c r="B51" s="102"/>
      <c r="C51" s="102"/>
      <c r="D51" s="102"/>
      <c r="E51" s="102"/>
      <c r="F51" s="102"/>
      <c r="G51" s="102"/>
      <c r="H51" s="102"/>
      <c r="I51" s="102"/>
      <c r="J51" s="102"/>
      <c r="K51" s="102"/>
      <c r="L51" s="102"/>
      <c r="M51" s="102"/>
      <c r="N51" s="102"/>
      <c r="O51" s="102"/>
    </row>
    <row r="52" customFormat="false" ht="15" hidden="false" customHeight="true" outlineLevel="0" collapsed="false">
      <c r="A52" s="102"/>
      <c r="B52" s="105" t="s">
        <v>5720</v>
      </c>
      <c r="C52" s="132" t="str">
        <f aca="false">IF(C48="Continuous",IF(C49&lt;=1,"I-MR chart - E-49",IF(C49&lt;=8,"Xbar-R chart - E-50","Xbar-S chart - E-51")),IF(C50="defectives","p or np chart - E-52","c or u chart - E-53"))</f>
        <v>Xbar-R chart - E-50</v>
      </c>
      <c r="D52" s="102"/>
      <c r="E52" s="102"/>
      <c r="F52" s="102"/>
      <c r="G52" s="102"/>
      <c r="H52" s="102"/>
      <c r="I52" s="102"/>
      <c r="J52" s="102"/>
      <c r="K52" s="102"/>
      <c r="L52" s="102"/>
      <c r="M52" s="102"/>
      <c r="N52" s="102"/>
      <c r="O52" s="102"/>
    </row>
    <row r="53" customFormat="false" ht="15" hidden="false" customHeight="true" outlineLevel="0" collapsed="false">
      <c r="A53" s="102"/>
      <c r="B53" s="102"/>
      <c r="C53" s="102"/>
      <c r="D53" s="102"/>
      <c r="E53" s="102"/>
      <c r="F53" s="102"/>
      <c r="G53" s="102"/>
      <c r="H53" s="102"/>
      <c r="I53" s="102"/>
      <c r="J53" s="102"/>
      <c r="K53" s="102"/>
      <c r="L53" s="102"/>
      <c r="M53" s="102"/>
      <c r="N53" s="102"/>
      <c r="O53" s="102"/>
    </row>
    <row r="54" customFormat="false" ht="16.5" hidden="false" customHeight="true" outlineLevel="0" collapsed="false">
      <c r="A54" s="102"/>
      <c r="B54" s="108" t="s">
        <v>1931</v>
      </c>
      <c r="C54" s="108" t="s">
        <v>783</v>
      </c>
      <c r="D54" s="108" t="s">
        <v>5721</v>
      </c>
      <c r="E54" s="108" t="s">
        <v>961</v>
      </c>
      <c r="F54" s="102"/>
      <c r="G54" s="102"/>
      <c r="H54" s="102"/>
      <c r="I54" s="102"/>
      <c r="J54" s="102"/>
      <c r="K54" s="102"/>
      <c r="L54" s="102"/>
      <c r="M54" s="102"/>
      <c r="N54" s="102"/>
      <c r="O54" s="102"/>
    </row>
    <row r="55" customFormat="false" ht="16.5" hidden="false" customHeight="true" outlineLevel="0" collapsed="false">
      <c r="A55" s="102"/>
      <c r="B55" s="15" t="s">
        <v>1935</v>
      </c>
      <c r="C55" s="111" t="s">
        <v>5722</v>
      </c>
      <c r="D55" s="110" t="s">
        <v>5723</v>
      </c>
      <c r="E55" s="109" t="s">
        <v>5724</v>
      </c>
      <c r="F55" s="102"/>
      <c r="G55" s="102"/>
      <c r="H55" s="102"/>
      <c r="I55" s="102"/>
      <c r="J55" s="102"/>
      <c r="K55" s="102"/>
      <c r="L55" s="102"/>
      <c r="M55" s="102"/>
      <c r="N55" s="102"/>
      <c r="O55" s="102"/>
    </row>
    <row r="56" customFormat="false" ht="16.5" hidden="false" customHeight="true" outlineLevel="0" collapsed="false">
      <c r="A56" s="102"/>
      <c r="B56" s="15" t="s">
        <v>1935</v>
      </c>
      <c r="C56" s="111" t="s">
        <v>5725</v>
      </c>
      <c r="D56" s="110" t="s">
        <v>5726</v>
      </c>
      <c r="E56" s="109" t="s">
        <v>5727</v>
      </c>
      <c r="F56" s="102"/>
      <c r="G56" s="102"/>
      <c r="H56" s="102"/>
      <c r="I56" s="102"/>
      <c r="J56" s="102"/>
      <c r="K56" s="102"/>
      <c r="L56" s="102"/>
      <c r="M56" s="102"/>
      <c r="N56" s="102"/>
      <c r="O56" s="102"/>
    </row>
    <row r="57" customFormat="false" ht="16.5" hidden="false" customHeight="true" outlineLevel="0" collapsed="false">
      <c r="A57" s="102"/>
      <c r="B57" s="15" t="s">
        <v>1935</v>
      </c>
      <c r="C57" s="111" t="s">
        <v>5728</v>
      </c>
      <c r="D57" s="110" t="s">
        <v>5729</v>
      </c>
      <c r="E57" s="109" t="s">
        <v>5730</v>
      </c>
      <c r="F57" s="102"/>
      <c r="G57" s="102"/>
      <c r="H57" s="102"/>
      <c r="I57" s="102"/>
      <c r="J57" s="102"/>
      <c r="K57" s="102"/>
      <c r="L57" s="102"/>
      <c r="M57" s="102"/>
      <c r="N57" s="102"/>
      <c r="O57" s="102"/>
    </row>
    <row r="58" customFormat="false" ht="16.5" hidden="false" customHeight="true" outlineLevel="0" collapsed="false">
      <c r="A58" s="102"/>
      <c r="B58" s="15" t="s">
        <v>5731</v>
      </c>
      <c r="C58" s="111" t="s">
        <v>5732</v>
      </c>
      <c r="D58" s="110" t="s">
        <v>5733</v>
      </c>
      <c r="E58" s="109" t="s">
        <v>5734</v>
      </c>
      <c r="F58" s="102"/>
      <c r="G58" s="102"/>
      <c r="H58" s="102"/>
      <c r="I58" s="102"/>
      <c r="J58" s="102"/>
      <c r="K58" s="102"/>
      <c r="L58" s="102"/>
      <c r="M58" s="102"/>
      <c r="N58" s="102"/>
      <c r="O58" s="102"/>
    </row>
    <row r="59" customFormat="false" ht="16.5" hidden="false" customHeight="true" outlineLevel="0" collapsed="false">
      <c r="A59" s="102"/>
      <c r="B59" s="15" t="s">
        <v>5735</v>
      </c>
      <c r="C59" s="111" t="s">
        <v>5732</v>
      </c>
      <c r="D59" s="110" t="s">
        <v>5736</v>
      </c>
      <c r="E59" s="109" t="s">
        <v>5734</v>
      </c>
      <c r="F59" s="102"/>
      <c r="G59" s="102"/>
      <c r="H59" s="102"/>
      <c r="I59" s="102"/>
      <c r="J59" s="102"/>
      <c r="K59" s="102"/>
      <c r="L59" s="102"/>
      <c r="M59" s="102"/>
      <c r="N59" s="102"/>
      <c r="O59" s="102"/>
    </row>
    <row r="60" customFormat="false" ht="30.75" hidden="false" customHeight="true" outlineLevel="0" collapsed="false">
      <c r="A60" s="102"/>
      <c r="B60" s="15" t="s">
        <v>5737</v>
      </c>
      <c r="C60" s="111" t="s">
        <v>5732</v>
      </c>
      <c r="D60" s="110" t="s">
        <v>5738</v>
      </c>
      <c r="E60" s="109" t="s">
        <v>5739</v>
      </c>
      <c r="F60" s="102"/>
      <c r="G60" s="102"/>
      <c r="H60" s="102"/>
      <c r="I60" s="102"/>
      <c r="J60" s="102"/>
      <c r="K60" s="102"/>
      <c r="L60" s="102"/>
      <c r="M60" s="102"/>
      <c r="N60" s="102"/>
      <c r="O60" s="102"/>
    </row>
    <row r="61" customFormat="false" ht="30.75" hidden="false" customHeight="true" outlineLevel="0" collapsed="false">
      <c r="A61" s="102"/>
      <c r="B61" s="15" t="s">
        <v>5740</v>
      </c>
      <c r="C61" s="111" t="s">
        <v>5732</v>
      </c>
      <c r="D61" s="110" t="s">
        <v>5741</v>
      </c>
      <c r="E61" s="109" t="s">
        <v>5739</v>
      </c>
      <c r="F61" s="102"/>
      <c r="G61" s="102"/>
      <c r="H61" s="102"/>
      <c r="I61" s="102"/>
      <c r="J61" s="102"/>
      <c r="K61" s="102"/>
      <c r="L61" s="102"/>
      <c r="M61" s="102"/>
      <c r="N61" s="102"/>
      <c r="O61" s="102"/>
    </row>
    <row r="62" customFormat="false" ht="30.75" hidden="false" customHeight="true" outlineLevel="0" collapsed="false">
      <c r="A62" s="102"/>
      <c r="B62" s="15" t="s">
        <v>5742</v>
      </c>
      <c r="C62" s="111" t="s">
        <v>5743</v>
      </c>
      <c r="D62" s="110" t="s">
        <v>5744</v>
      </c>
      <c r="E62" s="109" t="s">
        <v>5745</v>
      </c>
      <c r="F62" s="102"/>
      <c r="G62" s="102"/>
      <c r="H62" s="102"/>
      <c r="I62" s="102"/>
      <c r="J62" s="102"/>
      <c r="K62" s="102"/>
      <c r="L62" s="102"/>
      <c r="M62" s="102"/>
      <c r="N62" s="102"/>
      <c r="O62" s="102"/>
    </row>
    <row r="63" customFormat="false" ht="30.75" hidden="false" customHeight="true" outlineLevel="0" collapsed="false">
      <c r="A63" s="102"/>
      <c r="B63" s="15" t="s">
        <v>5746</v>
      </c>
      <c r="C63" s="111" t="s">
        <v>5732</v>
      </c>
      <c r="D63" s="110" t="s">
        <v>5747</v>
      </c>
      <c r="E63" s="109" t="s">
        <v>5748</v>
      </c>
      <c r="F63" s="102"/>
      <c r="G63" s="102"/>
      <c r="H63" s="102"/>
      <c r="I63" s="102"/>
      <c r="J63" s="102"/>
      <c r="K63" s="102"/>
      <c r="L63" s="102"/>
      <c r="M63" s="102"/>
      <c r="N63" s="102"/>
      <c r="O63" s="102"/>
    </row>
    <row r="64" customFormat="false" ht="15" hidden="false" customHeight="true" outlineLevel="0" collapsed="false">
      <c r="A64" s="102"/>
      <c r="B64" s="102"/>
      <c r="C64" s="102"/>
      <c r="D64" s="102"/>
      <c r="E64" s="102"/>
      <c r="F64" s="102"/>
      <c r="G64" s="102"/>
      <c r="H64" s="102"/>
      <c r="I64" s="102"/>
      <c r="J64" s="102"/>
      <c r="K64" s="102"/>
      <c r="L64" s="102"/>
      <c r="M64" s="102"/>
      <c r="N64" s="102"/>
      <c r="O64" s="102"/>
    </row>
    <row r="65" customFormat="false" ht="15.75" hidden="false" customHeight="true" outlineLevel="0" collapsed="false">
      <c r="A65" s="102"/>
      <c r="B65" s="103" t="s">
        <v>1493</v>
      </c>
      <c r="C65" s="104"/>
      <c r="D65" s="104"/>
      <c r="E65" s="104"/>
      <c r="F65" s="104"/>
      <c r="G65" s="104"/>
      <c r="H65" s="104"/>
      <c r="I65" s="104"/>
      <c r="J65" s="104"/>
      <c r="K65" s="104"/>
      <c r="L65" s="102"/>
      <c r="M65" s="102"/>
      <c r="N65" s="102"/>
      <c r="O65" s="102"/>
    </row>
    <row r="66" customFormat="false" ht="18.75" hidden="false" customHeight="true" outlineLevel="0" collapsed="false">
      <c r="A66" s="102"/>
      <c r="B66" s="105" t="s">
        <v>1494</v>
      </c>
      <c r="C66" s="117" t="str">
        <f aca="false">IF(C48="Continuous",IF(C49&lt;=1,"I-MR chart - E-49",IF(C49&lt;=8,"Xbar-R chart - E-50","Xbar-S chart - E-51")),IF(C50="defectives","p or np chart - E-52","c or u chart - E-53"))</f>
        <v>Xbar-R chart - E-50</v>
      </c>
      <c r="D66" s="117"/>
      <c r="E66" s="102"/>
      <c r="F66" s="102"/>
      <c r="G66" s="102"/>
      <c r="H66" s="102"/>
      <c r="I66" s="102"/>
      <c r="J66" s="102"/>
      <c r="K66" s="102"/>
      <c r="L66" s="102"/>
      <c r="M66" s="102"/>
      <c r="N66" s="102"/>
      <c r="O66" s="102"/>
    </row>
    <row r="67" customFormat="false" ht="15" hidden="false" customHeight="true" outlineLevel="0" collapsed="false">
      <c r="A67" s="102"/>
      <c r="B67" s="102"/>
      <c r="C67" s="102"/>
      <c r="D67" s="102"/>
      <c r="E67" s="102"/>
      <c r="F67" s="102"/>
      <c r="G67" s="102"/>
      <c r="H67" s="102"/>
      <c r="I67" s="102"/>
      <c r="J67" s="102"/>
      <c r="K67" s="102"/>
      <c r="L67" s="102"/>
      <c r="M67" s="102"/>
      <c r="N67" s="102"/>
      <c r="O67" s="102"/>
    </row>
    <row r="68" customFormat="false" ht="17.25" hidden="false" customHeight="true" outlineLevel="0" collapsed="false">
      <c r="A68" s="102"/>
      <c r="B68" s="108" t="s">
        <v>1495</v>
      </c>
      <c r="C68" s="108" t="s">
        <v>1496</v>
      </c>
      <c r="D68" s="108" t="s">
        <v>1497</v>
      </c>
      <c r="E68" s="108"/>
      <c r="F68" s="102"/>
      <c r="G68" s="102"/>
      <c r="H68" s="102"/>
      <c r="I68" s="102"/>
      <c r="J68" s="102"/>
      <c r="K68" s="102"/>
      <c r="L68" s="102"/>
      <c r="M68" s="102"/>
      <c r="N68" s="102"/>
      <c r="O68" s="102"/>
    </row>
    <row r="69" customFormat="false" ht="31.5" hidden="false" customHeight="true" outlineLevel="0" collapsed="false">
      <c r="A69" s="102"/>
      <c r="B69" s="110" t="s">
        <v>5749</v>
      </c>
      <c r="C69" s="111" t="s">
        <v>5750</v>
      </c>
      <c r="D69" s="15" t="s">
        <v>5751</v>
      </c>
      <c r="E69" s="15"/>
      <c r="F69" s="102"/>
      <c r="G69" s="102"/>
      <c r="H69" s="102"/>
      <c r="I69" s="102"/>
      <c r="J69" s="102"/>
      <c r="K69" s="102"/>
      <c r="L69" s="102"/>
      <c r="M69" s="102"/>
      <c r="N69" s="102"/>
      <c r="O69" s="102"/>
    </row>
    <row r="70" customFormat="false" ht="31.5" hidden="false" customHeight="true" outlineLevel="0" collapsed="false">
      <c r="A70" s="102"/>
      <c r="B70" s="110" t="s">
        <v>5752</v>
      </c>
      <c r="C70" s="111" t="s">
        <v>5753</v>
      </c>
      <c r="D70" s="15" t="s">
        <v>5754</v>
      </c>
      <c r="E70" s="15"/>
      <c r="F70" s="102"/>
      <c r="G70" s="102"/>
      <c r="H70" s="102"/>
      <c r="I70" s="102"/>
      <c r="J70" s="102"/>
      <c r="K70" s="102"/>
      <c r="L70" s="102"/>
      <c r="M70" s="102"/>
      <c r="N70" s="102"/>
      <c r="O70" s="102"/>
    </row>
    <row r="71" customFormat="false" ht="17.25" hidden="false" customHeight="true" outlineLevel="0" collapsed="false">
      <c r="A71" s="102"/>
      <c r="B71" s="110" t="s">
        <v>5755</v>
      </c>
      <c r="C71" s="111" t="s">
        <v>5756</v>
      </c>
      <c r="D71" s="15" t="s">
        <v>5757</v>
      </c>
      <c r="E71" s="15"/>
      <c r="F71" s="102"/>
      <c r="G71" s="102"/>
      <c r="H71" s="102"/>
      <c r="I71" s="102"/>
      <c r="J71" s="102"/>
      <c r="K71" s="102"/>
      <c r="L71" s="102"/>
      <c r="M71" s="102"/>
      <c r="N71" s="102"/>
      <c r="O71" s="102"/>
    </row>
    <row r="72" customFormat="false" ht="15" hidden="false" customHeight="true" outlineLevel="0" collapsed="false">
      <c r="A72" s="102"/>
      <c r="B72" s="102"/>
      <c r="C72" s="102"/>
      <c r="D72" s="102"/>
      <c r="E72" s="102"/>
      <c r="F72" s="102"/>
      <c r="G72" s="102"/>
      <c r="H72" s="102"/>
      <c r="I72" s="102"/>
      <c r="J72" s="102"/>
      <c r="K72" s="102"/>
      <c r="L72" s="102"/>
      <c r="M72" s="102"/>
      <c r="N72" s="102"/>
      <c r="O72" s="102"/>
    </row>
    <row r="73" customFormat="false" ht="15" hidden="false" customHeight="true" outlineLevel="0" collapsed="false">
      <c r="A73" s="102"/>
      <c r="B73" s="105" t="s">
        <v>1507</v>
      </c>
      <c r="C73" s="102"/>
      <c r="D73" s="102"/>
      <c r="E73" s="102"/>
      <c r="F73" s="102"/>
      <c r="G73" s="102"/>
      <c r="H73" s="102"/>
      <c r="I73" s="102"/>
      <c r="J73" s="102"/>
      <c r="K73" s="102"/>
      <c r="L73" s="102"/>
      <c r="M73" s="102"/>
      <c r="N73" s="102"/>
      <c r="O73" s="102"/>
    </row>
    <row r="74" customFormat="false" ht="17.25" hidden="false" customHeight="true" outlineLevel="0" collapsed="false">
      <c r="A74" s="102"/>
      <c r="B74" s="106" t="s">
        <v>5758</v>
      </c>
      <c r="C74" s="106"/>
      <c r="D74" s="106"/>
      <c r="E74" s="106"/>
      <c r="F74" s="106"/>
      <c r="G74" s="106"/>
      <c r="H74" s="106"/>
      <c r="I74" s="102"/>
      <c r="J74" s="102"/>
      <c r="K74" s="102"/>
      <c r="L74" s="102"/>
      <c r="M74" s="102"/>
      <c r="N74" s="102"/>
      <c r="O74" s="102"/>
    </row>
    <row r="75" customFormat="false" ht="17.25" hidden="false" customHeight="true" outlineLevel="0" collapsed="false">
      <c r="A75" s="102"/>
      <c r="B75" s="106" t="s">
        <v>5759</v>
      </c>
      <c r="C75" s="106"/>
      <c r="D75" s="106"/>
      <c r="E75" s="106"/>
      <c r="F75" s="106"/>
      <c r="G75" s="106"/>
      <c r="H75" s="106"/>
      <c r="I75" s="102"/>
      <c r="J75" s="102"/>
      <c r="K75" s="102"/>
      <c r="L75" s="102"/>
      <c r="M75" s="102"/>
      <c r="N75" s="102"/>
      <c r="O75" s="102"/>
    </row>
    <row r="76" customFormat="false" ht="17.25" hidden="false" customHeight="true" outlineLevel="0" collapsed="false">
      <c r="A76" s="102"/>
      <c r="B76" s="106" t="s">
        <v>5760</v>
      </c>
      <c r="C76" s="106"/>
      <c r="D76" s="106"/>
      <c r="E76" s="106"/>
      <c r="F76" s="106"/>
      <c r="G76" s="106"/>
      <c r="H76" s="106"/>
      <c r="I76" s="102"/>
      <c r="J76" s="102"/>
      <c r="K76" s="102"/>
      <c r="L76" s="102"/>
      <c r="M76" s="102"/>
      <c r="N76" s="102"/>
      <c r="O76" s="102"/>
    </row>
    <row r="77" customFormat="false" ht="17.25" hidden="false" customHeight="true" outlineLevel="0" collapsed="false">
      <c r="A77" s="102"/>
      <c r="B77" s="106" t="s">
        <v>5761</v>
      </c>
      <c r="C77" s="106"/>
      <c r="D77" s="106"/>
      <c r="E77" s="106"/>
      <c r="F77" s="106"/>
      <c r="G77" s="106"/>
      <c r="H77" s="106"/>
      <c r="I77" s="102"/>
      <c r="J77" s="102"/>
      <c r="K77" s="102"/>
      <c r="L77" s="102"/>
      <c r="M77" s="102"/>
      <c r="N77" s="102"/>
      <c r="O77" s="102"/>
    </row>
    <row r="78" customFormat="false" ht="15" hidden="false" customHeight="true" outlineLevel="0" collapsed="false">
      <c r="A78" s="102"/>
      <c r="B78" s="102"/>
      <c r="C78" s="102"/>
      <c r="D78" s="102"/>
      <c r="E78" s="102"/>
      <c r="F78" s="102"/>
      <c r="G78" s="102"/>
      <c r="H78" s="102"/>
      <c r="I78" s="102"/>
      <c r="J78" s="102"/>
      <c r="K78" s="102"/>
      <c r="L78" s="102"/>
      <c r="M78" s="102"/>
      <c r="N78" s="102"/>
      <c r="O78" s="102"/>
    </row>
    <row r="79" customFormat="false" ht="15.75" hidden="false" customHeight="true" outlineLevel="0" collapsed="false">
      <c r="A79" s="102"/>
      <c r="B79" s="103" t="s">
        <v>1513</v>
      </c>
      <c r="C79" s="104"/>
      <c r="D79" s="104"/>
      <c r="E79" s="104"/>
      <c r="F79" s="104"/>
      <c r="G79" s="104"/>
      <c r="H79" s="104"/>
      <c r="I79" s="104"/>
      <c r="J79" s="104"/>
      <c r="K79" s="104"/>
      <c r="L79" s="102"/>
      <c r="M79" s="102"/>
      <c r="N79" s="102"/>
      <c r="O79" s="102"/>
    </row>
    <row r="80" customFormat="false" ht="17.25" hidden="false" customHeight="true" outlineLevel="0" collapsed="false">
      <c r="A80" s="102"/>
      <c r="B80" s="118" t="s">
        <v>1514</v>
      </c>
      <c r="C80" s="118"/>
      <c r="D80" s="118"/>
      <c r="E80" s="118"/>
      <c r="F80" s="118"/>
      <c r="G80" s="102"/>
      <c r="H80" s="102"/>
      <c r="I80" s="102"/>
      <c r="J80" s="102"/>
      <c r="K80" s="102"/>
      <c r="L80" s="102"/>
      <c r="M80" s="102"/>
      <c r="N80" s="119" t="s">
        <v>1515</v>
      </c>
      <c r="O80" s="102"/>
    </row>
    <row r="81" customFormat="false" ht="44.25" hidden="false" customHeight="true" outlineLevel="0" collapsed="false">
      <c r="A81" s="102"/>
      <c r="B81" s="106" t="s">
        <v>5762</v>
      </c>
      <c r="C81" s="106"/>
      <c r="D81" s="106"/>
      <c r="E81" s="106"/>
      <c r="F81" s="106"/>
      <c r="G81" s="102"/>
      <c r="H81" s="102"/>
      <c r="I81" s="102"/>
      <c r="J81" s="102"/>
      <c r="K81" s="102"/>
      <c r="L81" s="102"/>
      <c r="M81" s="102"/>
      <c r="N81" s="120" t="s">
        <v>5763</v>
      </c>
      <c r="O81" s="102"/>
    </row>
    <row r="82" customFormat="false" ht="30.75" hidden="false" customHeight="true" outlineLevel="0" collapsed="false">
      <c r="A82" s="102"/>
      <c r="B82" s="106" t="s">
        <v>5764</v>
      </c>
      <c r="C82" s="106"/>
      <c r="D82" s="106"/>
      <c r="E82" s="106"/>
      <c r="F82" s="106"/>
      <c r="G82" s="102"/>
      <c r="H82" s="102"/>
      <c r="I82" s="102"/>
      <c r="J82" s="102"/>
      <c r="K82" s="102"/>
      <c r="L82" s="102"/>
      <c r="M82" s="102"/>
      <c r="N82" s="120" t="s">
        <v>5765</v>
      </c>
      <c r="O82" s="102"/>
    </row>
    <row r="83" customFormat="false" ht="44.25" hidden="false" customHeight="true" outlineLevel="0" collapsed="false">
      <c r="A83" s="102"/>
      <c r="B83" s="106" t="s">
        <v>5766</v>
      </c>
      <c r="C83" s="106"/>
      <c r="D83" s="106"/>
      <c r="E83" s="106"/>
      <c r="F83" s="106"/>
      <c r="G83" s="102"/>
      <c r="H83" s="102"/>
      <c r="I83" s="102"/>
      <c r="J83" s="102"/>
      <c r="K83" s="102"/>
      <c r="L83" s="102"/>
      <c r="M83" s="102"/>
      <c r="N83" s="120" t="s">
        <v>5767</v>
      </c>
      <c r="O83" s="102"/>
    </row>
    <row r="84" customFormat="false" ht="15" hidden="false" customHeight="true" outlineLevel="0" collapsed="false">
      <c r="A84" s="102"/>
      <c r="B84" s="102"/>
      <c r="C84" s="102"/>
      <c r="D84" s="102"/>
      <c r="E84" s="102"/>
      <c r="F84" s="102"/>
      <c r="G84" s="102"/>
      <c r="H84" s="102"/>
      <c r="I84" s="102"/>
      <c r="J84" s="102"/>
      <c r="K84" s="102"/>
      <c r="L84" s="102"/>
      <c r="M84" s="102"/>
      <c r="N84" s="102"/>
      <c r="O84" s="102"/>
    </row>
    <row r="85" customFormat="false" ht="15.75" hidden="false" customHeight="true" outlineLevel="0" collapsed="false">
      <c r="A85" s="102"/>
      <c r="B85" s="103" t="s">
        <v>1522</v>
      </c>
      <c r="C85" s="104"/>
      <c r="D85" s="104"/>
      <c r="E85" s="104"/>
      <c r="F85" s="104"/>
      <c r="G85" s="104"/>
      <c r="H85" s="104"/>
      <c r="I85" s="104"/>
      <c r="J85" s="104"/>
      <c r="K85" s="104"/>
      <c r="L85" s="102"/>
      <c r="M85" s="102"/>
      <c r="N85" s="102"/>
      <c r="O85" s="102"/>
    </row>
    <row r="86" customFormat="false" ht="16.5" hidden="false" customHeight="true" outlineLevel="0" collapsed="false">
      <c r="A86" s="102"/>
      <c r="B86" s="108" t="s">
        <v>1523</v>
      </c>
      <c r="C86" s="108" t="s">
        <v>1524</v>
      </c>
      <c r="D86" s="108" t="s">
        <v>1615</v>
      </c>
      <c r="E86" s="102"/>
      <c r="F86" s="102"/>
      <c r="G86" s="102"/>
      <c r="H86" s="102"/>
      <c r="I86" s="102"/>
      <c r="J86" s="102"/>
      <c r="K86" s="102"/>
      <c r="L86" s="102"/>
      <c r="M86" s="102"/>
      <c r="N86" s="102"/>
      <c r="O86" s="102"/>
    </row>
    <row r="87" customFormat="false" ht="15" hidden="false" customHeight="true" outlineLevel="0" collapsed="false">
      <c r="A87" s="102"/>
      <c r="B87" s="121" t="s">
        <v>1645</v>
      </c>
      <c r="C87" s="121" t="s">
        <v>1060</v>
      </c>
      <c r="D87" s="121" t="s">
        <v>2300</v>
      </c>
      <c r="E87" s="102"/>
      <c r="F87" s="102"/>
      <c r="G87" s="102"/>
      <c r="H87" s="102"/>
      <c r="I87" s="102"/>
      <c r="J87" s="102"/>
      <c r="K87" s="102"/>
      <c r="L87" s="102"/>
      <c r="M87" s="102"/>
      <c r="N87" s="102"/>
      <c r="O87" s="102"/>
    </row>
    <row r="88" customFormat="false" ht="15" hidden="false" customHeight="true" outlineLevel="0" collapsed="false">
      <c r="A88" s="102"/>
      <c r="B88" s="102"/>
      <c r="C88" s="102"/>
      <c r="D88" s="102"/>
      <c r="E88" s="102"/>
      <c r="F88" s="102"/>
      <c r="G88" s="102"/>
      <c r="H88" s="102"/>
      <c r="I88" s="102"/>
      <c r="J88" s="102"/>
      <c r="K88" s="102"/>
      <c r="L88" s="102"/>
      <c r="M88" s="102"/>
      <c r="N88" s="102"/>
      <c r="O88" s="102"/>
    </row>
    <row r="89" customFormat="false" ht="15" hidden="false" customHeight="true" outlineLevel="0" collapsed="false">
      <c r="A89" s="102"/>
      <c r="B89" s="102"/>
      <c r="C89" s="102"/>
      <c r="D89" s="102"/>
      <c r="E89" s="102"/>
      <c r="F89" s="102"/>
      <c r="G89" s="102"/>
      <c r="H89" s="102"/>
      <c r="I89" s="102"/>
      <c r="J89" s="102"/>
      <c r="K89" s="102"/>
      <c r="L89" s="102"/>
      <c r="M89" s="102"/>
      <c r="N89" s="102"/>
      <c r="O89" s="102"/>
    </row>
    <row r="90" customFormat="false" ht="15" hidden="false" customHeight="true" outlineLevel="0" collapsed="false">
      <c r="A90" s="102"/>
      <c r="B90" s="102"/>
      <c r="C90" s="102"/>
      <c r="D90" s="102"/>
      <c r="E90" s="102"/>
      <c r="F90" s="102"/>
      <c r="G90" s="102"/>
      <c r="H90" s="102"/>
      <c r="I90" s="102"/>
      <c r="J90" s="102"/>
      <c r="K90" s="102"/>
      <c r="L90" s="102"/>
      <c r="M90" s="102"/>
      <c r="N90" s="102"/>
      <c r="O90" s="102"/>
    </row>
    <row r="91" customFormat="false" ht="15" hidden="false" customHeight="true" outlineLevel="0" collapsed="false">
      <c r="A91" s="102"/>
      <c r="B91" s="102"/>
      <c r="C91" s="102"/>
      <c r="D91" s="102"/>
      <c r="E91" s="102"/>
      <c r="F91" s="102"/>
      <c r="G91" s="102"/>
      <c r="H91" s="102"/>
      <c r="I91" s="102"/>
      <c r="J91" s="102"/>
      <c r="K91" s="102"/>
      <c r="L91" s="102"/>
      <c r="M91" s="102"/>
      <c r="N91" s="102"/>
      <c r="O91" s="102"/>
    </row>
    <row r="92" customFormat="false" ht="15" hidden="false" customHeight="true" outlineLevel="0" collapsed="false">
      <c r="A92" s="102"/>
      <c r="B92" s="102"/>
      <c r="C92" s="102"/>
      <c r="D92" s="102"/>
      <c r="E92" s="102"/>
      <c r="F92" s="102"/>
      <c r="G92" s="102"/>
      <c r="H92" s="102"/>
      <c r="I92" s="102"/>
      <c r="J92" s="102"/>
      <c r="K92" s="102"/>
      <c r="L92" s="102"/>
      <c r="M92" s="102"/>
      <c r="N92" s="102"/>
      <c r="O92" s="102"/>
    </row>
    <row r="93" customFormat="false" ht="15" hidden="false" customHeight="true" outlineLevel="0" collapsed="false">
      <c r="A93" s="102"/>
      <c r="B93" s="102"/>
      <c r="C93" s="102"/>
      <c r="D93" s="102"/>
      <c r="E93" s="102"/>
      <c r="F93" s="102"/>
      <c r="G93" s="102"/>
      <c r="H93" s="102"/>
      <c r="I93" s="102"/>
      <c r="J93" s="102"/>
      <c r="K93" s="102"/>
      <c r="L93" s="102"/>
      <c r="M93" s="102"/>
      <c r="N93" s="102"/>
      <c r="O93" s="102"/>
    </row>
    <row r="94" customFormat="false" ht="15" hidden="false" customHeight="true" outlineLevel="0" collapsed="false">
      <c r="A94" s="102"/>
      <c r="B94" s="102"/>
      <c r="C94" s="102"/>
      <c r="D94" s="102"/>
      <c r="E94" s="102"/>
      <c r="F94" s="102"/>
      <c r="G94" s="102"/>
      <c r="H94" s="102"/>
      <c r="I94" s="102"/>
      <c r="J94" s="102"/>
      <c r="K94" s="102"/>
      <c r="L94" s="102"/>
      <c r="M94" s="102"/>
      <c r="N94" s="102"/>
      <c r="O94" s="102"/>
    </row>
    <row r="95" customFormat="false" ht="15" hidden="false" customHeight="true" outlineLevel="0" collapsed="false">
      <c r="A95" s="102"/>
      <c r="B95" s="102"/>
      <c r="C95" s="102"/>
      <c r="D95" s="102"/>
      <c r="E95" s="102"/>
      <c r="F95" s="102"/>
      <c r="G95" s="102"/>
      <c r="H95" s="102"/>
      <c r="I95" s="102"/>
      <c r="J95" s="102"/>
      <c r="K95" s="102"/>
      <c r="L95" s="102"/>
      <c r="M95" s="102"/>
      <c r="N95" s="102"/>
      <c r="O95" s="102"/>
    </row>
    <row r="96" customFormat="false" ht="15" hidden="false" customHeight="true" outlineLevel="0" collapsed="false">
      <c r="A96" s="102"/>
      <c r="B96" s="102"/>
      <c r="C96" s="102"/>
      <c r="D96" s="102"/>
      <c r="E96" s="102"/>
      <c r="F96" s="102"/>
      <c r="G96" s="102"/>
      <c r="H96" s="102"/>
      <c r="I96" s="102"/>
      <c r="J96" s="102"/>
      <c r="K96" s="102"/>
      <c r="L96" s="102"/>
      <c r="M96" s="102"/>
      <c r="N96" s="102"/>
      <c r="O96" s="102"/>
    </row>
    <row r="97" customFormat="false" ht="15" hidden="false" customHeight="true" outlineLevel="0" collapsed="false">
      <c r="A97" s="102"/>
      <c r="B97" s="102"/>
      <c r="C97" s="102"/>
      <c r="D97" s="102"/>
      <c r="E97" s="102"/>
      <c r="F97" s="102"/>
      <c r="G97" s="102"/>
      <c r="H97" s="102"/>
      <c r="I97" s="102"/>
      <c r="J97" s="102"/>
      <c r="K97" s="102"/>
      <c r="L97" s="102"/>
      <c r="M97" s="102"/>
      <c r="N97" s="102"/>
      <c r="O97" s="102"/>
    </row>
    <row r="98" customFormat="false" ht="15" hidden="false" customHeight="true" outlineLevel="0" collapsed="false">
      <c r="A98" s="102"/>
      <c r="B98" s="102"/>
      <c r="C98" s="102"/>
      <c r="D98" s="102"/>
      <c r="E98" s="102"/>
      <c r="F98" s="102"/>
      <c r="G98" s="102"/>
      <c r="H98" s="102"/>
      <c r="I98" s="102"/>
      <c r="J98" s="102"/>
      <c r="K98" s="102"/>
      <c r="L98" s="102"/>
      <c r="M98" s="102"/>
      <c r="N98" s="102"/>
      <c r="O98" s="102"/>
    </row>
    <row r="99" customFormat="false" ht="15" hidden="false" customHeight="true" outlineLevel="0" collapsed="false">
      <c r="A99" s="102"/>
      <c r="B99" s="102"/>
      <c r="C99" s="102"/>
      <c r="D99" s="102"/>
      <c r="E99" s="102"/>
      <c r="F99" s="102"/>
      <c r="G99" s="102"/>
      <c r="H99" s="102"/>
      <c r="I99" s="102"/>
      <c r="J99" s="102"/>
      <c r="K99" s="102"/>
      <c r="L99" s="102"/>
      <c r="M99" s="102"/>
      <c r="N99" s="102"/>
      <c r="O99" s="102"/>
    </row>
    <row r="100" customFormat="false" ht="15" hidden="false" customHeight="true" outlineLevel="0" collapsed="false">
      <c r="A100" s="102"/>
      <c r="B100" s="102"/>
      <c r="C100" s="102"/>
      <c r="D100" s="102"/>
      <c r="E100" s="102"/>
      <c r="F100" s="102"/>
      <c r="G100" s="102"/>
      <c r="H100" s="102"/>
      <c r="I100" s="102"/>
      <c r="J100" s="102"/>
      <c r="K100" s="102"/>
      <c r="L100" s="102"/>
      <c r="M100" s="102"/>
      <c r="N100" s="102"/>
      <c r="O100" s="102"/>
    </row>
    <row r="101" customFormat="false" ht="15" hidden="false" customHeight="true" outlineLevel="0" collapsed="false">
      <c r="A101" s="102"/>
      <c r="B101" s="102"/>
      <c r="C101" s="102"/>
      <c r="D101" s="102"/>
      <c r="E101" s="102"/>
      <c r="F101" s="102"/>
      <c r="G101" s="102"/>
      <c r="H101" s="102"/>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 hidden="false" customHeight="true" outlineLevel="0" collapsed="false">
      <c r="A120" s="102"/>
      <c r="B120" s="102"/>
      <c r="C120" s="102"/>
      <c r="D120" s="102"/>
      <c r="E120" s="102"/>
      <c r="F120" s="102"/>
      <c r="G120" s="102"/>
      <c r="H120" s="102"/>
      <c r="I120" s="102"/>
      <c r="J120" s="102"/>
      <c r="K120" s="102"/>
      <c r="L120" s="102"/>
      <c r="M120" s="102"/>
      <c r="N120" s="102"/>
      <c r="O120" s="102"/>
    </row>
    <row r="121" customFormat="false" ht="15" hidden="false" customHeight="true" outlineLevel="0" collapsed="false">
      <c r="A121" s="102"/>
      <c r="B121" s="102"/>
      <c r="C121" s="102"/>
      <c r="D121" s="102"/>
      <c r="E121" s="102"/>
      <c r="F121" s="102"/>
      <c r="G121" s="102"/>
      <c r="H121" s="102"/>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 hidden="false" customHeight="true" outlineLevel="0" collapsed="false">
      <c r="A124" s="102"/>
      <c r="B124" s="102"/>
      <c r="C124" s="102"/>
      <c r="D124" s="102"/>
      <c r="E124" s="102"/>
      <c r="F124" s="102"/>
      <c r="G124" s="102"/>
      <c r="H124" s="102"/>
      <c r="I124" s="102"/>
      <c r="J124" s="102"/>
      <c r="K124" s="102"/>
      <c r="L124" s="102"/>
      <c r="M124" s="102"/>
      <c r="N124" s="102"/>
      <c r="O124" s="102"/>
    </row>
    <row r="125" customFormat="false" ht="15" hidden="false" customHeight="true" outlineLevel="0" collapsed="false">
      <c r="A125" s="102"/>
      <c r="B125" s="102"/>
      <c r="C125" s="102"/>
      <c r="D125" s="102"/>
      <c r="E125" s="102"/>
      <c r="F125" s="102"/>
      <c r="G125" s="102"/>
      <c r="H125" s="102"/>
      <c r="I125" s="102"/>
      <c r="J125" s="102"/>
      <c r="K125" s="102"/>
      <c r="L125" s="102"/>
      <c r="M125" s="102"/>
      <c r="N125" s="102"/>
      <c r="O125" s="102"/>
    </row>
    <row r="126" customFormat="false" ht="15" hidden="false" customHeight="true" outlineLevel="0" collapsed="false">
      <c r="A126" s="102"/>
      <c r="B126" s="102"/>
      <c r="C126" s="102"/>
      <c r="D126" s="102"/>
      <c r="E126" s="102"/>
      <c r="F126" s="102"/>
      <c r="G126" s="102"/>
      <c r="H126" s="102"/>
      <c r="I126" s="102"/>
      <c r="J126" s="102"/>
      <c r="K126" s="102"/>
      <c r="L126" s="102"/>
      <c r="M126" s="102"/>
      <c r="N126" s="102"/>
      <c r="O126" s="102"/>
    </row>
    <row r="127" customFormat="false" ht="15" hidden="false" customHeight="true" outlineLevel="0" collapsed="false">
      <c r="A127" s="102"/>
      <c r="B127" s="102"/>
      <c r="C127" s="102"/>
      <c r="D127" s="102"/>
      <c r="E127" s="102"/>
      <c r="F127" s="102"/>
      <c r="G127" s="102"/>
      <c r="H127" s="102"/>
      <c r="I127" s="102"/>
      <c r="J127" s="102"/>
      <c r="K127" s="102"/>
      <c r="L127" s="102"/>
      <c r="M127" s="102"/>
      <c r="N127" s="102"/>
      <c r="O127" s="102"/>
    </row>
    <row r="128" customFormat="false" ht="15" hidden="false" customHeight="true" outlineLevel="0" collapsed="false">
      <c r="A128" s="102"/>
      <c r="B128" s="102"/>
      <c r="C128" s="102"/>
      <c r="D128" s="102"/>
      <c r="E128" s="102"/>
      <c r="F128" s="102"/>
      <c r="G128" s="102"/>
      <c r="H128" s="102"/>
      <c r="I128" s="102"/>
      <c r="J128" s="102"/>
      <c r="K128" s="102"/>
      <c r="L128" s="102"/>
      <c r="M128" s="102"/>
      <c r="N128" s="102"/>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5" hidden="false" customHeight="true" outlineLevel="0" collapsed="false">
      <c r="A130" s="102"/>
      <c r="B130" s="102"/>
      <c r="C130" s="102"/>
      <c r="D130" s="102"/>
      <c r="E130" s="102"/>
      <c r="F130" s="102"/>
      <c r="G130" s="102"/>
      <c r="H130" s="102"/>
      <c r="I130" s="102"/>
      <c r="J130" s="102"/>
      <c r="K130" s="102"/>
      <c r="L130" s="102"/>
      <c r="M130" s="102"/>
      <c r="N130" s="102"/>
      <c r="O130" s="102"/>
    </row>
    <row r="131" customFormat="false" ht="15" hidden="false" customHeight="true" outlineLevel="0" collapsed="false">
      <c r="A131" s="102"/>
      <c r="B131" s="102"/>
      <c r="C131" s="102"/>
      <c r="D131" s="102"/>
      <c r="E131" s="102"/>
      <c r="F131" s="102"/>
      <c r="G131" s="102"/>
      <c r="H131" s="102"/>
      <c r="I131" s="102"/>
      <c r="J131" s="102"/>
      <c r="K131" s="102"/>
      <c r="L131" s="102"/>
      <c r="M131" s="102"/>
      <c r="N131" s="102"/>
      <c r="O131" s="102"/>
    </row>
    <row r="132" customFormat="false" ht="15" hidden="false" customHeight="true" outlineLevel="0" collapsed="false">
      <c r="A132" s="102"/>
      <c r="B132" s="102"/>
      <c r="C132" s="102"/>
      <c r="D132" s="102"/>
      <c r="E132" s="102"/>
      <c r="F132" s="102"/>
      <c r="G132" s="102"/>
      <c r="H132" s="102"/>
      <c r="I132" s="102"/>
      <c r="J132" s="102"/>
      <c r="K132" s="102"/>
      <c r="L132" s="102"/>
      <c r="M132" s="102"/>
      <c r="N132" s="102"/>
      <c r="O132" s="102"/>
    </row>
    <row r="133" customFormat="false" ht="15" hidden="false" customHeight="true" outlineLevel="0" collapsed="false">
      <c r="A133" s="102"/>
      <c r="B133" s="102"/>
      <c r="C133" s="102"/>
      <c r="D133" s="102"/>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 hidden="false" customHeight="true" outlineLevel="0" collapsed="false">
      <c r="A137" s="102"/>
      <c r="B137" s="102"/>
      <c r="C137" s="102"/>
      <c r="D137" s="102"/>
      <c r="E137" s="102"/>
      <c r="F137" s="102"/>
      <c r="G137" s="102"/>
      <c r="H137" s="102"/>
      <c r="I137" s="102"/>
      <c r="J137" s="102"/>
      <c r="K137" s="102"/>
      <c r="L137" s="102"/>
      <c r="M137" s="102"/>
      <c r="N137" s="102"/>
      <c r="O137" s="102"/>
    </row>
    <row r="138" customFormat="false" ht="15" hidden="false" customHeight="true" outlineLevel="0" collapsed="false">
      <c r="A138" s="102"/>
      <c r="B138" s="102"/>
      <c r="C138" s="102"/>
      <c r="D138" s="102"/>
      <c r="E138" s="102"/>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33">
    <mergeCell ref="B2:J2"/>
    <mergeCell ref="D3:E3"/>
    <mergeCell ref="C6:G6"/>
    <mergeCell ref="C7:G7"/>
    <mergeCell ref="C8:G8"/>
    <mergeCell ref="B11:H18"/>
    <mergeCell ref="B21:D21"/>
    <mergeCell ref="E21:H21"/>
    <mergeCell ref="B22:D22"/>
    <mergeCell ref="E22:H22"/>
    <mergeCell ref="B23:D23"/>
    <mergeCell ref="E23:H23"/>
    <mergeCell ref="B24:H24"/>
    <mergeCell ref="B34:H34"/>
    <mergeCell ref="B35:H35"/>
    <mergeCell ref="B36:H36"/>
    <mergeCell ref="B37:H37"/>
    <mergeCell ref="B38:H38"/>
    <mergeCell ref="B45:H45"/>
    <mergeCell ref="C46:D46"/>
    <mergeCell ref="C66:D66"/>
    <mergeCell ref="D68:E68"/>
    <mergeCell ref="D69:E69"/>
    <mergeCell ref="D70:E70"/>
    <mergeCell ref="D71:E71"/>
    <mergeCell ref="B74:H74"/>
    <mergeCell ref="B75:H75"/>
    <mergeCell ref="B76:H76"/>
    <mergeCell ref="B77:H77"/>
    <mergeCell ref="B80:F80"/>
    <mergeCell ref="B81:F81"/>
    <mergeCell ref="B82:F82"/>
    <mergeCell ref="B83:F83"/>
  </mergeCells>
  <hyperlinks>
    <hyperlink ref="B3" location="'N-03 Index DMAIC'!A1" display="← Back to Index"/>
    <hyperlink ref="E27" location="'E-06 Data Collection Plan'!A1" display="E-06  Operational Definitions and Data Collection Plan"/>
    <hyperlink ref="E28" location="'E-52 p and np Charts'!A1" display="E-52  p and np Charts"/>
    <hyperlink ref="E29" location="'E-59 Gage R and R'!A1" display="E-59  Gage R&amp;R: ANOVA and Range Methods"/>
    <hyperlink ref="E55" location="'E-49 I-MR Chart'!A1" display="E-49 I-MR Chart"/>
    <hyperlink ref="E56" location="'E-50 Xbar-R Chart'!A1" display="E-50 Xbar-R Chart"/>
    <hyperlink ref="E57" location="'E-51 Xbar-S Chart'!A1" display="E-51 Xbar-S Chart"/>
    <hyperlink ref="E58" location="'E-52 p and np Charts'!A1" display="E-52 p and np Charts"/>
    <hyperlink ref="E59" location="'E-52 p and np Charts'!A1" display="E-52 p and np Charts"/>
    <hyperlink ref="E60" location="'E-53 c and u Charts'!A1" display="E-53 c and u Charts"/>
    <hyperlink ref="E61" location="'E-53 c and u Charts'!A1" display="E-53 c and u Charts"/>
    <hyperlink ref="E62" location="'E-54 Laney p and u Charts'!A1" display="E-54 Laney p and u Charts"/>
    <hyperlink ref="E63" location="'E-55 CUSUM and EWMA'!A1" display="E-55 CUSUM and EWMA"/>
    <hyperlink ref="B87" location="'E-47 Common vs Special Cause'!A1" display="E-47  Common Cause vs Special Cause Variation"/>
    <hyperlink ref="C87" location="'E-49 I-MR Chart'!A1" display="E-49  Individuals and Moving Range Chart"/>
    <hyperlink ref="D87" location="'E-54 Laney p and u Charts'!A1" display="E-54  Laney p' and u' Charts (Overdispers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5768</v>
      </c>
      <c r="C2" s="3"/>
      <c r="D2" s="3"/>
      <c r="E2" s="3"/>
      <c r="F2" s="3"/>
      <c r="G2" s="3"/>
      <c r="H2" s="3"/>
      <c r="I2" s="3"/>
      <c r="J2" s="3"/>
      <c r="K2" s="141" t="s">
        <v>5631</v>
      </c>
    </row>
    <row r="3" customFormat="false" ht="28.5" hidden="false" customHeight="true" outlineLevel="0" collapsed="false">
      <c r="B3" s="5" t="s">
        <v>3</v>
      </c>
      <c r="D3" s="6" t="s">
        <v>5769</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5770</v>
      </c>
      <c r="D6" s="106"/>
      <c r="E6" s="106"/>
      <c r="F6" s="106"/>
      <c r="G6" s="106"/>
      <c r="H6" s="102"/>
      <c r="I6" s="102"/>
      <c r="J6" s="102"/>
      <c r="K6" s="102"/>
      <c r="L6" s="102"/>
      <c r="M6" s="102"/>
      <c r="N6" s="102"/>
      <c r="O6" s="102"/>
    </row>
    <row r="7" customFormat="false" ht="17.25" hidden="false" customHeight="true" outlineLevel="0" collapsed="false">
      <c r="A7" s="102"/>
      <c r="B7" s="105" t="s">
        <v>1394</v>
      </c>
      <c r="C7" s="106" t="s">
        <v>5771</v>
      </c>
      <c r="D7" s="106"/>
      <c r="E7" s="106"/>
      <c r="F7" s="106"/>
      <c r="G7" s="106"/>
      <c r="H7" s="102"/>
      <c r="I7" s="102"/>
      <c r="J7" s="102"/>
      <c r="K7" s="102"/>
      <c r="L7" s="102"/>
      <c r="M7" s="102"/>
      <c r="N7" s="102"/>
      <c r="O7" s="102"/>
    </row>
    <row r="8" customFormat="false" ht="31.5" hidden="false" customHeight="true" outlineLevel="0" collapsed="false">
      <c r="A8" s="102"/>
      <c r="B8" s="105" t="s">
        <v>1396</v>
      </c>
      <c r="C8" s="106" t="s">
        <v>5772</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0.5" hidden="false" customHeight="true" outlineLevel="0" collapsed="false">
      <c r="A11" s="102"/>
      <c r="B11" s="106" t="s">
        <v>5773</v>
      </c>
      <c r="C11" s="106"/>
      <c r="D11" s="106"/>
      <c r="E11" s="106"/>
      <c r="F11" s="106"/>
      <c r="G11" s="106"/>
      <c r="H11" s="106"/>
      <c r="I11" s="102"/>
      <c r="J11" s="102"/>
      <c r="K11" s="102"/>
      <c r="L11" s="102"/>
      <c r="M11" s="102"/>
      <c r="N11" s="102"/>
      <c r="O11" s="102"/>
    </row>
    <row r="12" customFormat="false" ht="10.5" hidden="false" customHeight="true" outlineLevel="0" collapsed="false">
      <c r="A12" s="102"/>
      <c r="B12" s="106"/>
      <c r="C12" s="106"/>
      <c r="D12" s="106"/>
      <c r="E12" s="106"/>
      <c r="F12" s="106"/>
      <c r="G12" s="106"/>
      <c r="H12" s="106"/>
      <c r="I12" s="102"/>
      <c r="J12" s="102"/>
      <c r="K12" s="102"/>
      <c r="L12" s="102"/>
      <c r="M12" s="102"/>
      <c r="N12" s="102"/>
      <c r="O12" s="102"/>
    </row>
    <row r="13" customFormat="false" ht="10.5" hidden="false" customHeight="true" outlineLevel="0" collapsed="false">
      <c r="A13" s="102"/>
      <c r="B13" s="106"/>
      <c r="C13" s="106"/>
      <c r="D13" s="106"/>
      <c r="E13" s="106"/>
      <c r="F13" s="106"/>
      <c r="G13" s="106"/>
      <c r="H13" s="106"/>
      <c r="I13" s="102"/>
      <c r="J13" s="102"/>
      <c r="K13" s="102"/>
      <c r="L13" s="102"/>
      <c r="M13" s="102"/>
      <c r="N13" s="102"/>
      <c r="O13" s="102"/>
    </row>
    <row r="14" customFormat="false" ht="15" hidden="false" customHeight="true" outlineLevel="0" collapsed="false">
      <c r="A14" s="102"/>
      <c r="B14" s="106" t="s">
        <v>5774</v>
      </c>
      <c r="C14" s="106"/>
      <c r="D14" s="106"/>
      <c r="E14" s="106"/>
      <c r="F14" s="106"/>
      <c r="G14" s="106"/>
      <c r="H14" s="106"/>
      <c r="I14" s="102"/>
      <c r="J14" s="102"/>
      <c r="K14" s="102"/>
      <c r="L14" s="102"/>
      <c r="M14" s="102"/>
      <c r="N14" s="102"/>
      <c r="O14" s="102"/>
    </row>
    <row r="15" customFormat="false" ht="15" hidden="false" customHeight="true" outlineLevel="0" collapsed="false">
      <c r="A15" s="102"/>
      <c r="B15" s="106"/>
      <c r="C15" s="106"/>
      <c r="D15" s="106"/>
      <c r="E15" s="106"/>
      <c r="F15" s="106"/>
      <c r="G15" s="106"/>
      <c r="H15" s="106"/>
      <c r="I15" s="102"/>
      <c r="J15" s="102"/>
      <c r="K15" s="102"/>
      <c r="L15" s="102"/>
      <c r="M15" s="102"/>
      <c r="N15" s="102"/>
      <c r="O15" s="102"/>
    </row>
    <row r="16" customFormat="false" ht="15" hidden="false" customHeight="true" outlineLevel="0" collapsed="false">
      <c r="A16" s="102"/>
      <c r="B16" s="106"/>
      <c r="C16" s="106"/>
      <c r="D16" s="106"/>
      <c r="E16" s="106"/>
      <c r="F16" s="106"/>
      <c r="G16" s="106"/>
      <c r="H16" s="106"/>
      <c r="I16" s="102"/>
      <c r="J16" s="102"/>
      <c r="K16" s="102"/>
      <c r="L16" s="102"/>
      <c r="M16" s="102"/>
      <c r="N16" s="102"/>
      <c r="O16" s="102"/>
    </row>
    <row r="17" customFormat="false" ht="10.5" hidden="false" customHeight="true" outlineLevel="0" collapsed="false">
      <c r="A17" s="102"/>
      <c r="B17" s="106" t="s">
        <v>5775</v>
      </c>
      <c r="C17" s="106"/>
      <c r="D17" s="106"/>
      <c r="E17" s="106"/>
      <c r="F17" s="106"/>
      <c r="G17" s="106"/>
      <c r="H17" s="106"/>
      <c r="I17" s="102"/>
      <c r="J17" s="102"/>
      <c r="K17" s="102"/>
      <c r="L17" s="102"/>
      <c r="M17" s="102"/>
      <c r="N17" s="102"/>
      <c r="O17" s="102"/>
    </row>
    <row r="18" customFormat="false" ht="10.5" hidden="false" customHeight="true" outlineLevel="0" collapsed="false">
      <c r="A18" s="102"/>
      <c r="B18" s="106"/>
      <c r="C18" s="106"/>
      <c r="D18" s="106"/>
      <c r="E18" s="106"/>
      <c r="F18" s="106"/>
      <c r="G18" s="106"/>
      <c r="H18" s="106"/>
      <c r="I18" s="102"/>
      <c r="J18" s="102"/>
      <c r="K18" s="102"/>
      <c r="L18" s="102"/>
      <c r="M18" s="102"/>
      <c r="N18" s="102"/>
      <c r="O18" s="102"/>
    </row>
    <row r="19" customFormat="false" ht="10.5" hidden="false" customHeight="true" outlineLevel="0" collapsed="false">
      <c r="A19" s="102"/>
      <c r="B19" s="106"/>
      <c r="C19" s="106"/>
      <c r="D19" s="106"/>
      <c r="E19" s="106"/>
      <c r="F19" s="106"/>
      <c r="G19" s="106"/>
      <c r="H19" s="106"/>
      <c r="I19" s="102"/>
      <c r="J19" s="102"/>
      <c r="K19" s="102"/>
      <c r="L19" s="102"/>
      <c r="M19" s="102"/>
      <c r="N19" s="102"/>
      <c r="O19" s="102"/>
    </row>
    <row r="20" customFormat="false" ht="15" hidden="false" customHeight="true" outlineLevel="0" collapsed="false">
      <c r="A20" s="102"/>
      <c r="B20" s="102"/>
      <c r="C20" s="102"/>
      <c r="D20" s="102"/>
      <c r="E20" s="102"/>
      <c r="F20" s="102"/>
      <c r="G20" s="102"/>
      <c r="H20" s="102"/>
      <c r="I20" s="102"/>
      <c r="J20" s="102"/>
      <c r="K20" s="102"/>
      <c r="L20" s="102"/>
      <c r="M20" s="102"/>
      <c r="N20" s="102"/>
      <c r="O20" s="102"/>
    </row>
    <row r="21" customFormat="false" ht="15.75" hidden="false" customHeight="true" outlineLevel="0" collapsed="false">
      <c r="A21" s="102"/>
      <c r="B21" s="103" t="s">
        <v>1406</v>
      </c>
      <c r="C21" s="104"/>
      <c r="D21" s="104"/>
      <c r="E21" s="104"/>
      <c r="F21" s="104"/>
      <c r="G21" s="104"/>
      <c r="H21" s="104"/>
      <c r="I21" s="104"/>
      <c r="J21" s="104"/>
      <c r="K21" s="104"/>
      <c r="L21" s="102"/>
      <c r="M21" s="102"/>
      <c r="N21" s="102"/>
      <c r="O21" s="102"/>
    </row>
    <row r="22" customFormat="false" ht="17.25" hidden="false" customHeight="true" outlineLevel="0" collapsed="false">
      <c r="A22" s="102"/>
      <c r="B22" s="107" t="s">
        <v>1407</v>
      </c>
      <c r="C22" s="107"/>
      <c r="D22" s="107"/>
      <c r="E22" s="107" t="s">
        <v>1408</v>
      </c>
      <c r="F22" s="107"/>
      <c r="G22" s="107"/>
      <c r="H22" s="107"/>
      <c r="I22" s="102"/>
      <c r="J22" s="102"/>
      <c r="K22" s="102"/>
      <c r="L22" s="102"/>
      <c r="M22" s="102"/>
      <c r="N22" s="102"/>
      <c r="O22" s="102"/>
    </row>
    <row r="23" customFormat="false" ht="45.75" hidden="false" customHeight="true" outlineLevel="0" collapsed="false">
      <c r="A23" s="102"/>
      <c r="B23" s="106" t="s">
        <v>5776</v>
      </c>
      <c r="C23" s="106"/>
      <c r="D23" s="106"/>
      <c r="E23" s="106" t="s">
        <v>5777</v>
      </c>
      <c r="F23" s="106"/>
      <c r="G23" s="106"/>
      <c r="H23" s="106"/>
      <c r="I23" s="102"/>
      <c r="J23" s="102"/>
      <c r="K23" s="102"/>
      <c r="L23" s="102"/>
      <c r="M23" s="102"/>
      <c r="N23" s="102"/>
      <c r="O23" s="102"/>
    </row>
    <row r="24" customFormat="false" ht="31.5" hidden="false" customHeight="true" outlineLevel="0" collapsed="false">
      <c r="A24" s="102"/>
      <c r="B24" s="106" t="s">
        <v>5778</v>
      </c>
      <c r="C24" s="106"/>
      <c r="D24" s="106"/>
      <c r="E24" s="106" t="s">
        <v>5779</v>
      </c>
      <c r="F24" s="106"/>
      <c r="G24" s="106"/>
      <c r="H24" s="106"/>
      <c r="I24" s="102"/>
      <c r="J24" s="102"/>
      <c r="K24" s="102"/>
      <c r="L24" s="102"/>
      <c r="M24" s="102"/>
      <c r="N24" s="102"/>
      <c r="O24" s="102"/>
    </row>
    <row r="25" customFormat="false" ht="17.25" hidden="false" customHeight="true" outlineLevel="0" collapsed="false">
      <c r="A25" s="102"/>
      <c r="B25" s="106" t="s">
        <v>5780</v>
      </c>
      <c r="C25" s="106"/>
      <c r="D25" s="106"/>
      <c r="E25" s="106"/>
      <c r="F25" s="106"/>
      <c r="G25" s="106"/>
      <c r="H25" s="106"/>
      <c r="I25" s="102"/>
      <c r="J25" s="102"/>
      <c r="K25" s="102"/>
      <c r="L25" s="102"/>
      <c r="M25" s="102"/>
      <c r="N25" s="102"/>
      <c r="O25" s="102"/>
    </row>
    <row r="26" customFormat="false" ht="15" hidden="false" customHeight="true" outlineLevel="0" collapsed="false">
      <c r="A26" s="102"/>
      <c r="B26" s="102"/>
      <c r="C26" s="102"/>
      <c r="D26" s="102"/>
      <c r="E26" s="102"/>
      <c r="F26" s="102"/>
      <c r="G26" s="102"/>
      <c r="H26" s="102"/>
      <c r="I26" s="102"/>
      <c r="J26" s="102"/>
      <c r="K26" s="102"/>
      <c r="L26" s="102"/>
      <c r="M26" s="102"/>
      <c r="N26" s="102"/>
      <c r="O26" s="102"/>
    </row>
    <row r="27" customFormat="false" ht="30.75" hidden="false" customHeight="true" outlineLevel="0" collapsed="false">
      <c r="A27" s="102"/>
      <c r="B27" s="108" t="s">
        <v>1416</v>
      </c>
      <c r="C27" s="108" t="s">
        <v>1417</v>
      </c>
      <c r="D27" s="108" t="s">
        <v>1418</v>
      </c>
      <c r="E27" s="108" t="s">
        <v>1419</v>
      </c>
      <c r="F27" s="102"/>
      <c r="G27" s="102"/>
      <c r="H27" s="102"/>
      <c r="I27" s="102"/>
      <c r="J27" s="102"/>
      <c r="K27" s="102"/>
      <c r="L27" s="102"/>
      <c r="M27" s="102"/>
      <c r="N27" s="102"/>
      <c r="O27" s="102"/>
    </row>
    <row r="28" customFormat="false" ht="72" hidden="false" customHeight="true" outlineLevel="0" collapsed="false">
      <c r="A28" s="102"/>
      <c r="B28" s="15" t="s">
        <v>5781</v>
      </c>
      <c r="C28" s="15" t="s">
        <v>5782</v>
      </c>
      <c r="D28" s="15" t="s">
        <v>5783</v>
      </c>
      <c r="E28" s="109" t="s">
        <v>1025</v>
      </c>
      <c r="F28" s="102"/>
      <c r="G28" s="102"/>
      <c r="H28" s="102"/>
      <c r="I28" s="102"/>
      <c r="J28" s="102"/>
      <c r="K28" s="102"/>
      <c r="L28" s="102"/>
      <c r="M28" s="102"/>
      <c r="N28" s="102"/>
      <c r="O28" s="102"/>
    </row>
    <row r="29" customFormat="false" ht="30.75" hidden="false" customHeight="true" outlineLevel="0" collapsed="false">
      <c r="A29" s="102"/>
      <c r="B29" s="15" t="s">
        <v>5784</v>
      </c>
      <c r="C29" s="15" t="s">
        <v>2194</v>
      </c>
      <c r="D29" s="15" t="s">
        <v>5785</v>
      </c>
      <c r="E29" s="109" t="s">
        <v>964</v>
      </c>
      <c r="F29" s="102"/>
      <c r="G29" s="102"/>
      <c r="H29" s="102"/>
      <c r="I29" s="102"/>
      <c r="J29" s="102"/>
      <c r="K29" s="102"/>
      <c r="L29" s="102"/>
      <c r="M29" s="102"/>
      <c r="N29" s="102"/>
      <c r="O29" s="102"/>
    </row>
    <row r="30" customFormat="false" ht="30.75" hidden="false" customHeight="true" outlineLevel="0" collapsed="false">
      <c r="A30" s="102"/>
      <c r="B30" s="15" t="s">
        <v>5786</v>
      </c>
      <c r="C30" s="15" t="s">
        <v>5787</v>
      </c>
      <c r="D30" s="15" t="s">
        <v>5788</v>
      </c>
      <c r="E30" s="109" t="s">
        <v>973</v>
      </c>
      <c r="F30" s="102"/>
      <c r="G30" s="102"/>
      <c r="H30" s="102"/>
      <c r="I30" s="102"/>
      <c r="J30" s="102"/>
      <c r="K30" s="102"/>
      <c r="L30" s="102"/>
      <c r="M30" s="102"/>
      <c r="N30" s="102"/>
      <c r="O30" s="102"/>
    </row>
    <row r="31" customFormat="false" ht="15" hidden="false" customHeight="true" outlineLevel="0" collapsed="false">
      <c r="A31" s="102"/>
      <c r="B31" s="102"/>
      <c r="C31" s="102"/>
      <c r="D31" s="102"/>
      <c r="E31" s="102"/>
      <c r="F31" s="102"/>
      <c r="G31" s="102"/>
      <c r="H31" s="102"/>
      <c r="I31" s="102"/>
      <c r="J31" s="102"/>
      <c r="K31" s="102"/>
      <c r="L31" s="102"/>
      <c r="M31" s="102"/>
      <c r="N31" s="102"/>
      <c r="O31" s="102"/>
    </row>
    <row r="32" customFormat="false" ht="15.75" hidden="false" customHeight="true" outlineLevel="0" collapsed="false">
      <c r="A32" s="102"/>
      <c r="B32" s="103" t="s">
        <v>1429</v>
      </c>
      <c r="C32" s="104"/>
      <c r="D32" s="104"/>
      <c r="E32" s="104"/>
      <c r="F32" s="104"/>
      <c r="G32" s="104"/>
      <c r="H32" s="104"/>
      <c r="I32" s="104"/>
      <c r="J32" s="104"/>
      <c r="K32" s="104"/>
      <c r="L32" s="102"/>
      <c r="M32" s="102"/>
      <c r="N32" s="102"/>
      <c r="O32" s="102"/>
    </row>
    <row r="33" customFormat="false" ht="10.5" hidden="false" customHeight="true" outlineLevel="0" collapsed="false">
      <c r="A33" s="102"/>
      <c r="B33" s="106" t="s">
        <v>5789</v>
      </c>
      <c r="C33" s="106"/>
      <c r="D33" s="106"/>
      <c r="E33" s="106"/>
      <c r="F33" s="106"/>
      <c r="G33" s="106"/>
      <c r="H33" s="106"/>
      <c r="I33" s="102"/>
      <c r="J33" s="102"/>
      <c r="K33" s="102"/>
      <c r="L33" s="102"/>
      <c r="M33" s="102"/>
      <c r="N33" s="102"/>
      <c r="O33" s="102"/>
    </row>
    <row r="34" customFormat="false" ht="10.5" hidden="false" customHeight="true" outlineLevel="0" collapsed="false">
      <c r="A34" s="102"/>
      <c r="B34" s="106"/>
      <c r="C34" s="106"/>
      <c r="D34" s="106"/>
      <c r="E34" s="106"/>
      <c r="F34" s="106"/>
      <c r="G34" s="106"/>
      <c r="H34" s="106"/>
      <c r="I34" s="102"/>
      <c r="J34" s="102"/>
      <c r="K34" s="102"/>
      <c r="L34" s="102"/>
      <c r="M34" s="102"/>
      <c r="N34" s="102"/>
      <c r="O34" s="102"/>
    </row>
    <row r="35" customFormat="false" ht="10.5" hidden="false" customHeight="true" outlineLevel="0" collapsed="false">
      <c r="A35" s="102"/>
      <c r="B35" s="106"/>
      <c r="C35" s="106"/>
      <c r="D35" s="106"/>
      <c r="E35" s="106"/>
      <c r="F35" s="106"/>
      <c r="G35" s="106"/>
      <c r="H35" s="106"/>
      <c r="I35" s="102"/>
      <c r="J35" s="102"/>
      <c r="K35" s="102"/>
      <c r="L35" s="102"/>
      <c r="M35" s="102"/>
      <c r="N35" s="102"/>
      <c r="O35" s="102"/>
    </row>
    <row r="36" customFormat="false" ht="8.25" hidden="false" customHeight="true" outlineLevel="0" collapsed="false">
      <c r="A36" s="102"/>
      <c r="B36" s="106" t="s">
        <v>5790</v>
      </c>
      <c r="C36" s="106"/>
      <c r="D36" s="106"/>
      <c r="E36" s="106"/>
      <c r="F36" s="106"/>
      <c r="G36" s="106"/>
      <c r="H36" s="106"/>
      <c r="I36" s="102"/>
      <c r="J36" s="102"/>
      <c r="K36" s="102"/>
      <c r="L36" s="102"/>
      <c r="M36" s="102"/>
      <c r="N36" s="102"/>
      <c r="O36" s="102"/>
    </row>
    <row r="37" customFormat="false" ht="8.25" hidden="false" customHeight="true" outlineLevel="0" collapsed="false">
      <c r="A37" s="102"/>
      <c r="B37" s="106"/>
      <c r="C37" s="106"/>
      <c r="D37" s="106"/>
      <c r="E37" s="106"/>
      <c r="F37" s="106"/>
      <c r="G37" s="106"/>
      <c r="H37" s="106"/>
      <c r="I37" s="102"/>
      <c r="J37" s="102"/>
      <c r="K37" s="102"/>
      <c r="L37" s="102"/>
      <c r="M37" s="102"/>
      <c r="N37" s="102"/>
      <c r="O37" s="102"/>
    </row>
    <row r="38" customFormat="false" ht="17.25" hidden="false" customHeight="true" outlineLevel="0" collapsed="false">
      <c r="A38" s="102"/>
      <c r="B38" s="106" t="s">
        <v>5791</v>
      </c>
      <c r="C38" s="106"/>
      <c r="D38" s="106"/>
      <c r="E38" s="106"/>
      <c r="F38" s="106"/>
      <c r="G38" s="106"/>
      <c r="H38" s="106"/>
      <c r="I38" s="102"/>
      <c r="J38" s="102"/>
      <c r="K38" s="102"/>
      <c r="L38" s="102"/>
      <c r="M38" s="102"/>
      <c r="N38" s="102"/>
      <c r="O38" s="102"/>
    </row>
    <row r="39" customFormat="false" ht="15" hidden="false" customHeight="true" outlineLevel="0" collapsed="false">
      <c r="A39" s="102"/>
      <c r="B39" s="102"/>
      <c r="C39" s="102"/>
      <c r="D39" s="102"/>
      <c r="E39" s="102"/>
      <c r="F39" s="102"/>
      <c r="G39" s="102"/>
      <c r="H39" s="102"/>
      <c r="I39" s="102"/>
      <c r="J39" s="102"/>
      <c r="K39" s="102"/>
      <c r="L39" s="102"/>
      <c r="M39" s="102"/>
      <c r="N39" s="102"/>
      <c r="O39" s="102"/>
    </row>
    <row r="40" customFormat="false" ht="15.75" hidden="false" customHeight="true" outlineLevel="0" collapsed="false">
      <c r="A40" s="102"/>
      <c r="B40" s="103" t="s">
        <v>1437</v>
      </c>
      <c r="C40" s="104"/>
      <c r="D40" s="104"/>
      <c r="E40" s="104"/>
      <c r="F40" s="104"/>
      <c r="G40" s="104"/>
      <c r="H40" s="104"/>
      <c r="I40" s="104"/>
      <c r="J40" s="104"/>
      <c r="K40" s="104"/>
      <c r="L40" s="102"/>
      <c r="M40" s="102"/>
      <c r="N40" s="102"/>
      <c r="O40" s="102"/>
    </row>
    <row r="41" customFormat="false" ht="16.5" hidden="false" customHeight="true" outlineLevel="0" collapsed="false">
      <c r="A41" s="102"/>
      <c r="B41" s="108" t="s">
        <v>1438</v>
      </c>
      <c r="C41" s="108" t="s">
        <v>1439</v>
      </c>
      <c r="D41" s="108" t="s">
        <v>1440</v>
      </c>
      <c r="E41" s="102"/>
      <c r="F41" s="102"/>
      <c r="G41" s="102"/>
      <c r="H41" s="102"/>
      <c r="I41" s="102"/>
      <c r="J41" s="102"/>
      <c r="K41" s="102"/>
      <c r="L41" s="102"/>
      <c r="M41" s="102"/>
      <c r="N41" s="102"/>
      <c r="O41" s="102"/>
    </row>
    <row r="42" customFormat="false" ht="16.5" hidden="false" customHeight="true" outlineLevel="0" collapsed="false">
      <c r="A42" s="102"/>
      <c r="B42" s="110" t="s">
        <v>1562</v>
      </c>
      <c r="C42" s="111" t="s">
        <v>1563</v>
      </c>
      <c r="D42" s="15" t="s">
        <v>5792</v>
      </c>
      <c r="E42" s="102"/>
      <c r="F42" s="102"/>
      <c r="G42" s="102"/>
      <c r="H42" s="102"/>
      <c r="I42" s="102"/>
      <c r="J42" s="102"/>
      <c r="K42" s="102"/>
      <c r="L42" s="102"/>
      <c r="M42" s="102"/>
      <c r="N42" s="102"/>
      <c r="O42" s="102"/>
    </row>
    <row r="43" customFormat="false" ht="30.75" hidden="false" customHeight="true" outlineLevel="0" collapsed="false">
      <c r="A43" s="102"/>
      <c r="B43" s="110" t="s">
        <v>1577</v>
      </c>
      <c r="C43" s="111" t="s">
        <v>5793</v>
      </c>
      <c r="D43" s="15" t="s">
        <v>5794</v>
      </c>
      <c r="E43" s="102"/>
      <c r="F43" s="102"/>
      <c r="G43" s="102"/>
      <c r="H43" s="102"/>
      <c r="I43" s="102"/>
      <c r="J43" s="102"/>
      <c r="K43" s="102"/>
      <c r="L43" s="102"/>
      <c r="M43" s="102"/>
      <c r="N43" s="102"/>
      <c r="O43" s="102"/>
    </row>
    <row r="44" customFormat="false" ht="16.5" hidden="false" customHeight="true" outlineLevel="0" collapsed="false">
      <c r="A44" s="102"/>
      <c r="B44" s="110" t="s">
        <v>2127</v>
      </c>
      <c r="C44" s="111" t="s">
        <v>5795</v>
      </c>
      <c r="D44" s="15" t="s">
        <v>5796</v>
      </c>
      <c r="E44" s="102"/>
      <c r="F44" s="102"/>
      <c r="G44" s="102"/>
      <c r="H44" s="102"/>
      <c r="I44" s="102"/>
      <c r="J44" s="102"/>
      <c r="K44" s="102"/>
      <c r="L44" s="102"/>
      <c r="M44" s="102"/>
      <c r="N44" s="102"/>
      <c r="O44" s="102"/>
    </row>
    <row r="45" customFormat="false" ht="15" hidden="false" customHeight="true" outlineLevel="0" collapsed="false">
      <c r="A45" s="102"/>
      <c r="B45" s="102"/>
      <c r="C45" s="102"/>
      <c r="D45" s="102"/>
      <c r="E45" s="102"/>
      <c r="F45" s="102"/>
      <c r="G45" s="102"/>
      <c r="H45" s="102"/>
      <c r="I45" s="102"/>
      <c r="J45" s="102"/>
      <c r="K45" s="102"/>
      <c r="L45" s="102"/>
      <c r="M45" s="102"/>
      <c r="N45" s="102"/>
      <c r="O45" s="102"/>
    </row>
    <row r="46" customFormat="false" ht="15.75" hidden="false" customHeight="true" outlineLevel="0" collapsed="false">
      <c r="A46" s="102"/>
      <c r="B46" s="103" t="s">
        <v>1454</v>
      </c>
      <c r="C46" s="104"/>
      <c r="D46" s="104"/>
      <c r="E46" s="104"/>
      <c r="F46" s="104"/>
      <c r="G46" s="104"/>
      <c r="H46" s="104"/>
      <c r="I46" s="104"/>
      <c r="J46" s="104"/>
      <c r="K46" s="104"/>
      <c r="L46" s="102"/>
      <c r="M46" s="102"/>
      <c r="N46" s="102"/>
      <c r="O46" s="102"/>
    </row>
    <row r="47" customFormat="false" ht="17.25" hidden="false" customHeight="true" outlineLevel="0" collapsed="false">
      <c r="A47" s="102"/>
      <c r="B47" s="106" t="s">
        <v>5797</v>
      </c>
      <c r="C47" s="106"/>
      <c r="D47" s="106"/>
      <c r="E47" s="106"/>
      <c r="F47" s="106"/>
      <c r="G47" s="106"/>
      <c r="H47" s="106"/>
      <c r="I47" s="102"/>
      <c r="J47" s="102"/>
      <c r="K47" s="102"/>
      <c r="L47" s="102"/>
      <c r="M47" s="102"/>
      <c r="N47" s="102"/>
      <c r="O47" s="102"/>
    </row>
    <row r="48" customFormat="false" ht="17.25" hidden="false" customHeight="true" outlineLevel="0" collapsed="false">
      <c r="A48" s="102"/>
      <c r="B48" s="112" t="s">
        <v>85</v>
      </c>
      <c r="C48" s="113" t="s">
        <v>86</v>
      </c>
      <c r="D48" s="113"/>
      <c r="E48" s="102"/>
      <c r="F48" s="102"/>
      <c r="G48" s="102"/>
      <c r="H48" s="102"/>
      <c r="I48" s="102"/>
      <c r="J48" s="102"/>
      <c r="K48" s="102"/>
      <c r="L48" s="102"/>
      <c r="M48" s="102"/>
      <c r="N48" s="102"/>
      <c r="O48" s="102"/>
    </row>
    <row r="49" customFormat="false" ht="15" hidden="false" customHeight="true" outlineLevel="0" collapsed="false">
      <c r="A49" s="102"/>
      <c r="B49" s="102"/>
      <c r="C49" s="102"/>
      <c r="D49" s="102"/>
      <c r="E49" s="102"/>
      <c r="F49" s="102"/>
      <c r="G49" s="102"/>
      <c r="H49" s="102"/>
      <c r="I49" s="102"/>
      <c r="J49" s="102"/>
      <c r="K49" s="102"/>
      <c r="L49" s="102"/>
      <c r="M49" s="102"/>
      <c r="N49" s="102"/>
      <c r="O49" s="102"/>
    </row>
    <row r="50" customFormat="false" ht="17.25" hidden="false" customHeight="true" outlineLevel="0" collapsed="false">
      <c r="A50" s="102"/>
      <c r="B50" s="108" t="s">
        <v>5798</v>
      </c>
      <c r="C50" s="108" t="s">
        <v>5799</v>
      </c>
      <c r="D50" s="108" t="s">
        <v>5800</v>
      </c>
      <c r="E50" s="108" t="s">
        <v>5801</v>
      </c>
      <c r="F50" s="108" t="s">
        <v>5802</v>
      </c>
      <c r="G50" s="108"/>
      <c r="H50" s="102"/>
      <c r="I50" s="102"/>
      <c r="J50" s="102"/>
      <c r="K50" s="102"/>
      <c r="L50" s="102"/>
      <c r="M50" s="102"/>
      <c r="N50" s="102"/>
      <c r="O50" s="102"/>
    </row>
    <row r="51" customFormat="false" ht="15" hidden="false" customHeight="true" outlineLevel="0" collapsed="false">
      <c r="A51" s="102"/>
      <c r="B51" s="123" t="n">
        <v>1</v>
      </c>
      <c r="C51" s="114" t="n">
        <v>26</v>
      </c>
      <c r="D51" s="102"/>
      <c r="E51" s="132" t="str">
        <f aca="false">IF(C51&gt;$C$79,"OOC high",IF(C51&lt;$C$80,"OOC low","OK"))</f>
        <v>OK</v>
      </c>
      <c r="F51" s="102"/>
      <c r="G51" s="102"/>
      <c r="H51" s="102"/>
      <c r="I51" s="102"/>
      <c r="J51" s="102"/>
      <c r="K51" s="102"/>
      <c r="L51" s="102"/>
      <c r="M51" s="102"/>
      <c r="N51" s="102"/>
      <c r="O51" s="102"/>
    </row>
    <row r="52" customFormat="false" ht="15" hidden="false" customHeight="true" outlineLevel="0" collapsed="false">
      <c r="A52" s="102"/>
      <c r="B52" s="123" t="n">
        <v>2</v>
      </c>
      <c r="C52" s="114" t="n">
        <v>28</v>
      </c>
      <c r="D52" s="142" t="n">
        <f aca="false">ABS(C52-C51)</f>
        <v>2</v>
      </c>
      <c r="E52" s="132" t="str">
        <f aca="false">IF(C52&gt;$C$79,"OOC high",IF(C52&lt;$C$80,"OOC low","OK"))</f>
        <v>OK</v>
      </c>
      <c r="F52" s="132" t="str">
        <f aca="false">IF(D52&gt;$C$81,"OOC high","OK")</f>
        <v>OK</v>
      </c>
      <c r="G52" s="102"/>
      <c r="H52" s="102"/>
      <c r="I52" s="102"/>
      <c r="J52" s="102"/>
      <c r="K52" s="102"/>
      <c r="L52" s="102"/>
      <c r="M52" s="102"/>
      <c r="N52" s="102"/>
      <c r="O52" s="102"/>
    </row>
    <row r="53" customFormat="false" ht="15" hidden="false" customHeight="true" outlineLevel="0" collapsed="false">
      <c r="A53" s="102"/>
      <c r="B53" s="123" t="n">
        <v>3</v>
      </c>
      <c r="C53" s="114" t="n">
        <v>25</v>
      </c>
      <c r="D53" s="142" t="n">
        <f aca="false">ABS(C53-C52)</f>
        <v>3</v>
      </c>
      <c r="E53" s="132" t="str">
        <f aca="false">IF(C53&gt;$C$79,"OOC high",IF(C53&lt;$C$80,"OOC low","OK"))</f>
        <v>OK</v>
      </c>
      <c r="F53" s="132" t="str">
        <f aca="false">IF(D53&gt;$C$81,"OOC high","OK")</f>
        <v>OK</v>
      </c>
      <c r="G53" s="102"/>
      <c r="H53" s="102"/>
      <c r="I53" s="102"/>
      <c r="J53" s="102"/>
      <c r="K53" s="102"/>
      <c r="L53" s="102"/>
      <c r="M53" s="102"/>
      <c r="N53" s="102"/>
      <c r="O53" s="102"/>
    </row>
    <row r="54" customFormat="false" ht="15" hidden="false" customHeight="true" outlineLevel="0" collapsed="false">
      <c r="A54" s="102"/>
      <c r="B54" s="123" t="n">
        <v>4</v>
      </c>
      <c r="C54" s="114" t="n">
        <v>27</v>
      </c>
      <c r="D54" s="142" t="n">
        <f aca="false">ABS(C54-C53)</f>
        <v>2</v>
      </c>
      <c r="E54" s="132" t="str">
        <f aca="false">IF(C54&gt;$C$79,"OOC high",IF(C54&lt;$C$80,"OOC low","OK"))</f>
        <v>OK</v>
      </c>
      <c r="F54" s="132" t="str">
        <f aca="false">IF(D54&gt;$C$81,"OOC high","OK")</f>
        <v>OK</v>
      </c>
      <c r="G54" s="102"/>
      <c r="H54" s="102"/>
      <c r="I54" s="102"/>
      <c r="J54" s="102"/>
      <c r="K54" s="102"/>
      <c r="L54" s="102"/>
      <c r="M54" s="102"/>
      <c r="N54" s="102"/>
      <c r="O54" s="102"/>
    </row>
    <row r="55" customFormat="false" ht="15" hidden="false" customHeight="true" outlineLevel="0" collapsed="false">
      <c r="A55" s="102"/>
      <c r="B55" s="123" t="n">
        <v>5</v>
      </c>
      <c r="C55" s="114" t="n">
        <v>29</v>
      </c>
      <c r="D55" s="142" t="n">
        <f aca="false">ABS(C55-C54)</f>
        <v>2</v>
      </c>
      <c r="E55" s="132" t="str">
        <f aca="false">IF(C55&gt;$C$79,"OOC high",IF(C55&lt;$C$80,"OOC low","OK"))</f>
        <v>OK</v>
      </c>
      <c r="F55" s="132" t="str">
        <f aca="false">IF(D55&gt;$C$81,"OOC high","OK")</f>
        <v>OK</v>
      </c>
      <c r="G55" s="102"/>
      <c r="H55" s="102"/>
      <c r="I55" s="102"/>
      <c r="J55" s="102"/>
      <c r="K55" s="102"/>
      <c r="L55" s="102"/>
      <c r="M55" s="102"/>
      <c r="N55" s="102"/>
      <c r="O55" s="102"/>
    </row>
    <row r="56" customFormat="false" ht="15" hidden="false" customHeight="true" outlineLevel="0" collapsed="false">
      <c r="A56" s="102"/>
      <c r="B56" s="123" t="n">
        <v>6</v>
      </c>
      <c r="C56" s="114" t="n">
        <v>26</v>
      </c>
      <c r="D56" s="142" t="n">
        <f aca="false">ABS(C56-C55)</f>
        <v>3</v>
      </c>
      <c r="E56" s="132" t="str">
        <f aca="false">IF(C56&gt;$C$79,"OOC high",IF(C56&lt;$C$80,"OOC low","OK"))</f>
        <v>OK</v>
      </c>
      <c r="F56" s="132" t="str">
        <f aca="false">IF(D56&gt;$C$81,"OOC high","OK")</f>
        <v>OK</v>
      </c>
      <c r="G56" s="102"/>
      <c r="H56" s="102"/>
      <c r="I56" s="102"/>
      <c r="J56" s="102"/>
      <c r="K56" s="102"/>
      <c r="L56" s="102"/>
      <c r="M56" s="102"/>
      <c r="N56" s="102"/>
      <c r="O56" s="102"/>
    </row>
    <row r="57" customFormat="false" ht="15" hidden="false" customHeight="true" outlineLevel="0" collapsed="false">
      <c r="A57" s="102"/>
      <c r="B57" s="123" t="n">
        <v>7</v>
      </c>
      <c r="C57" s="114" t="n">
        <v>24</v>
      </c>
      <c r="D57" s="142" t="n">
        <f aca="false">ABS(C57-C56)</f>
        <v>2</v>
      </c>
      <c r="E57" s="132" t="str">
        <f aca="false">IF(C57&gt;$C$79,"OOC high",IF(C57&lt;$C$80,"OOC low","OK"))</f>
        <v>OK</v>
      </c>
      <c r="F57" s="132" t="str">
        <f aca="false">IF(D57&gt;$C$81,"OOC high","OK")</f>
        <v>OK</v>
      </c>
      <c r="G57" s="102"/>
      <c r="H57" s="102"/>
      <c r="I57" s="102"/>
      <c r="J57" s="102"/>
      <c r="K57" s="102"/>
      <c r="L57" s="102"/>
      <c r="M57" s="102"/>
      <c r="N57" s="102"/>
      <c r="O57" s="102"/>
    </row>
    <row r="58" customFormat="false" ht="15" hidden="false" customHeight="true" outlineLevel="0" collapsed="false">
      <c r="A58" s="102"/>
      <c r="B58" s="123" t="n">
        <v>8</v>
      </c>
      <c r="C58" s="114" t="n">
        <v>27</v>
      </c>
      <c r="D58" s="142" t="n">
        <f aca="false">ABS(C58-C57)</f>
        <v>3</v>
      </c>
      <c r="E58" s="132" t="str">
        <f aca="false">IF(C58&gt;$C$79,"OOC high",IF(C58&lt;$C$80,"OOC low","OK"))</f>
        <v>OK</v>
      </c>
      <c r="F58" s="132" t="str">
        <f aca="false">IF(D58&gt;$C$81,"OOC high","OK")</f>
        <v>OK</v>
      </c>
      <c r="G58" s="102"/>
      <c r="H58" s="102"/>
      <c r="I58" s="102"/>
      <c r="J58" s="102"/>
      <c r="K58" s="102"/>
      <c r="L58" s="102"/>
      <c r="M58" s="102"/>
      <c r="N58" s="102"/>
      <c r="O58" s="102"/>
    </row>
    <row r="59" customFormat="false" ht="15" hidden="false" customHeight="true" outlineLevel="0" collapsed="false">
      <c r="A59" s="102"/>
      <c r="B59" s="123" t="n">
        <v>9</v>
      </c>
      <c r="C59" s="114" t="n">
        <v>28</v>
      </c>
      <c r="D59" s="142" t="n">
        <f aca="false">ABS(C59-C58)</f>
        <v>1</v>
      </c>
      <c r="E59" s="132" t="str">
        <f aca="false">IF(C59&gt;$C$79,"OOC high",IF(C59&lt;$C$80,"OOC low","OK"))</f>
        <v>OK</v>
      </c>
      <c r="F59" s="132" t="str">
        <f aca="false">IF(D59&gt;$C$81,"OOC high","OK")</f>
        <v>OK</v>
      </c>
      <c r="G59" s="102"/>
      <c r="H59" s="102"/>
      <c r="I59" s="102"/>
      <c r="J59" s="102"/>
      <c r="K59" s="102"/>
      <c r="L59" s="102"/>
      <c r="M59" s="102"/>
      <c r="N59" s="102"/>
      <c r="O59" s="102"/>
    </row>
    <row r="60" customFormat="false" ht="15" hidden="false" customHeight="true" outlineLevel="0" collapsed="false">
      <c r="A60" s="102"/>
      <c r="B60" s="123" t="n">
        <v>10</v>
      </c>
      <c r="C60" s="114" t="n">
        <v>26</v>
      </c>
      <c r="D60" s="142" t="n">
        <f aca="false">ABS(C60-C59)</f>
        <v>2</v>
      </c>
      <c r="E60" s="132" t="str">
        <f aca="false">IF(C60&gt;$C$79,"OOC high",IF(C60&lt;$C$80,"OOC low","OK"))</f>
        <v>OK</v>
      </c>
      <c r="F60" s="132" t="str">
        <f aca="false">IF(D60&gt;$C$81,"OOC high","OK")</f>
        <v>OK</v>
      </c>
      <c r="G60" s="102"/>
      <c r="H60" s="102"/>
      <c r="I60" s="102"/>
      <c r="J60" s="102"/>
      <c r="K60" s="102"/>
      <c r="L60" s="102"/>
      <c r="M60" s="102"/>
      <c r="N60" s="102"/>
      <c r="O60" s="102"/>
    </row>
    <row r="61" customFormat="false" ht="15" hidden="false" customHeight="true" outlineLevel="0" collapsed="false">
      <c r="A61" s="102"/>
      <c r="B61" s="123" t="n">
        <v>11</v>
      </c>
      <c r="C61" s="114" t="n">
        <v>25</v>
      </c>
      <c r="D61" s="142" t="n">
        <f aca="false">ABS(C61-C60)</f>
        <v>1</v>
      </c>
      <c r="E61" s="132" t="str">
        <f aca="false">IF(C61&gt;$C$79,"OOC high",IF(C61&lt;$C$80,"OOC low","OK"))</f>
        <v>OK</v>
      </c>
      <c r="F61" s="132" t="str">
        <f aca="false">IF(D61&gt;$C$81,"OOC high","OK")</f>
        <v>OK</v>
      </c>
      <c r="G61" s="102"/>
      <c r="H61" s="102"/>
      <c r="I61" s="102"/>
      <c r="J61" s="102"/>
      <c r="K61" s="102"/>
      <c r="L61" s="102"/>
      <c r="M61" s="102"/>
      <c r="N61" s="102"/>
      <c r="O61" s="102"/>
    </row>
    <row r="62" customFormat="false" ht="15" hidden="false" customHeight="true" outlineLevel="0" collapsed="false">
      <c r="A62" s="102"/>
      <c r="B62" s="123" t="n">
        <v>12</v>
      </c>
      <c r="C62" s="114" t="n">
        <v>27</v>
      </c>
      <c r="D62" s="142" t="n">
        <f aca="false">ABS(C62-C61)</f>
        <v>2</v>
      </c>
      <c r="E62" s="132" t="str">
        <f aca="false">IF(C62&gt;$C$79,"OOC high",IF(C62&lt;$C$80,"OOC low","OK"))</f>
        <v>OK</v>
      </c>
      <c r="F62" s="132" t="str">
        <f aca="false">IF(D62&gt;$C$81,"OOC high","OK")</f>
        <v>OK</v>
      </c>
      <c r="G62" s="102"/>
      <c r="H62" s="102"/>
      <c r="I62" s="102"/>
      <c r="J62" s="102"/>
      <c r="K62" s="102"/>
      <c r="L62" s="102"/>
      <c r="M62" s="102"/>
      <c r="N62" s="102"/>
      <c r="O62" s="102"/>
    </row>
    <row r="63" customFormat="false" ht="15" hidden="false" customHeight="true" outlineLevel="0" collapsed="false">
      <c r="A63" s="102"/>
      <c r="B63" s="123" t="n">
        <v>13</v>
      </c>
      <c r="C63" s="114" t="n">
        <v>29</v>
      </c>
      <c r="D63" s="142" t="n">
        <f aca="false">ABS(C63-C62)</f>
        <v>2</v>
      </c>
      <c r="E63" s="132" t="str">
        <f aca="false">IF(C63&gt;$C$79,"OOC high",IF(C63&lt;$C$80,"OOC low","OK"))</f>
        <v>OK</v>
      </c>
      <c r="F63" s="132" t="str">
        <f aca="false">IF(D63&gt;$C$81,"OOC high","OK")</f>
        <v>OK</v>
      </c>
      <c r="G63" s="102"/>
      <c r="H63" s="102"/>
      <c r="I63" s="102"/>
      <c r="J63" s="102"/>
      <c r="K63" s="102"/>
      <c r="L63" s="102"/>
      <c r="M63" s="102"/>
      <c r="N63" s="102"/>
      <c r="O63" s="102"/>
    </row>
    <row r="64" customFormat="false" ht="15" hidden="false" customHeight="true" outlineLevel="0" collapsed="false">
      <c r="A64" s="102"/>
      <c r="B64" s="123" t="n">
        <v>14</v>
      </c>
      <c r="C64" s="114" t="n">
        <v>26</v>
      </c>
      <c r="D64" s="142" t="n">
        <f aca="false">ABS(C64-C63)</f>
        <v>3</v>
      </c>
      <c r="E64" s="132" t="str">
        <f aca="false">IF(C64&gt;$C$79,"OOC high",IF(C64&lt;$C$80,"OOC low","OK"))</f>
        <v>OK</v>
      </c>
      <c r="F64" s="132" t="str">
        <f aca="false">IF(D64&gt;$C$81,"OOC high","OK")</f>
        <v>OK</v>
      </c>
      <c r="G64" s="102"/>
      <c r="H64" s="102"/>
      <c r="I64" s="102"/>
      <c r="J64" s="102"/>
      <c r="K64" s="102"/>
      <c r="L64" s="102"/>
      <c r="M64" s="102"/>
      <c r="N64" s="102"/>
      <c r="O64" s="102"/>
    </row>
    <row r="65" customFormat="false" ht="15" hidden="false" customHeight="true" outlineLevel="0" collapsed="false">
      <c r="A65" s="102"/>
      <c r="B65" s="123" t="n">
        <v>15</v>
      </c>
      <c r="C65" s="114" t="n">
        <v>28</v>
      </c>
      <c r="D65" s="142" t="n">
        <f aca="false">ABS(C65-C64)</f>
        <v>2</v>
      </c>
      <c r="E65" s="132" t="str">
        <f aca="false">IF(C65&gt;$C$79,"OOC high",IF(C65&lt;$C$80,"OOC low","OK"))</f>
        <v>OK</v>
      </c>
      <c r="F65" s="132" t="str">
        <f aca="false">IF(D65&gt;$C$81,"OOC high","OK")</f>
        <v>OK</v>
      </c>
      <c r="G65" s="102"/>
      <c r="H65" s="102"/>
      <c r="I65" s="102"/>
      <c r="J65" s="102"/>
      <c r="K65" s="102"/>
      <c r="L65" s="102"/>
      <c r="M65" s="102"/>
      <c r="N65" s="102"/>
      <c r="O65" s="102"/>
    </row>
    <row r="66" customFormat="false" ht="15" hidden="false" customHeight="true" outlineLevel="0" collapsed="false">
      <c r="A66" s="102"/>
      <c r="B66" s="123" t="n">
        <v>16</v>
      </c>
      <c r="C66" s="114" t="n">
        <v>25</v>
      </c>
      <c r="D66" s="142" t="n">
        <f aca="false">ABS(C66-C65)</f>
        <v>3</v>
      </c>
      <c r="E66" s="132" t="str">
        <f aca="false">IF(C66&gt;$C$79,"OOC high",IF(C66&lt;$C$80,"OOC low","OK"))</f>
        <v>OK</v>
      </c>
      <c r="F66" s="132" t="str">
        <f aca="false">IF(D66&gt;$C$81,"OOC high","OK")</f>
        <v>OK</v>
      </c>
      <c r="G66" s="102"/>
      <c r="H66" s="102"/>
      <c r="I66" s="102"/>
      <c r="J66" s="102"/>
      <c r="K66" s="102"/>
      <c r="L66" s="102"/>
      <c r="M66" s="102"/>
      <c r="N66" s="102"/>
      <c r="O66" s="102"/>
    </row>
    <row r="67" customFormat="false" ht="15" hidden="false" customHeight="true" outlineLevel="0" collapsed="false">
      <c r="A67" s="102"/>
      <c r="B67" s="123" t="n">
        <v>17</v>
      </c>
      <c r="C67" s="114" t="n">
        <v>27</v>
      </c>
      <c r="D67" s="142" t="n">
        <f aca="false">ABS(C67-C66)</f>
        <v>2</v>
      </c>
      <c r="E67" s="132" t="str">
        <f aca="false">IF(C67&gt;$C$79,"OOC high",IF(C67&lt;$C$80,"OOC low","OK"))</f>
        <v>OK</v>
      </c>
      <c r="F67" s="132" t="str">
        <f aca="false">IF(D67&gt;$C$81,"OOC high","OK")</f>
        <v>OK</v>
      </c>
      <c r="G67" s="102"/>
      <c r="H67" s="102"/>
      <c r="I67" s="102"/>
      <c r="J67" s="102"/>
      <c r="K67" s="102"/>
      <c r="L67" s="102"/>
      <c r="M67" s="102"/>
      <c r="N67" s="102"/>
      <c r="O67" s="102"/>
    </row>
    <row r="68" customFormat="false" ht="15" hidden="false" customHeight="true" outlineLevel="0" collapsed="false">
      <c r="A68" s="102"/>
      <c r="B68" s="123" t="n">
        <v>18</v>
      </c>
      <c r="C68" s="114" t="n">
        <v>42</v>
      </c>
      <c r="D68" s="142" t="n">
        <f aca="false">ABS(C68-C67)</f>
        <v>15</v>
      </c>
      <c r="E68" s="132" t="str">
        <f aca="false">IF(C68&gt;$C$79,"OOC high",IF(C68&lt;$C$80,"OOC low","OK"))</f>
        <v>OOC high</v>
      </c>
      <c r="F68" s="132" t="str">
        <f aca="false">IF(D68&gt;$C$81,"OOC high","OK")</f>
        <v>OOC high</v>
      </c>
      <c r="G68" s="102"/>
      <c r="H68" s="102"/>
      <c r="I68" s="102"/>
      <c r="J68" s="102"/>
      <c r="K68" s="102"/>
      <c r="L68" s="102"/>
      <c r="M68" s="102"/>
      <c r="N68" s="102"/>
      <c r="O68" s="102"/>
    </row>
    <row r="69" customFormat="false" ht="15" hidden="false" customHeight="true" outlineLevel="0" collapsed="false">
      <c r="A69" s="102"/>
      <c r="B69" s="123" t="n">
        <v>19</v>
      </c>
      <c r="C69" s="114" t="n">
        <v>26</v>
      </c>
      <c r="D69" s="142" t="n">
        <f aca="false">ABS(C69-C68)</f>
        <v>16</v>
      </c>
      <c r="E69" s="132" t="str">
        <f aca="false">IF(C69&gt;$C$79,"OOC high",IF(C69&lt;$C$80,"OOC low","OK"))</f>
        <v>OK</v>
      </c>
      <c r="F69" s="132" t="str">
        <f aca="false">IF(D69&gt;$C$81,"OOC high","OK")</f>
        <v>OOC high</v>
      </c>
      <c r="G69" s="102"/>
      <c r="H69" s="102"/>
      <c r="I69" s="102"/>
      <c r="J69" s="102"/>
      <c r="K69" s="102"/>
      <c r="L69" s="102"/>
      <c r="M69" s="102"/>
      <c r="N69" s="102"/>
      <c r="O69" s="102"/>
    </row>
    <row r="70" customFormat="false" ht="15" hidden="false" customHeight="true" outlineLevel="0" collapsed="false">
      <c r="A70" s="102"/>
      <c r="B70" s="123" t="n">
        <v>20</v>
      </c>
      <c r="C70" s="114" t="n">
        <v>28</v>
      </c>
      <c r="D70" s="142" t="n">
        <f aca="false">ABS(C70-C69)</f>
        <v>2</v>
      </c>
      <c r="E70" s="132" t="str">
        <f aca="false">IF(C70&gt;$C$79,"OOC high",IF(C70&lt;$C$80,"OOC low","OK"))</f>
        <v>OK</v>
      </c>
      <c r="F70" s="132" t="str">
        <f aca="false">IF(D70&gt;$C$81,"OOC high","OK")</f>
        <v>OK</v>
      </c>
      <c r="G70" s="102"/>
      <c r="H70" s="102"/>
      <c r="I70" s="102"/>
      <c r="J70" s="102"/>
      <c r="K70" s="102"/>
      <c r="L70" s="102"/>
      <c r="M70" s="102"/>
      <c r="N70" s="102"/>
      <c r="O70" s="102"/>
    </row>
    <row r="71" customFormat="false" ht="15" hidden="false" customHeight="true" outlineLevel="0" collapsed="false">
      <c r="A71" s="102"/>
      <c r="B71" s="123" t="n">
        <v>21</v>
      </c>
      <c r="C71" s="114" t="n">
        <v>25</v>
      </c>
      <c r="D71" s="142" t="n">
        <f aca="false">ABS(C71-C70)</f>
        <v>3</v>
      </c>
      <c r="E71" s="132" t="str">
        <f aca="false">IF(C71&gt;$C$79,"OOC high",IF(C71&lt;$C$80,"OOC low","OK"))</f>
        <v>OK</v>
      </c>
      <c r="F71" s="132" t="str">
        <f aca="false">IF(D71&gt;$C$81,"OOC high","OK")</f>
        <v>OK</v>
      </c>
      <c r="G71" s="102"/>
      <c r="H71" s="102"/>
      <c r="I71" s="102"/>
      <c r="J71" s="102"/>
      <c r="K71" s="102"/>
      <c r="L71" s="102"/>
      <c r="M71" s="102"/>
      <c r="N71" s="102"/>
      <c r="O71" s="102"/>
    </row>
    <row r="72" customFormat="false" ht="15" hidden="false" customHeight="true" outlineLevel="0" collapsed="false">
      <c r="A72" s="102"/>
      <c r="B72" s="123" t="n">
        <v>22</v>
      </c>
      <c r="C72" s="114" t="n">
        <v>27</v>
      </c>
      <c r="D72" s="142" t="n">
        <f aca="false">ABS(C72-C71)</f>
        <v>2</v>
      </c>
      <c r="E72" s="132" t="str">
        <f aca="false">IF(C72&gt;$C$79,"OOC high",IF(C72&lt;$C$80,"OOC low","OK"))</f>
        <v>OK</v>
      </c>
      <c r="F72" s="132" t="str">
        <f aca="false">IF(D72&gt;$C$81,"OOC high","OK")</f>
        <v>OK</v>
      </c>
      <c r="G72" s="102"/>
      <c r="H72" s="102"/>
      <c r="I72" s="102"/>
      <c r="J72" s="102"/>
      <c r="K72" s="102"/>
      <c r="L72" s="102"/>
      <c r="M72" s="102"/>
      <c r="N72" s="102"/>
      <c r="O72" s="102"/>
    </row>
    <row r="73" customFormat="false" ht="15" hidden="false" customHeight="true" outlineLevel="0" collapsed="false">
      <c r="A73" s="102"/>
      <c r="B73" s="123" t="n">
        <v>23</v>
      </c>
      <c r="C73" s="114" t="n">
        <v>26</v>
      </c>
      <c r="D73" s="142" t="n">
        <f aca="false">ABS(C73-C72)</f>
        <v>1</v>
      </c>
      <c r="E73" s="132" t="str">
        <f aca="false">IF(C73&gt;$C$79,"OOC high",IF(C73&lt;$C$80,"OOC low","OK"))</f>
        <v>OK</v>
      </c>
      <c r="F73" s="132" t="str">
        <f aca="false">IF(D73&gt;$C$81,"OOC high","OK")</f>
        <v>OK</v>
      </c>
      <c r="G73" s="102"/>
      <c r="H73" s="102"/>
      <c r="I73" s="102"/>
      <c r="J73" s="102"/>
      <c r="K73" s="102"/>
      <c r="L73" s="102"/>
      <c r="M73" s="102"/>
      <c r="N73" s="102"/>
      <c r="O73" s="102"/>
    </row>
    <row r="74" customFormat="false" ht="15" hidden="false" customHeight="true" outlineLevel="0" collapsed="false">
      <c r="A74" s="102"/>
      <c r="B74" s="123" t="n">
        <v>24</v>
      </c>
      <c r="C74" s="114" t="n">
        <v>28</v>
      </c>
      <c r="D74" s="142" t="n">
        <f aca="false">ABS(C74-C73)</f>
        <v>2</v>
      </c>
      <c r="E74" s="132" t="str">
        <f aca="false">IF(C74&gt;$C$79,"OOC high",IF(C74&lt;$C$80,"OOC low","OK"))</f>
        <v>OK</v>
      </c>
      <c r="F74" s="132" t="str">
        <f aca="false">IF(D74&gt;$C$81,"OOC high","OK")</f>
        <v>OK</v>
      </c>
      <c r="G74" s="102"/>
      <c r="H74" s="102"/>
      <c r="I74" s="102"/>
      <c r="J74" s="102"/>
      <c r="K74" s="102"/>
      <c r="L74" s="102"/>
      <c r="M74" s="102"/>
      <c r="N74" s="102"/>
      <c r="O74" s="102"/>
    </row>
    <row r="75" customFormat="false" ht="15" hidden="false" customHeight="true" outlineLevel="0" collapsed="false">
      <c r="A75" s="102"/>
      <c r="B75" s="123" t="n">
        <v>25</v>
      </c>
      <c r="C75" s="114" t="n">
        <v>27</v>
      </c>
      <c r="D75" s="142" t="n">
        <f aca="false">ABS(C75-C74)</f>
        <v>1</v>
      </c>
      <c r="E75" s="132" t="str">
        <f aca="false">IF(C75&gt;$C$79,"OOC high",IF(C75&lt;$C$80,"OOC low","OK"))</f>
        <v>OK</v>
      </c>
      <c r="F75" s="132" t="str">
        <f aca="false">IF(D75&gt;$C$81,"OOC high","OK")</f>
        <v>OK</v>
      </c>
      <c r="G75" s="102"/>
      <c r="H75" s="102"/>
      <c r="I75" s="102"/>
      <c r="J75" s="102"/>
      <c r="K75" s="102"/>
      <c r="L75" s="102"/>
      <c r="M75" s="102"/>
      <c r="N75" s="102"/>
      <c r="O75" s="102"/>
    </row>
    <row r="76" customFormat="false" ht="15" hidden="false" customHeight="true" outlineLevel="0" collapsed="false">
      <c r="A76" s="102"/>
      <c r="B76" s="102"/>
      <c r="C76" s="102"/>
      <c r="D76" s="102"/>
      <c r="E76" s="102"/>
      <c r="F76" s="102"/>
      <c r="G76" s="102"/>
      <c r="H76" s="102"/>
      <c r="I76" s="102"/>
      <c r="J76" s="102"/>
      <c r="K76" s="102"/>
      <c r="L76" s="102"/>
      <c r="M76" s="102"/>
      <c r="N76" s="102"/>
      <c r="O76" s="102"/>
    </row>
    <row r="77" customFormat="false" ht="15" hidden="false" customHeight="true" outlineLevel="0" collapsed="false">
      <c r="A77" s="102"/>
      <c r="B77" s="105" t="s">
        <v>5803</v>
      </c>
      <c r="C77" s="133" t="n">
        <f aca="false">AVERAGE(C51:C75)</f>
        <v>27.28</v>
      </c>
      <c r="D77" s="102"/>
      <c r="E77" s="102"/>
      <c r="F77" s="102"/>
      <c r="G77" s="102"/>
      <c r="H77" s="102"/>
      <c r="I77" s="102"/>
      <c r="J77" s="102"/>
      <c r="K77" s="102"/>
      <c r="L77" s="102"/>
      <c r="M77" s="102"/>
      <c r="N77" s="102"/>
      <c r="O77" s="102"/>
    </row>
    <row r="78" customFormat="false" ht="15" hidden="false" customHeight="true" outlineLevel="0" collapsed="false">
      <c r="A78" s="102"/>
      <c r="B78" s="105" t="s">
        <v>5804</v>
      </c>
      <c r="C78" s="133" t="n">
        <f aca="false">AVERAGE(D52:D75)</f>
        <v>3.20833333333333</v>
      </c>
      <c r="D78" s="102"/>
      <c r="E78" s="102"/>
      <c r="F78" s="102"/>
      <c r="G78" s="102"/>
      <c r="H78" s="102"/>
      <c r="I78" s="102"/>
      <c r="J78" s="102"/>
      <c r="K78" s="102"/>
      <c r="L78" s="102"/>
      <c r="M78" s="102"/>
      <c r="N78" s="102"/>
      <c r="O78" s="102"/>
    </row>
    <row r="79" customFormat="false" ht="15" hidden="false" customHeight="true" outlineLevel="0" collapsed="false">
      <c r="A79" s="102"/>
      <c r="B79" s="105" t="s">
        <v>5805</v>
      </c>
      <c r="C79" s="133" t="n">
        <f aca="false">C77+2.66*C78</f>
        <v>35.8141666666667</v>
      </c>
      <c r="D79" s="102"/>
      <c r="E79" s="102"/>
      <c r="F79" s="102"/>
      <c r="G79" s="102"/>
      <c r="H79" s="102"/>
      <c r="I79" s="102"/>
      <c r="J79" s="102"/>
      <c r="K79" s="102"/>
      <c r="L79" s="102"/>
      <c r="M79" s="102"/>
      <c r="N79" s="102"/>
      <c r="O79" s="102"/>
    </row>
    <row r="80" customFormat="false" ht="15" hidden="false" customHeight="true" outlineLevel="0" collapsed="false">
      <c r="A80" s="102"/>
      <c r="B80" s="105" t="s">
        <v>5806</v>
      </c>
      <c r="C80" s="133" t="n">
        <f aca="false">C77-2.66*C78</f>
        <v>18.7458333333333</v>
      </c>
      <c r="D80" s="102"/>
      <c r="E80" s="102"/>
      <c r="F80" s="102"/>
      <c r="G80" s="102"/>
      <c r="H80" s="102"/>
      <c r="I80" s="102"/>
      <c r="J80" s="102"/>
      <c r="K80" s="102"/>
      <c r="L80" s="102"/>
      <c r="M80" s="102"/>
      <c r="N80" s="102"/>
      <c r="O80" s="102"/>
    </row>
    <row r="81" customFormat="false" ht="15" hidden="false" customHeight="true" outlineLevel="0" collapsed="false">
      <c r="A81" s="102"/>
      <c r="B81" s="105" t="s">
        <v>5807</v>
      </c>
      <c r="C81" s="133" t="n">
        <f aca="false">3.267*C78</f>
        <v>10.481625</v>
      </c>
      <c r="D81" s="102"/>
      <c r="E81" s="102"/>
      <c r="F81" s="102"/>
      <c r="G81" s="102"/>
      <c r="H81" s="102"/>
      <c r="I81" s="102"/>
      <c r="J81" s="102"/>
      <c r="K81" s="102"/>
      <c r="L81" s="102"/>
      <c r="M81" s="102"/>
      <c r="N81" s="102"/>
      <c r="O81" s="102"/>
    </row>
    <row r="82" customFormat="false" ht="15" hidden="false" customHeight="true" outlineLevel="0" collapsed="false">
      <c r="A82" s="102"/>
      <c r="B82" s="105" t="s">
        <v>5808</v>
      </c>
      <c r="C82" s="133" t="n">
        <f aca="false">0</f>
        <v>0</v>
      </c>
      <c r="D82" s="102"/>
      <c r="E82" s="102"/>
      <c r="F82" s="102"/>
      <c r="G82" s="102"/>
      <c r="H82" s="102"/>
      <c r="I82" s="102"/>
      <c r="J82" s="102"/>
      <c r="K82" s="102"/>
      <c r="L82" s="102"/>
      <c r="M82" s="102"/>
      <c r="N82" s="102"/>
      <c r="O82" s="102"/>
    </row>
    <row r="83" customFormat="false" ht="15" hidden="false" customHeight="true" outlineLevel="0" collapsed="false">
      <c r="A83" s="102"/>
      <c r="B83" s="102"/>
      <c r="C83" s="102"/>
      <c r="D83" s="102"/>
      <c r="E83" s="102"/>
      <c r="F83" s="102"/>
      <c r="G83" s="102"/>
      <c r="H83" s="102"/>
      <c r="I83" s="102"/>
      <c r="J83" s="102"/>
      <c r="K83" s="102"/>
      <c r="L83" s="102"/>
      <c r="M83" s="102"/>
      <c r="N83" s="102"/>
      <c r="O83" s="102"/>
    </row>
    <row r="84" customFormat="false" ht="16.5" hidden="false" customHeight="true" outlineLevel="0" collapsed="false">
      <c r="A84" s="102"/>
      <c r="B84" s="108" t="s">
        <v>5798</v>
      </c>
      <c r="C84" s="108" t="s">
        <v>720</v>
      </c>
      <c r="D84" s="108" t="s">
        <v>5809</v>
      </c>
      <c r="E84" s="108" t="s">
        <v>5810</v>
      </c>
      <c r="F84" s="108" t="s">
        <v>5811</v>
      </c>
      <c r="G84" s="102"/>
      <c r="H84" s="102"/>
      <c r="I84" s="102"/>
      <c r="J84" s="102"/>
      <c r="K84" s="102"/>
      <c r="L84" s="102"/>
      <c r="M84" s="102"/>
      <c r="N84" s="102"/>
      <c r="O84" s="102"/>
    </row>
    <row r="85" customFormat="false" ht="15" hidden="false" customHeight="true" outlineLevel="0" collapsed="false">
      <c r="A85" s="102"/>
      <c r="B85" s="123" t="n">
        <v>1</v>
      </c>
      <c r="C85" s="142" t="n">
        <f aca="false">C51</f>
        <v>26</v>
      </c>
      <c r="D85" s="142" t="n">
        <f aca="false">$C$77</f>
        <v>27.28</v>
      </c>
      <c r="E85" s="142" t="n">
        <f aca="false">$C$79</f>
        <v>35.8141666666667</v>
      </c>
      <c r="F85" s="142" t="n">
        <f aca="false">$C$80</f>
        <v>18.7458333333333</v>
      </c>
      <c r="G85" s="102"/>
      <c r="H85" s="102"/>
      <c r="I85" s="102"/>
      <c r="J85" s="102"/>
      <c r="K85" s="102"/>
      <c r="L85" s="102"/>
      <c r="M85" s="102"/>
      <c r="N85" s="102"/>
      <c r="O85" s="102"/>
    </row>
    <row r="86" customFormat="false" ht="15" hidden="false" customHeight="true" outlineLevel="0" collapsed="false">
      <c r="A86" s="102"/>
      <c r="B86" s="123" t="n">
        <v>2</v>
      </c>
      <c r="C86" s="142" t="n">
        <f aca="false">C52</f>
        <v>28</v>
      </c>
      <c r="D86" s="142" t="n">
        <f aca="false">$C$77</f>
        <v>27.28</v>
      </c>
      <c r="E86" s="142" t="n">
        <f aca="false">$C$79</f>
        <v>35.8141666666667</v>
      </c>
      <c r="F86" s="142" t="n">
        <f aca="false">$C$80</f>
        <v>18.7458333333333</v>
      </c>
      <c r="G86" s="102"/>
      <c r="H86" s="102"/>
      <c r="I86" s="102"/>
      <c r="J86" s="102"/>
      <c r="K86" s="102"/>
      <c r="L86" s="102"/>
      <c r="M86" s="102"/>
      <c r="N86" s="102"/>
      <c r="O86" s="102"/>
    </row>
    <row r="87" customFormat="false" ht="15" hidden="false" customHeight="true" outlineLevel="0" collapsed="false">
      <c r="A87" s="102"/>
      <c r="B87" s="123" t="n">
        <v>3</v>
      </c>
      <c r="C87" s="142" t="n">
        <f aca="false">C53</f>
        <v>25</v>
      </c>
      <c r="D87" s="142" t="n">
        <f aca="false">$C$77</f>
        <v>27.28</v>
      </c>
      <c r="E87" s="142" t="n">
        <f aca="false">$C$79</f>
        <v>35.8141666666667</v>
      </c>
      <c r="F87" s="142" t="n">
        <f aca="false">$C$80</f>
        <v>18.7458333333333</v>
      </c>
      <c r="G87" s="102"/>
      <c r="H87" s="102"/>
      <c r="I87" s="102"/>
      <c r="J87" s="102"/>
      <c r="K87" s="102"/>
      <c r="L87" s="102"/>
      <c r="M87" s="102"/>
      <c r="N87" s="102"/>
      <c r="O87" s="102"/>
    </row>
    <row r="88" customFormat="false" ht="15" hidden="false" customHeight="true" outlineLevel="0" collapsed="false">
      <c r="A88" s="102"/>
      <c r="B88" s="123" t="n">
        <v>4</v>
      </c>
      <c r="C88" s="142" t="n">
        <f aca="false">C54</f>
        <v>27</v>
      </c>
      <c r="D88" s="142" t="n">
        <f aca="false">$C$77</f>
        <v>27.28</v>
      </c>
      <c r="E88" s="142" t="n">
        <f aca="false">$C$79</f>
        <v>35.8141666666667</v>
      </c>
      <c r="F88" s="142" t="n">
        <f aca="false">$C$80</f>
        <v>18.7458333333333</v>
      </c>
      <c r="G88" s="102"/>
      <c r="H88" s="102"/>
      <c r="I88" s="102"/>
      <c r="J88" s="102"/>
      <c r="K88" s="102"/>
      <c r="L88" s="102"/>
      <c r="M88" s="102"/>
      <c r="N88" s="102"/>
      <c r="O88" s="102"/>
    </row>
    <row r="89" customFormat="false" ht="15" hidden="false" customHeight="true" outlineLevel="0" collapsed="false">
      <c r="A89" s="102"/>
      <c r="B89" s="123" t="n">
        <v>5</v>
      </c>
      <c r="C89" s="142" t="n">
        <f aca="false">C55</f>
        <v>29</v>
      </c>
      <c r="D89" s="142" t="n">
        <f aca="false">$C$77</f>
        <v>27.28</v>
      </c>
      <c r="E89" s="142" t="n">
        <f aca="false">$C$79</f>
        <v>35.8141666666667</v>
      </c>
      <c r="F89" s="142" t="n">
        <f aca="false">$C$80</f>
        <v>18.7458333333333</v>
      </c>
      <c r="G89" s="102"/>
      <c r="H89" s="102"/>
      <c r="I89" s="102"/>
      <c r="J89" s="102"/>
      <c r="K89" s="102"/>
      <c r="L89" s="102"/>
      <c r="M89" s="102"/>
      <c r="N89" s="102"/>
      <c r="O89" s="102"/>
    </row>
    <row r="90" customFormat="false" ht="15" hidden="false" customHeight="true" outlineLevel="0" collapsed="false">
      <c r="A90" s="102"/>
      <c r="B90" s="123" t="n">
        <v>6</v>
      </c>
      <c r="C90" s="142" t="n">
        <f aca="false">C56</f>
        <v>26</v>
      </c>
      <c r="D90" s="142" t="n">
        <f aca="false">$C$77</f>
        <v>27.28</v>
      </c>
      <c r="E90" s="142" t="n">
        <f aca="false">$C$79</f>
        <v>35.8141666666667</v>
      </c>
      <c r="F90" s="142" t="n">
        <f aca="false">$C$80</f>
        <v>18.7458333333333</v>
      </c>
      <c r="G90" s="102"/>
      <c r="H90" s="102"/>
      <c r="I90" s="102"/>
      <c r="J90" s="102"/>
      <c r="K90" s="102"/>
      <c r="L90" s="102"/>
      <c r="M90" s="102"/>
      <c r="N90" s="102"/>
      <c r="O90" s="102"/>
    </row>
    <row r="91" customFormat="false" ht="15" hidden="false" customHeight="true" outlineLevel="0" collapsed="false">
      <c r="A91" s="102"/>
      <c r="B91" s="123" t="n">
        <v>7</v>
      </c>
      <c r="C91" s="142" t="n">
        <f aca="false">C57</f>
        <v>24</v>
      </c>
      <c r="D91" s="142" t="n">
        <f aca="false">$C$77</f>
        <v>27.28</v>
      </c>
      <c r="E91" s="142" t="n">
        <f aca="false">$C$79</f>
        <v>35.8141666666667</v>
      </c>
      <c r="F91" s="142" t="n">
        <f aca="false">$C$80</f>
        <v>18.7458333333333</v>
      </c>
      <c r="G91" s="102"/>
      <c r="H91" s="102"/>
      <c r="I91" s="102"/>
      <c r="J91" s="102"/>
      <c r="K91" s="102"/>
      <c r="L91" s="102"/>
      <c r="M91" s="102"/>
      <c r="N91" s="102"/>
      <c r="O91" s="102"/>
    </row>
    <row r="92" customFormat="false" ht="15" hidden="false" customHeight="true" outlineLevel="0" collapsed="false">
      <c r="A92" s="102"/>
      <c r="B92" s="123" t="n">
        <v>8</v>
      </c>
      <c r="C92" s="142" t="n">
        <f aca="false">C58</f>
        <v>27</v>
      </c>
      <c r="D92" s="142" t="n">
        <f aca="false">$C$77</f>
        <v>27.28</v>
      </c>
      <c r="E92" s="142" t="n">
        <f aca="false">$C$79</f>
        <v>35.8141666666667</v>
      </c>
      <c r="F92" s="142" t="n">
        <f aca="false">$C$80</f>
        <v>18.7458333333333</v>
      </c>
      <c r="G92" s="102"/>
      <c r="H92" s="102"/>
      <c r="I92" s="102"/>
      <c r="J92" s="102"/>
      <c r="K92" s="102"/>
      <c r="L92" s="102"/>
      <c r="M92" s="102"/>
      <c r="N92" s="102"/>
      <c r="O92" s="102"/>
    </row>
    <row r="93" customFormat="false" ht="15" hidden="false" customHeight="true" outlineLevel="0" collapsed="false">
      <c r="A93" s="102"/>
      <c r="B93" s="123" t="n">
        <v>9</v>
      </c>
      <c r="C93" s="142" t="n">
        <f aca="false">C59</f>
        <v>28</v>
      </c>
      <c r="D93" s="142" t="n">
        <f aca="false">$C$77</f>
        <v>27.28</v>
      </c>
      <c r="E93" s="142" t="n">
        <f aca="false">$C$79</f>
        <v>35.8141666666667</v>
      </c>
      <c r="F93" s="142" t="n">
        <f aca="false">$C$80</f>
        <v>18.7458333333333</v>
      </c>
      <c r="G93" s="102"/>
      <c r="H93" s="102"/>
      <c r="I93" s="102"/>
      <c r="J93" s="102"/>
      <c r="K93" s="102"/>
      <c r="L93" s="102"/>
      <c r="M93" s="102"/>
      <c r="N93" s="102"/>
      <c r="O93" s="102"/>
    </row>
    <row r="94" customFormat="false" ht="15" hidden="false" customHeight="true" outlineLevel="0" collapsed="false">
      <c r="A94" s="102"/>
      <c r="B94" s="123" t="n">
        <v>10</v>
      </c>
      <c r="C94" s="142" t="n">
        <f aca="false">C60</f>
        <v>26</v>
      </c>
      <c r="D94" s="142" t="n">
        <f aca="false">$C$77</f>
        <v>27.28</v>
      </c>
      <c r="E94" s="142" t="n">
        <f aca="false">$C$79</f>
        <v>35.8141666666667</v>
      </c>
      <c r="F94" s="142" t="n">
        <f aca="false">$C$80</f>
        <v>18.7458333333333</v>
      </c>
      <c r="G94" s="102"/>
      <c r="H94" s="102"/>
      <c r="I94" s="102"/>
      <c r="J94" s="102"/>
      <c r="K94" s="102"/>
      <c r="L94" s="102"/>
      <c r="M94" s="102"/>
      <c r="N94" s="102"/>
      <c r="O94" s="102"/>
    </row>
    <row r="95" customFormat="false" ht="15" hidden="false" customHeight="true" outlineLevel="0" collapsed="false">
      <c r="A95" s="102"/>
      <c r="B95" s="123" t="n">
        <v>11</v>
      </c>
      <c r="C95" s="142" t="n">
        <f aca="false">C61</f>
        <v>25</v>
      </c>
      <c r="D95" s="142" t="n">
        <f aca="false">$C$77</f>
        <v>27.28</v>
      </c>
      <c r="E95" s="142" t="n">
        <f aca="false">$C$79</f>
        <v>35.8141666666667</v>
      </c>
      <c r="F95" s="142" t="n">
        <f aca="false">$C$80</f>
        <v>18.7458333333333</v>
      </c>
      <c r="G95" s="102"/>
      <c r="H95" s="102"/>
      <c r="I95" s="102"/>
      <c r="J95" s="102"/>
      <c r="K95" s="102"/>
      <c r="L95" s="102"/>
      <c r="M95" s="102"/>
      <c r="N95" s="102"/>
      <c r="O95" s="102"/>
    </row>
    <row r="96" customFormat="false" ht="15" hidden="false" customHeight="true" outlineLevel="0" collapsed="false">
      <c r="A96" s="102"/>
      <c r="B96" s="123" t="n">
        <v>12</v>
      </c>
      <c r="C96" s="142" t="n">
        <f aca="false">C62</f>
        <v>27</v>
      </c>
      <c r="D96" s="142" t="n">
        <f aca="false">$C$77</f>
        <v>27.28</v>
      </c>
      <c r="E96" s="142" t="n">
        <f aca="false">$C$79</f>
        <v>35.8141666666667</v>
      </c>
      <c r="F96" s="142" t="n">
        <f aca="false">$C$80</f>
        <v>18.7458333333333</v>
      </c>
      <c r="G96" s="102"/>
      <c r="H96" s="102"/>
      <c r="I96" s="102"/>
      <c r="J96" s="102"/>
      <c r="K96" s="102"/>
      <c r="L96" s="102"/>
      <c r="M96" s="102"/>
      <c r="N96" s="102"/>
      <c r="O96" s="102"/>
    </row>
    <row r="97" customFormat="false" ht="15" hidden="false" customHeight="true" outlineLevel="0" collapsed="false">
      <c r="A97" s="102"/>
      <c r="B97" s="123" t="n">
        <v>13</v>
      </c>
      <c r="C97" s="142" t="n">
        <f aca="false">C63</f>
        <v>29</v>
      </c>
      <c r="D97" s="142" t="n">
        <f aca="false">$C$77</f>
        <v>27.28</v>
      </c>
      <c r="E97" s="142" t="n">
        <f aca="false">$C$79</f>
        <v>35.8141666666667</v>
      </c>
      <c r="F97" s="142" t="n">
        <f aca="false">$C$80</f>
        <v>18.7458333333333</v>
      </c>
      <c r="G97" s="102"/>
      <c r="H97" s="102"/>
      <c r="I97" s="102"/>
      <c r="J97" s="102"/>
      <c r="K97" s="102"/>
      <c r="L97" s="102"/>
      <c r="M97" s="102"/>
      <c r="N97" s="102"/>
      <c r="O97" s="102"/>
    </row>
    <row r="98" customFormat="false" ht="15" hidden="false" customHeight="true" outlineLevel="0" collapsed="false">
      <c r="A98" s="102"/>
      <c r="B98" s="123" t="n">
        <v>14</v>
      </c>
      <c r="C98" s="142" t="n">
        <f aca="false">C64</f>
        <v>26</v>
      </c>
      <c r="D98" s="142" t="n">
        <f aca="false">$C$77</f>
        <v>27.28</v>
      </c>
      <c r="E98" s="142" t="n">
        <f aca="false">$C$79</f>
        <v>35.8141666666667</v>
      </c>
      <c r="F98" s="142" t="n">
        <f aca="false">$C$80</f>
        <v>18.7458333333333</v>
      </c>
      <c r="G98" s="102"/>
      <c r="H98" s="102"/>
      <c r="I98" s="102"/>
      <c r="J98" s="102"/>
      <c r="K98" s="102"/>
      <c r="L98" s="102"/>
      <c r="M98" s="102"/>
      <c r="N98" s="102"/>
      <c r="O98" s="102"/>
    </row>
    <row r="99" customFormat="false" ht="15" hidden="false" customHeight="true" outlineLevel="0" collapsed="false">
      <c r="A99" s="102"/>
      <c r="B99" s="123" t="n">
        <v>15</v>
      </c>
      <c r="C99" s="142" t="n">
        <f aca="false">C65</f>
        <v>28</v>
      </c>
      <c r="D99" s="142" t="n">
        <f aca="false">$C$77</f>
        <v>27.28</v>
      </c>
      <c r="E99" s="142" t="n">
        <f aca="false">$C$79</f>
        <v>35.8141666666667</v>
      </c>
      <c r="F99" s="142" t="n">
        <f aca="false">$C$80</f>
        <v>18.7458333333333</v>
      </c>
      <c r="G99" s="102"/>
      <c r="H99" s="102"/>
      <c r="I99" s="102"/>
      <c r="J99" s="102"/>
      <c r="K99" s="102"/>
      <c r="L99" s="102"/>
      <c r="M99" s="102"/>
      <c r="N99" s="102"/>
      <c r="O99" s="102"/>
    </row>
    <row r="100" customFormat="false" ht="15" hidden="false" customHeight="true" outlineLevel="0" collapsed="false">
      <c r="A100" s="102"/>
      <c r="B100" s="123" t="n">
        <v>16</v>
      </c>
      <c r="C100" s="142" t="n">
        <f aca="false">C66</f>
        <v>25</v>
      </c>
      <c r="D100" s="142" t="n">
        <f aca="false">$C$77</f>
        <v>27.28</v>
      </c>
      <c r="E100" s="142" t="n">
        <f aca="false">$C$79</f>
        <v>35.8141666666667</v>
      </c>
      <c r="F100" s="142" t="n">
        <f aca="false">$C$80</f>
        <v>18.7458333333333</v>
      </c>
      <c r="G100" s="102"/>
      <c r="H100" s="102"/>
      <c r="I100" s="102"/>
      <c r="J100" s="102"/>
      <c r="K100" s="102"/>
      <c r="L100" s="102"/>
      <c r="M100" s="102"/>
      <c r="N100" s="102"/>
      <c r="O100" s="102"/>
    </row>
    <row r="101" customFormat="false" ht="15" hidden="false" customHeight="true" outlineLevel="0" collapsed="false">
      <c r="A101" s="102"/>
      <c r="B101" s="123" t="n">
        <v>17</v>
      </c>
      <c r="C101" s="142" t="n">
        <f aca="false">C67</f>
        <v>27</v>
      </c>
      <c r="D101" s="142" t="n">
        <f aca="false">$C$77</f>
        <v>27.28</v>
      </c>
      <c r="E101" s="142" t="n">
        <f aca="false">$C$79</f>
        <v>35.8141666666667</v>
      </c>
      <c r="F101" s="142" t="n">
        <f aca="false">$C$80</f>
        <v>18.7458333333333</v>
      </c>
      <c r="G101" s="102"/>
      <c r="H101" s="102"/>
      <c r="I101" s="102"/>
      <c r="J101" s="102"/>
      <c r="K101" s="102"/>
      <c r="L101" s="102"/>
      <c r="M101" s="102"/>
      <c r="N101" s="102"/>
      <c r="O101" s="102"/>
    </row>
    <row r="102" customFormat="false" ht="15" hidden="false" customHeight="true" outlineLevel="0" collapsed="false">
      <c r="A102" s="102"/>
      <c r="B102" s="123" t="n">
        <v>18</v>
      </c>
      <c r="C102" s="142" t="n">
        <f aca="false">C68</f>
        <v>42</v>
      </c>
      <c r="D102" s="142" t="n">
        <f aca="false">$C$77</f>
        <v>27.28</v>
      </c>
      <c r="E102" s="142" t="n">
        <f aca="false">$C$79</f>
        <v>35.8141666666667</v>
      </c>
      <c r="F102" s="142" t="n">
        <f aca="false">$C$80</f>
        <v>18.7458333333333</v>
      </c>
      <c r="G102" s="102"/>
      <c r="H102" s="102"/>
      <c r="I102" s="102"/>
      <c r="J102" s="102"/>
      <c r="K102" s="102"/>
      <c r="L102" s="102"/>
      <c r="M102" s="102"/>
      <c r="N102" s="102"/>
      <c r="O102" s="102"/>
    </row>
    <row r="103" customFormat="false" ht="15" hidden="false" customHeight="true" outlineLevel="0" collapsed="false">
      <c r="A103" s="102"/>
      <c r="B103" s="123" t="n">
        <v>19</v>
      </c>
      <c r="C103" s="142" t="n">
        <f aca="false">C69</f>
        <v>26</v>
      </c>
      <c r="D103" s="142" t="n">
        <f aca="false">$C$77</f>
        <v>27.28</v>
      </c>
      <c r="E103" s="142" t="n">
        <f aca="false">$C$79</f>
        <v>35.8141666666667</v>
      </c>
      <c r="F103" s="142" t="n">
        <f aca="false">$C$80</f>
        <v>18.7458333333333</v>
      </c>
      <c r="G103" s="102"/>
      <c r="H103" s="102"/>
      <c r="I103" s="102"/>
      <c r="J103" s="102"/>
      <c r="K103" s="102"/>
      <c r="L103" s="102"/>
      <c r="M103" s="102"/>
      <c r="N103" s="102"/>
      <c r="O103" s="102"/>
    </row>
    <row r="104" customFormat="false" ht="15" hidden="false" customHeight="true" outlineLevel="0" collapsed="false">
      <c r="A104" s="102"/>
      <c r="B104" s="123" t="n">
        <v>20</v>
      </c>
      <c r="C104" s="142" t="n">
        <f aca="false">C70</f>
        <v>28</v>
      </c>
      <c r="D104" s="142" t="n">
        <f aca="false">$C$77</f>
        <v>27.28</v>
      </c>
      <c r="E104" s="142" t="n">
        <f aca="false">$C$79</f>
        <v>35.8141666666667</v>
      </c>
      <c r="F104" s="142" t="n">
        <f aca="false">$C$80</f>
        <v>18.7458333333333</v>
      </c>
      <c r="G104" s="102"/>
      <c r="H104" s="102"/>
      <c r="I104" s="102"/>
      <c r="J104" s="102"/>
      <c r="K104" s="102"/>
      <c r="L104" s="102"/>
      <c r="M104" s="102"/>
      <c r="N104" s="102"/>
      <c r="O104" s="102"/>
    </row>
    <row r="105" customFormat="false" ht="15" hidden="false" customHeight="true" outlineLevel="0" collapsed="false">
      <c r="A105" s="102"/>
      <c r="B105" s="123" t="n">
        <v>21</v>
      </c>
      <c r="C105" s="142" t="n">
        <f aca="false">C71</f>
        <v>25</v>
      </c>
      <c r="D105" s="142" t="n">
        <f aca="false">$C$77</f>
        <v>27.28</v>
      </c>
      <c r="E105" s="142" t="n">
        <f aca="false">$C$79</f>
        <v>35.8141666666667</v>
      </c>
      <c r="F105" s="142" t="n">
        <f aca="false">$C$80</f>
        <v>18.7458333333333</v>
      </c>
      <c r="G105" s="102"/>
      <c r="H105" s="102"/>
      <c r="I105" s="102"/>
      <c r="J105" s="102"/>
      <c r="K105" s="102"/>
      <c r="L105" s="102"/>
      <c r="M105" s="102"/>
      <c r="N105" s="102"/>
      <c r="O105" s="102"/>
    </row>
    <row r="106" customFormat="false" ht="15" hidden="false" customHeight="true" outlineLevel="0" collapsed="false">
      <c r="A106" s="102"/>
      <c r="B106" s="123" t="n">
        <v>22</v>
      </c>
      <c r="C106" s="142" t="n">
        <f aca="false">C72</f>
        <v>27</v>
      </c>
      <c r="D106" s="142" t="n">
        <f aca="false">$C$77</f>
        <v>27.28</v>
      </c>
      <c r="E106" s="142" t="n">
        <f aca="false">$C$79</f>
        <v>35.8141666666667</v>
      </c>
      <c r="F106" s="142" t="n">
        <f aca="false">$C$80</f>
        <v>18.7458333333333</v>
      </c>
      <c r="G106" s="102"/>
      <c r="H106" s="102"/>
      <c r="I106" s="102"/>
      <c r="J106" s="102"/>
      <c r="K106" s="102"/>
      <c r="L106" s="102"/>
      <c r="M106" s="102"/>
      <c r="N106" s="102"/>
      <c r="O106" s="102"/>
    </row>
    <row r="107" customFormat="false" ht="15" hidden="false" customHeight="true" outlineLevel="0" collapsed="false">
      <c r="A107" s="102"/>
      <c r="B107" s="123" t="n">
        <v>23</v>
      </c>
      <c r="C107" s="142" t="n">
        <f aca="false">C73</f>
        <v>26</v>
      </c>
      <c r="D107" s="142" t="n">
        <f aca="false">$C$77</f>
        <v>27.28</v>
      </c>
      <c r="E107" s="142" t="n">
        <f aca="false">$C$79</f>
        <v>35.8141666666667</v>
      </c>
      <c r="F107" s="142" t="n">
        <f aca="false">$C$80</f>
        <v>18.7458333333333</v>
      </c>
      <c r="G107" s="102"/>
      <c r="H107" s="102"/>
      <c r="I107" s="102"/>
      <c r="J107" s="102"/>
      <c r="K107" s="102"/>
      <c r="L107" s="102"/>
      <c r="M107" s="102"/>
      <c r="N107" s="102"/>
      <c r="O107" s="102"/>
    </row>
    <row r="108" customFormat="false" ht="15" hidden="false" customHeight="true" outlineLevel="0" collapsed="false">
      <c r="A108" s="102"/>
      <c r="B108" s="123" t="n">
        <v>24</v>
      </c>
      <c r="C108" s="142" t="n">
        <f aca="false">C74</f>
        <v>28</v>
      </c>
      <c r="D108" s="142" t="n">
        <f aca="false">$C$77</f>
        <v>27.28</v>
      </c>
      <c r="E108" s="142" t="n">
        <f aca="false">$C$79</f>
        <v>35.8141666666667</v>
      </c>
      <c r="F108" s="142" t="n">
        <f aca="false">$C$80</f>
        <v>18.7458333333333</v>
      </c>
      <c r="G108" s="102"/>
      <c r="H108" s="102"/>
      <c r="I108" s="102"/>
      <c r="J108" s="102"/>
      <c r="K108" s="102"/>
      <c r="L108" s="102"/>
      <c r="M108" s="102"/>
      <c r="N108" s="102"/>
      <c r="O108" s="102"/>
    </row>
    <row r="109" customFormat="false" ht="15" hidden="false" customHeight="true" outlineLevel="0" collapsed="false">
      <c r="A109" s="102"/>
      <c r="B109" s="123" t="n">
        <v>25</v>
      </c>
      <c r="C109" s="142" t="n">
        <f aca="false">C75</f>
        <v>27</v>
      </c>
      <c r="D109" s="142" t="n">
        <f aca="false">$C$77</f>
        <v>27.28</v>
      </c>
      <c r="E109" s="142" t="n">
        <f aca="false">$C$79</f>
        <v>35.8141666666667</v>
      </c>
      <c r="F109" s="142" t="n">
        <f aca="false">$C$80</f>
        <v>18.7458333333333</v>
      </c>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 hidden="false" customHeight="true" outlineLevel="0" collapsed="false">
      <c r="A120" s="102"/>
      <c r="B120" s="102"/>
      <c r="C120" s="102"/>
      <c r="D120" s="102"/>
      <c r="E120" s="102"/>
      <c r="F120" s="102"/>
      <c r="G120" s="102"/>
      <c r="H120" s="102"/>
      <c r="I120" s="102"/>
      <c r="J120" s="102"/>
      <c r="K120" s="102"/>
      <c r="L120" s="102"/>
      <c r="M120" s="102"/>
      <c r="N120" s="102"/>
      <c r="O120" s="102"/>
    </row>
    <row r="121" customFormat="false" ht="15" hidden="false" customHeight="true" outlineLevel="0" collapsed="false">
      <c r="A121" s="102"/>
      <c r="B121" s="102"/>
      <c r="C121" s="102"/>
      <c r="D121" s="102"/>
      <c r="E121" s="102"/>
      <c r="F121" s="102"/>
      <c r="G121" s="102"/>
      <c r="H121" s="102"/>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 hidden="false" customHeight="true" outlineLevel="0" collapsed="false">
      <c r="A124" s="102"/>
      <c r="B124" s="102"/>
      <c r="C124" s="102"/>
      <c r="D124" s="102"/>
      <c r="E124" s="102"/>
      <c r="F124" s="102"/>
      <c r="G124" s="102"/>
      <c r="H124" s="102"/>
      <c r="I124" s="102"/>
      <c r="J124" s="102"/>
      <c r="K124" s="102"/>
      <c r="L124" s="102"/>
      <c r="M124" s="102"/>
      <c r="N124" s="102"/>
      <c r="O124" s="102"/>
    </row>
    <row r="125" customFormat="false" ht="15" hidden="false" customHeight="true" outlineLevel="0" collapsed="false">
      <c r="A125" s="102"/>
      <c r="B125" s="102"/>
      <c r="C125" s="102"/>
      <c r="D125" s="102"/>
      <c r="E125" s="102"/>
      <c r="F125" s="102"/>
      <c r="G125" s="102"/>
      <c r="H125" s="102"/>
      <c r="I125" s="102"/>
      <c r="J125" s="102"/>
      <c r="K125" s="102"/>
      <c r="L125" s="102"/>
      <c r="M125" s="102"/>
      <c r="N125" s="102"/>
      <c r="O125" s="102"/>
    </row>
    <row r="126" customFormat="false" ht="15" hidden="false" customHeight="true" outlineLevel="0" collapsed="false">
      <c r="A126" s="102"/>
      <c r="B126" s="102"/>
      <c r="C126" s="102"/>
      <c r="D126" s="102"/>
      <c r="E126" s="102"/>
      <c r="F126" s="102"/>
      <c r="G126" s="102"/>
      <c r="H126" s="102"/>
      <c r="I126" s="102"/>
      <c r="J126" s="102"/>
      <c r="K126" s="102"/>
      <c r="L126" s="102"/>
      <c r="M126" s="102"/>
      <c r="N126" s="102"/>
      <c r="O126" s="102"/>
    </row>
    <row r="127" customFormat="false" ht="15" hidden="false" customHeight="true" outlineLevel="0" collapsed="false">
      <c r="A127" s="102"/>
      <c r="B127" s="102"/>
      <c r="C127" s="102"/>
      <c r="D127" s="102"/>
      <c r="E127" s="102"/>
      <c r="F127" s="102"/>
      <c r="G127" s="102"/>
      <c r="H127" s="102"/>
      <c r="I127" s="102"/>
      <c r="J127" s="102"/>
      <c r="K127" s="102"/>
      <c r="L127" s="102"/>
      <c r="M127" s="102"/>
      <c r="N127" s="102"/>
      <c r="O127" s="102"/>
    </row>
    <row r="128" customFormat="false" ht="15" hidden="false" customHeight="true" outlineLevel="0" collapsed="false">
      <c r="A128" s="102"/>
      <c r="B128" s="102"/>
      <c r="C128" s="102"/>
      <c r="D128" s="102"/>
      <c r="E128" s="102"/>
      <c r="F128" s="102"/>
      <c r="G128" s="102"/>
      <c r="H128" s="102"/>
      <c r="I128" s="102"/>
      <c r="J128" s="102"/>
      <c r="K128" s="102"/>
      <c r="L128" s="102"/>
      <c r="M128" s="102"/>
      <c r="N128" s="102"/>
      <c r="O128" s="102"/>
    </row>
    <row r="129" customFormat="false" ht="15.75" hidden="false" customHeight="true" outlineLevel="0" collapsed="false">
      <c r="A129" s="102"/>
      <c r="B129" s="103" t="s">
        <v>1493</v>
      </c>
      <c r="C129" s="104"/>
      <c r="D129" s="104"/>
      <c r="E129" s="104"/>
      <c r="F129" s="104"/>
      <c r="G129" s="104"/>
      <c r="H129" s="104"/>
      <c r="I129" s="104"/>
      <c r="J129" s="104"/>
      <c r="K129" s="104"/>
      <c r="L129" s="102"/>
      <c r="M129" s="102"/>
      <c r="N129" s="102"/>
      <c r="O129" s="102"/>
    </row>
    <row r="130" customFormat="false" ht="33.75" hidden="false" customHeight="true" outlineLevel="0" collapsed="false">
      <c r="A130" s="102"/>
      <c r="B130" s="105" t="s">
        <v>1494</v>
      </c>
      <c r="C130" s="117" t="str">
        <f aca="false">IF(COUNTIF(E51:E75,"OK")=(75-51+1),"All points inside the I-chart limits - no evidence of a special cause on the individuals chart.","At least one point outside the I-chart limits (Xbar = "&amp;TEXT(C77,"0.0")&amp;" ppb). Investigate the specific point(s) flagged OOC before recalculating limits.")</f>
        <v>At least one point outside the I-chart limits (Xbar = 27.3 ppb). Investigate the specific point(s) flagged OOC before recalculating limits.</v>
      </c>
      <c r="D130" s="117"/>
      <c r="E130" s="117"/>
      <c r="F130" s="117"/>
      <c r="G130" s="117"/>
      <c r="H130" s="102"/>
      <c r="I130" s="102"/>
      <c r="J130" s="102"/>
      <c r="K130" s="102"/>
      <c r="L130" s="102"/>
      <c r="M130" s="102"/>
      <c r="N130" s="102"/>
      <c r="O130" s="102"/>
    </row>
    <row r="131" customFormat="false" ht="15" hidden="false" customHeight="true" outlineLevel="0" collapsed="false">
      <c r="A131" s="102"/>
      <c r="B131" s="102"/>
      <c r="C131" s="102"/>
      <c r="D131" s="102"/>
      <c r="E131" s="102"/>
      <c r="F131" s="102"/>
      <c r="G131" s="102"/>
      <c r="H131" s="102"/>
      <c r="I131" s="102"/>
      <c r="J131" s="102"/>
      <c r="K131" s="102"/>
      <c r="L131" s="102"/>
      <c r="M131" s="102"/>
      <c r="N131" s="102"/>
      <c r="O131" s="102"/>
    </row>
    <row r="132" customFormat="false" ht="16.5" hidden="false" customHeight="true" outlineLevel="0" collapsed="false">
      <c r="A132" s="102"/>
      <c r="B132" s="108" t="s">
        <v>1495</v>
      </c>
      <c r="C132" s="108" t="s">
        <v>1496</v>
      </c>
      <c r="D132" s="108" t="s">
        <v>1497</v>
      </c>
      <c r="E132" s="102"/>
      <c r="F132" s="102"/>
      <c r="G132" s="102"/>
      <c r="H132" s="102"/>
      <c r="I132" s="102"/>
      <c r="J132" s="102"/>
      <c r="K132" s="102"/>
      <c r="L132" s="102"/>
      <c r="M132" s="102"/>
      <c r="N132" s="102"/>
      <c r="O132" s="102"/>
    </row>
    <row r="133" customFormat="false" ht="30.75" hidden="false" customHeight="true" outlineLevel="0" collapsed="false">
      <c r="A133" s="102"/>
      <c r="B133" s="110" t="s">
        <v>5812</v>
      </c>
      <c r="C133" s="111" t="s">
        <v>5813</v>
      </c>
      <c r="D133" s="15" t="s">
        <v>5814</v>
      </c>
      <c r="E133" s="102"/>
      <c r="F133" s="102"/>
      <c r="G133" s="102"/>
      <c r="H133" s="102"/>
      <c r="I133" s="102"/>
      <c r="J133" s="102"/>
      <c r="K133" s="102"/>
      <c r="L133" s="102"/>
      <c r="M133" s="102"/>
      <c r="N133" s="102"/>
      <c r="O133" s="102"/>
    </row>
    <row r="134" customFormat="false" ht="30.75" hidden="false" customHeight="true" outlineLevel="0" collapsed="false">
      <c r="A134" s="102"/>
      <c r="B134" s="110" t="s">
        <v>5815</v>
      </c>
      <c r="C134" s="111" t="s">
        <v>5816</v>
      </c>
      <c r="D134" s="15" t="s">
        <v>5817</v>
      </c>
      <c r="E134" s="102"/>
      <c r="F134" s="102"/>
      <c r="G134" s="102"/>
      <c r="H134" s="102"/>
      <c r="I134" s="102"/>
      <c r="J134" s="102"/>
      <c r="K134" s="102"/>
      <c r="L134" s="102"/>
      <c r="M134" s="102"/>
      <c r="N134" s="102"/>
      <c r="O134" s="102"/>
    </row>
    <row r="135" customFormat="false" ht="30.75" hidden="false" customHeight="true" outlineLevel="0" collapsed="false">
      <c r="A135" s="102"/>
      <c r="B135" s="110" t="s">
        <v>5818</v>
      </c>
      <c r="C135" s="111" t="s">
        <v>5819</v>
      </c>
      <c r="D135" s="15" t="s">
        <v>5820</v>
      </c>
      <c r="E135" s="102"/>
      <c r="F135" s="102"/>
      <c r="G135" s="102"/>
      <c r="H135" s="102"/>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 hidden="false" customHeight="true" outlineLevel="0" collapsed="false">
      <c r="A137" s="102"/>
      <c r="B137" s="105" t="s">
        <v>1507</v>
      </c>
      <c r="C137" s="102"/>
      <c r="D137" s="102"/>
      <c r="E137" s="102"/>
      <c r="F137" s="102"/>
      <c r="G137" s="102"/>
      <c r="H137" s="102"/>
      <c r="I137" s="102"/>
      <c r="J137" s="102"/>
      <c r="K137" s="102"/>
      <c r="L137" s="102"/>
      <c r="M137" s="102"/>
      <c r="N137" s="102"/>
      <c r="O137" s="102"/>
    </row>
    <row r="138" customFormat="false" ht="17.25" hidden="false" customHeight="true" outlineLevel="0" collapsed="false">
      <c r="A138" s="102"/>
      <c r="B138" s="106" t="s">
        <v>5821</v>
      </c>
      <c r="C138" s="106"/>
      <c r="D138" s="106"/>
      <c r="E138" s="106"/>
      <c r="F138" s="106"/>
      <c r="G138" s="106"/>
      <c r="H138" s="106"/>
      <c r="I138" s="102"/>
      <c r="J138" s="102"/>
      <c r="K138" s="102"/>
      <c r="L138" s="102"/>
      <c r="M138" s="102"/>
      <c r="N138" s="102"/>
      <c r="O138" s="102"/>
    </row>
    <row r="139" customFormat="false" ht="17.25" hidden="false" customHeight="true" outlineLevel="0" collapsed="false">
      <c r="A139" s="102"/>
      <c r="B139" s="106" t="s">
        <v>5822</v>
      </c>
      <c r="C139" s="106"/>
      <c r="D139" s="106"/>
      <c r="E139" s="106"/>
      <c r="F139" s="106"/>
      <c r="G139" s="106"/>
      <c r="H139" s="106"/>
      <c r="I139" s="102"/>
      <c r="J139" s="102"/>
      <c r="K139" s="102"/>
      <c r="L139" s="102"/>
      <c r="M139" s="102"/>
      <c r="N139" s="102"/>
      <c r="O139" s="102"/>
    </row>
    <row r="140" customFormat="false" ht="17.25" hidden="false" customHeight="true" outlineLevel="0" collapsed="false">
      <c r="A140" s="102"/>
      <c r="B140" s="106" t="s">
        <v>5823</v>
      </c>
      <c r="C140" s="106"/>
      <c r="D140" s="106"/>
      <c r="E140" s="106"/>
      <c r="F140" s="106"/>
      <c r="G140" s="106"/>
      <c r="H140" s="106"/>
      <c r="I140" s="102"/>
      <c r="J140" s="102"/>
      <c r="K140" s="102"/>
      <c r="L140" s="102"/>
      <c r="M140" s="102"/>
      <c r="N140" s="102"/>
      <c r="O140" s="102"/>
    </row>
    <row r="141" customFormat="false" ht="17.25" hidden="false" customHeight="true" outlineLevel="0" collapsed="false">
      <c r="A141" s="102"/>
      <c r="B141" s="106" t="s">
        <v>5824</v>
      </c>
      <c r="C141" s="106"/>
      <c r="D141" s="106"/>
      <c r="E141" s="106"/>
      <c r="F141" s="106"/>
      <c r="G141" s="106"/>
      <c r="H141" s="106"/>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75" hidden="false" customHeight="true" outlineLevel="0" collapsed="false">
      <c r="A143" s="102"/>
      <c r="B143" s="103" t="s">
        <v>1513</v>
      </c>
      <c r="C143" s="104"/>
      <c r="D143" s="104"/>
      <c r="E143" s="104"/>
      <c r="F143" s="104"/>
      <c r="G143" s="104"/>
      <c r="H143" s="104"/>
      <c r="I143" s="104"/>
      <c r="J143" s="104"/>
      <c r="K143" s="104"/>
      <c r="L143" s="102"/>
      <c r="M143" s="102"/>
      <c r="N143" s="102"/>
      <c r="O143" s="102"/>
    </row>
    <row r="144" customFormat="false" ht="17.25" hidden="false" customHeight="true" outlineLevel="0" collapsed="false">
      <c r="A144" s="102"/>
      <c r="B144" s="118" t="s">
        <v>1514</v>
      </c>
      <c r="C144" s="118"/>
      <c r="D144" s="118"/>
      <c r="E144" s="118"/>
      <c r="F144" s="102"/>
      <c r="G144" s="102"/>
      <c r="H144" s="102"/>
      <c r="I144" s="102"/>
      <c r="J144" s="102"/>
      <c r="K144" s="102"/>
      <c r="L144" s="102"/>
      <c r="M144" s="102"/>
      <c r="N144" s="119" t="s">
        <v>1515</v>
      </c>
      <c r="O144" s="102"/>
    </row>
    <row r="145" customFormat="false" ht="44.25" hidden="false" customHeight="true" outlineLevel="0" collapsed="false">
      <c r="A145" s="102"/>
      <c r="B145" s="106" t="s">
        <v>5825</v>
      </c>
      <c r="C145" s="106"/>
      <c r="D145" s="106"/>
      <c r="E145" s="106"/>
      <c r="F145" s="102"/>
      <c r="G145" s="102"/>
      <c r="H145" s="102"/>
      <c r="I145" s="102"/>
      <c r="J145" s="102"/>
      <c r="K145" s="102"/>
      <c r="L145" s="102"/>
      <c r="M145" s="102"/>
      <c r="N145" s="120" t="s">
        <v>5826</v>
      </c>
      <c r="O145" s="102"/>
    </row>
    <row r="146" customFormat="false" ht="44.25" hidden="false" customHeight="true" outlineLevel="0" collapsed="false">
      <c r="A146" s="102"/>
      <c r="B146" s="106" t="s">
        <v>5827</v>
      </c>
      <c r="C146" s="106"/>
      <c r="D146" s="106"/>
      <c r="E146" s="106"/>
      <c r="F146" s="102"/>
      <c r="G146" s="102"/>
      <c r="H146" s="102"/>
      <c r="I146" s="102"/>
      <c r="J146" s="102"/>
      <c r="K146" s="102"/>
      <c r="L146" s="102"/>
      <c r="M146" s="102"/>
      <c r="N146" s="120" t="s">
        <v>5828</v>
      </c>
      <c r="O146" s="102"/>
    </row>
    <row r="147" customFormat="false" ht="44.25" hidden="false" customHeight="true" outlineLevel="0" collapsed="false">
      <c r="A147" s="102"/>
      <c r="B147" s="106" t="s">
        <v>5829</v>
      </c>
      <c r="C147" s="106"/>
      <c r="D147" s="106"/>
      <c r="E147" s="106"/>
      <c r="F147" s="102"/>
      <c r="G147" s="102"/>
      <c r="H147" s="102"/>
      <c r="I147" s="102"/>
      <c r="J147" s="102"/>
      <c r="K147" s="102"/>
      <c r="L147" s="102"/>
      <c r="M147" s="102"/>
      <c r="N147" s="120" t="s">
        <v>5830</v>
      </c>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75" hidden="false" customHeight="true" outlineLevel="0" collapsed="false">
      <c r="A149" s="102"/>
      <c r="B149" s="103" t="s">
        <v>1522</v>
      </c>
      <c r="C149" s="104"/>
      <c r="D149" s="104"/>
      <c r="E149" s="104"/>
      <c r="F149" s="104"/>
      <c r="G149" s="104"/>
      <c r="H149" s="104"/>
      <c r="I149" s="104"/>
      <c r="J149" s="104"/>
      <c r="K149" s="104"/>
      <c r="L149" s="102"/>
      <c r="M149" s="102"/>
      <c r="N149" s="102"/>
      <c r="O149" s="102"/>
    </row>
    <row r="150" customFormat="false" ht="16.5" hidden="false" customHeight="true" outlineLevel="0" collapsed="false">
      <c r="A150" s="102"/>
      <c r="B150" s="108" t="s">
        <v>1523</v>
      </c>
      <c r="C150" s="108" t="s">
        <v>1524</v>
      </c>
      <c r="D150" s="108" t="s">
        <v>1615</v>
      </c>
      <c r="E150" s="102"/>
      <c r="F150" s="102"/>
      <c r="G150" s="102"/>
      <c r="H150" s="102"/>
      <c r="I150" s="102"/>
      <c r="J150" s="102"/>
      <c r="K150" s="102"/>
      <c r="L150" s="102"/>
      <c r="M150" s="102"/>
      <c r="N150" s="102"/>
      <c r="O150" s="102"/>
    </row>
    <row r="151" customFormat="false" ht="15" hidden="false" customHeight="true" outlineLevel="0" collapsed="false">
      <c r="A151" s="102"/>
      <c r="B151" s="121" t="s">
        <v>1326</v>
      </c>
      <c r="C151" s="121" t="s">
        <v>1031</v>
      </c>
      <c r="D151" s="121" t="s">
        <v>5687</v>
      </c>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30">
    <mergeCell ref="B2:J2"/>
    <mergeCell ref="D3:E3"/>
    <mergeCell ref="C6:G6"/>
    <mergeCell ref="C7:G7"/>
    <mergeCell ref="C8:G8"/>
    <mergeCell ref="B11:H13"/>
    <mergeCell ref="B14:H16"/>
    <mergeCell ref="B17:H19"/>
    <mergeCell ref="B22:D22"/>
    <mergeCell ref="E22:H22"/>
    <mergeCell ref="B23:D23"/>
    <mergeCell ref="E23:H23"/>
    <mergeCell ref="B24:D24"/>
    <mergeCell ref="E24:H24"/>
    <mergeCell ref="B25:H25"/>
    <mergeCell ref="B33:H35"/>
    <mergeCell ref="B36:H37"/>
    <mergeCell ref="B38:H38"/>
    <mergeCell ref="B47:H47"/>
    <mergeCell ref="C48:D48"/>
    <mergeCell ref="F50:G50"/>
    <mergeCell ref="C130:G130"/>
    <mergeCell ref="B138:H138"/>
    <mergeCell ref="B139:H139"/>
    <mergeCell ref="B140:H140"/>
    <mergeCell ref="B141:H141"/>
    <mergeCell ref="B144:E144"/>
    <mergeCell ref="B145:E145"/>
    <mergeCell ref="B146:E146"/>
    <mergeCell ref="B147:E147"/>
  </mergeCells>
  <hyperlinks>
    <hyperlink ref="B3" location="'N-03 Index DMAIC'!A1" display="← Back to Index"/>
    <hyperlink ref="E28" location="'E-06 Data Collection Plan'!A1" display="E-06  Operational Definitions and Data Collection Plan"/>
    <hyperlink ref="E29" location="'E-32 Normality Testing'!A1" display="E-32  Normality Testing and Probability Plots"/>
    <hyperlink ref="E30" location="'E-20 Sample Size'!A1" display="E-20  Sample Size Determination"/>
    <hyperlink ref="B151" location="'E-48 Chart Selection Tree'!A1" display="E-48  Control Chart Selection Tree"/>
    <hyperlink ref="C151" location="'E-50 Xbar-R Chart'!A1" display="E-50  Xbar-R Chart"/>
    <hyperlink ref="D151" location="'E-56 WE and Nelson Rules'!A1" display="E-56  Western Electric and Nelson Rul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5831</v>
      </c>
      <c r="C2" s="3"/>
      <c r="D2" s="3"/>
      <c r="E2" s="3"/>
      <c r="F2" s="3"/>
      <c r="G2" s="3"/>
      <c r="H2" s="3"/>
      <c r="I2" s="3"/>
      <c r="J2" s="3"/>
      <c r="K2" s="141" t="s">
        <v>5631</v>
      </c>
    </row>
    <row r="3" customFormat="false" ht="28.5" hidden="false" customHeight="true" outlineLevel="0" collapsed="false">
      <c r="B3" s="5" t="s">
        <v>3</v>
      </c>
      <c r="D3" s="6" t="s">
        <v>5832</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5833</v>
      </c>
      <c r="D6" s="106"/>
      <c r="E6" s="106"/>
      <c r="F6" s="106"/>
      <c r="G6" s="106"/>
      <c r="H6" s="102"/>
      <c r="I6" s="102"/>
      <c r="J6" s="102"/>
      <c r="K6" s="102"/>
      <c r="L6" s="102"/>
      <c r="M6" s="102"/>
      <c r="N6" s="102"/>
      <c r="O6" s="102"/>
    </row>
    <row r="7" customFormat="false" ht="31.5" hidden="false" customHeight="true" outlineLevel="0" collapsed="false">
      <c r="A7" s="102"/>
      <c r="B7" s="105" t="s">
        <v>1394</v>
      </c>
      <c r="C7" s="106" t="s">
        <v>5834</v>
      </c>
      <c r="D7" s="106"/>
      <c r="E7" s="106"/>
      <c r="F7" s="106"/>
      <c r="G7" s="106"/>
      <c r="H7" s="102"/>
      <c r="I7" s="102"/>
      <c r="J7" s="102"/>
      <c r="K7" s="102"/>
      <c r="L7" s="102"/>
      <c r="M7" s="102"/>
      <c r="N7" s="102"/>
      <c r="O7" s="102"/>
    </row>
    <row r="8" customFormat="false" ht="17.25" hidden="false" customHeight="true" outlineLevel="0" collapsed="false">
      <c r="A8" s="102"/>
      <c r="B8" s="105" t="s">
        <v>1396</v>
      </c>
      <c r="C8" s="106" t="s">
        <v>5835</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0.5" hidden="false" customHeight="true" outlineLevel="0" collapsed="false">
      <c r="A11" s="102"/>
      <c r="B11" s="106" t="s">
        <v>5836</v>
      </c>
      <c r="C11" s="106"/>
      <c r="D11" s="106"/>
      <c r="E11" s="106"/>
      <c r="F11" s="106"/>
      <c r="G11" s="106"/>
      <c r="H11" s="106"/>
      <c r="I11" s="102"/>
      <c r="J11" s="102"/>
      <c r="K11" s="102"/>
      <c r="L11" s="102"/>
      <c r="M11" s="102"/>
      <c r="N11" s="102"/>
      <c r="O11" s="102"/>
    </row>
    <row r="12" customFormat="false" ht="10.5" hidden="false" customHeight="true" outlineLevel="0" collapsed="false">
      <c r="A12" s="102"/>
      <c r="B12" s="106"/>
      <c r="C12" s="106"/>
      <c r="D12" s="106"/>
      <c r="E12" s="106"/>
      <c r="F12" s="106"/>
      <c r="G12" s="106"/>
      <c r="H12" s="106"/>
      <c r="I12" s="102"/>
      <c r="J12" s="102"/>
      <c r="K12" s="102"/>
      <c r="L12" s="102"/>
      <c r="M12" s="102"/>
      <c r="N12" s="102"/>
      <c r="O12" s="102"/>
    </row>
    <row r="13" customFormat="false" ht="10.5" hidden="false" customHeight="true" outlineLevel="0" collapsed="false">
      <c r="A13" s="102"/>
      <c r="B13" s="106"/>
      <c r="C13" s="106"/>
      <c r="D13" s="106"/>
      <c r="E13" s="106"/>
      <c r="F13" s="106"/>
      <c r="G13" s="106"/>
      <c r="H13" s="106"/>
      <c r="I13" s="102"/>
      <c r="J13" s="102"/>
      <c r="K13" s="102"/>
      <c r="L13" s="102"/>
      <c r="M13" s="102"/>
      <c r="N13" s="102"/>
      <c r="O13" s="102"/>
    </row>
    <row r="14" customFormat="false" ht="15" hidden="false" customHeight="true" outlineLevel="0" collapsed="false">
      <c r="A14" s="102"/>
      <c r="B14" s="106" t="s">
        <v>5837</v>
      </c>
      <c r="C14" s="106"/>
      <c r="D14" s="106"/>
      <c r="E14" s="106"/>
      <c r="F14" s="106"/>
      <c r="G14" s="106"/>
      <c r="H14" s="106"/>
      <c r="I14" s="102"/>
      <c r="J14" s="102"/>
      <c r="K14" s="102"/>
      <c r="L14" s="102"/>
      <c r="M14" s="102"/>
      <c r="N14" s="102"/>
      <c r="O14" s="102"/>
    </row>
    <row r="15" customFormat="false" ht="15" hidden="false" customHeight="true" outlineLevel="0" collapsed="false">
      <c r="A15" s="102"/>
      <c r="B15" s="106"/>
      <c r="C15" s="106"/>
      <c r="D15" s="106"/>
      <c r="E15" s="106"/>
      <c r="F15" s="106"/>
      <c r="G15" s="106"/>
      <c r="H15" s="106"/>
      <c r="I15" s="102"/>
      <c r="J15" s="102"/>
      <c r="K15" s="102"/>
      <c r="L15" s="102"/>
      <c r="M15" s="102"/>
      <c r="N15" s="102"/>
      <c r="O15" s="102"/>
    </row>
    <row r="16" customFormat="false" ht="15" hidden="false" customHeight="true" outlineLevel="0" collapsed="false">
      <c r="A16" s="102"/>
      <c r="B16" s="106"/>
      <c r="C16" s="106"/>
      <c r="D16" s="106"/>
      <c r="E16" s="106"/>
      <c r="F16" s="106"/>
      <c r="G16" s="106"/>
      <c r="H16" s="106"/>
      <c r="I16" s="102"/>
      <c r="J16" s="102"/>
      <c r="K16" s="102"/>
      <c r="L16" s="102"/>
      <c r="M16" s="102"/>
      <c r="N16" s="102"/>
      <c r="O16" s="102"/>
    </row>
    <row r="17" customFormat="false" ht="10.5" hidden="false" customHeight="true" outlineLevel="0" collapsed="false">
      <c r="A17" s="102"/>
      <c r="B17" s="106" t="s">
        <v>5838</v>
      </c>
      <c r="C17" s="106"/>
      <c r="D17" s="106"/>
      <c r="E17" s="106"/>
      <c r="F17" s="106"/>
      <c r="G17" s="106"/>
      <c r="H17" s="106"/>
      <c r="I17" s="102"/>
      <c r="J17" s="102"/>
      <c r="K17" s="102"/>
      <c r="L17" s="102"/>
      <c r="M17" s="102"/>
      <c r="N17" s="102"/>
      <c r="O17" s="102"/>
    </row>
    <row r="18" customFormat="false" ht="10.5" hidden="false" customHeight="true" outlineLevel="0" collapsed="false">
      <c r="A18" s="102"/>
      <c r="B18" s="106"/>
      <c r="C18" s="106"/>
      <c r="D18" s="106"/>
      <c r="E18" s="106"/>
      <c r="F18" s="106"/>
      <c r="G18" s="106"/>
      <c r="H18" s="106"/>
      <c r="I18" s="102"/>
      <c r="J18" s="102"/>
      <c r="K18" s="102"/>
      <c r="L18" s="102"/>
      <c r="M18" s="102"/>
      <c r="N18" s="102"/>
      <c r="O18" s="102"/>
    </row>
    <row r="19" customFormat="false" ht="10.5" hidden="false" customHeight="true" outlineLevel="0" collapsed="false">
      <c r="A19" s="102"/>
      <c r="B19" s="106"/>
      <c r="C19" s="106"/>
      <c r="D19" s="106"/>
      <c r="E19" s="106"/>
      <c r="F19" s="106"/>
      <c r="G19" s="106"/>
      <c r="H19" s="106"/>
      <c r="I19" s="102"/>
      <c r="J19" s="102"/>
      <c r="K19" s="102"/>
      <c r="L19" s="102"/>
      <c r="M19" s="102"/>
      <c r="N19" s="102"/>
      <c r="O19" s="102"/>
    </row>
    <row r="20" customFormat="false" ht="15" hidden="false" customHeight="true" outlineLevel="0" collapsed="false">
      <c r="A20" s="102"/>
      <c r="B20" s="102"/>
      <c r="C20" s="102"/>
      <c r="D20" s="102"/>
      <c r="E20" s="102"/>
      <c r="F20" s="102"/>
      <c r="G20" s="102"/>
      <c r="H20" s="102"/>
      <c r="I20" s="102"/>
      <c r="J20" s="102"/>
      <c r="K20" s="102"/>
      <c r="L20" s="102"/>
      <c r="M20" s="102"/>
      <c r="N20" s="102"/>
      <c r="O20" s="102"/>
    </row>
    <row r="21" customFormat="false" ht="15.75" hidden="false" customHeight="true" outlineLevel="0" collapsed="false">
      <c r="A21" s="102"/>
      <c r="B21" s="103" t="s">
        <v>1406</v>
      </c>
      <c r="C21" s="104"/>
      <c r="D21" s="104"/>
      <c r="E21" s="104"/>
      <c r="F21" s="104"/>
      <c r="G21" s="104"/>
      <c r="H21" s="104"/>
      <c r="I21" s="104"/>
      <c r="J21" s="104"/>
      <c r="K21" s="104"/>
      <c r="L21" s="102"/>
      <c r="M21" s="102"/>
      <c r="N21" s="102"/>
      <c r="O21" s="102"/>
    </row>
    <row r="22" customFormat="false" ht="17.25" hidden="false" customHeight="true" outlineLevel="0" collapsed="false">
      <c r="A22" s="102"/>
      <c r="B22" s="107" t="s">
        <v>1407</v>
      </c>
      <c r="C22" s="107"/>
      <c r="D22" s="107"/>
      <c r="E22" s="107" t="s">
        <v>1408</v>
      </c>
      <c r="F22" s="107"/>
      <c r="G22" s="102"/>
      <c r="H22" s="102"/>
      <c r="I22" s="102"/>
      <c r="J22" s="102"/>
      <c r="K22" s="102"/>
      <c r="L22" s="102"/>
      <c r="M22" s="102"/>
      <c r="N22" s="102"/>
      <c r="O22" s="102"/>
    </row>
    <row r="23" customFormat="false" ht="31.5" hidden="false" customHeight="true" outlineLevel="0" collapsed="false">
      <c r="A23" s="102"/>
      <c r="B23" s="106" t="s">
        <v>5839</v>
      </c>
      <c r="C23" s="106"/>
      <c r="D23" s="106"/>
      <c r="E23" s="106" t="s">
        <v>5840</v>
      </c>
      <c r="F23" s="106"/>
      <c r="G23" s="102"/>
      <c r="H23" s="102"/>
      <c r="I23" s="102"/>
      <c r="J23" s="102"/>
      <c r="K23" s="102"/>
      <c r="L23" s="102"/>
      <c r="M23" s="102"/>
      <c r="N23" s="102"/>
      <c r="O23" s="102"/>
    </row>
    <row r="24" customFormat="false" ht="45.75" hidden="false" customHeight="true" outlineLevel="0" collapsed="false">
      <c r="A24" s="102"/>
      <c r="B24" s="106" t="s">
        <v>5841</v>
      </c>
      <c r="C24" s="106"/>
      <c r="D24" s="106"/>
      <c r="E24" s="106" t="s">
        <v>5842</v>
      </c>
      <c r="F24" s="106"/>
      <c r="G24" s="102"/>
      <c r="H24" s="102"/>
      <c r="I24" s="102"/>
      <c r="J24" s="102"/>
      <c r="K24" s="102"/>
      <c r="L24" s="102"/>
      <c r="M24" s="102"/>
      <c r="N24" s="102"/>
      <c r="O24" s="102"/>
    </row>
    <row r="25" customFormat="false" ht="31.5" hidden="false" customHeight="true" outlineLevel="0" collapsed="false">
      <c r="A25" s="102"/>
      <c r="B25" s="106" t="s">
        <v>5843</v>
      </c>
      <c r="C25" s="106"/>
      <c r="D25" s="106"/>
      <c r="E25" s="106" t="s">
        <v>5844</v>
      </c>
      <c r="F25" s="106"/>
      <c r="G25" s="102"/>
      <c r="H25" s="102"/>
      <c r="I25" s="102"/>
      <c r="J25" s="102"/>
      <c r="K25" s="102"/>
      <c r="L25" s="102"/>
      <c r="M25" s="102"/>
      <c r="N25" s="102"/>
      <c r="O25" s="102"/>
    </row>
    <row r="26" customFormat="false" ht="15" hidden="false" customHeight="true" outlineLevel="0" collapsed="false">
      <c r="A26" s="102"/>
      <c r="B26" s="102"/>
      <c r="C26" s="102"/>
      <c r="D26" s="102"/>
      <c r="E26" s="102"/>
      <c r="F26" s="102"/>
      <c r="G26" s="102"/>
      <c r="H26" s="102"/>
      <c r="I26" s="102"/>
      <c r="J26" s="102"/>
      <c r="K26" s="102"/>
      <c r="L26" s="102"/>
      <c r="M26" s="102"/>
      <c r="N26" s="102"/>
      <c r="O26" s="102"/>
    </row>
    <row r="27" customFormat="false" ht="30.75" hidden="false" customHeight="true" outlineLevel="0" collapsed="false">
      <c r="A27" s="102"/>
      <c r="B27" s="108" t="s">
        <v>1416</v>
      </c>
      <c r="C27" s="108" t="s">
        <v>1417</v>
      </c>
      <c r="D27" s="108" t="s">
        <v>1418</v>
      </c>
      <c r="E27" s="108" t="s">
        <v>1419</v>
      </c>
      <c r="F27" s="102"/>
      <c r="G27" s="102"/>
      <c r="H27" s="102"/>
      <c r="I27" s="102"/>
      <c r="J27" s="102"/>
      <c r="K27" s="102"/>
      <c r="L27" s="102"/>
      <c r="M27" s="102"/>
      <c r="N27" s="102"/>
      <c r="O27" s="102"/>
    </row>
    <row r="28" customFormat="false" ht="44.25" hidden="false" customHeight="true" outlineLevel="0" collapsed="false">
      <c r="A28" s="102"/>
      <c r="B28" s="15" t="s">
        <v>5845</v>
      </c>
      <c r="C28" s="15" t="s">
        <v>5846</v>
      </c>
      <c r="D28" s="15" t="s">
        <v>5847</v>
      </c>
      <c r="E28" s="109" t="s">
        <v>1546</v>
      </c>
      <c r="F28" s="102"/>
      <c r="G28" s="102"/>
      <c r="H28" s="102"/>
      <c r="I28" s="102"/>
      <c r="J28" s="102"/>
      <c r="K28" s="102"/>
      <c r="L28" s="102"/>
      <c r="M28" s="102"/>
      <c r="N28" s="102"/>
      <c r="O28" s="102"/>
    </row>
    <row r="29" customFormat="false" ht="44.25" hidden="false" customHeight="true" outlineLevel="0" collapsed="false">
      <c r="A29" s="102"/>
      <c r="B29" s="15" t="s">
        <v>5848</v>
      </c>
      <c r="C29" s="15" t="s">
        <v>5849</v>
      </c>
      <c r="D29" s="15" t="s">
        <v>5850</v>
      </c>
      <c r="E29" s="109" t="s">
        <v>1645</v>
      </c>
      <c r="F29" s="102"/>
      <c r="G29" s="102"/>
      <c r="H29" s="102"/>
      <c r="I29" s="102"/>
      <c r="J29" s="102"/>
      <c r="K29" s="102"/>
      <c r="L29" s="102"/>
      <c r="M29" s="102"/>
      <c r="N29" s="102"/>
      <c r="O29" s="102"/>
    </row>
    <row r="30" customFormat="false" ht="30.75" hidden="false" customHeight="true" outlineLevel="0" collapsed="false">
      <c r="A30" s="102"/>
      <c r="B30" s="15" t="s">
        <v>5851</v>
      </c>
      <c r="C30" s="15" t="s">
        <v>5852</v>
      </c>
      <c r="D30" s="15" t="s">
        <v>5788</v>
      </c>
      <c r="E30" s="109" t="s">
        <v>973</v>
      </c>
      <c r="F30" s="102"/>
      <c r="G30" s="102"/>
      <c r="H30" s="102"/>
      <c r="I30" s="102"/>
      <c r="J30" s="102"/>
      <c r="K30" s="102"/>
      <c r="L30" s="102"/>
      <c r="M30" s="102"/>
      <c r="N30" s="102"/>
      <c r="O30" s="102"/>
    </row>
    <row r="31" customFormat="false" ht="15" hidden="false" customHeight="true" outlineLevel="0" collapsed="false">
      <c r="A31" s="102"/>
      <c r="B31" s="102"/>
      <c r="C31" s="102"/>
      <c r="D31" s="102"/>
      <c r="E31" s="102"/>
      <c r="F31" s="102"/>
      <c r="G31" s="102"/>
      <c r="H31" s="102"/>
      <c r="I31" s="102"/>
      <c r="J31" s="102"/>
      <c r="K31" s="102"/>
      <c r="L31" s="102"/>
      <c r="M31" s="102"/>
      <c r="N31" s="102"/>
      <c r="O31" s="102"/>
    </row>
    <row r="32" customFormat="false" ht="15.75" hidden="false" customHeight="true" outlineLevel="0" collapsed="false">
      <c r="A32" s="102"/>
      <c r="B32" s="103" t="s">
        <v>1429</v>
      </c>
      <c r="C32" s="104"/>
      <c r="D32" s="104"/>
      <c r="E32" s="104"/>
      <c r="F32" s="104"/>
      <c r="G32" s="104"/>
      <c r="H32" s="104"/>
      <c r="I32" s="104"/>
      <c r="J32" s="104"/>
      <c r="K32" s="104"/>
      <c r="L32" s="102"/>
      <c r="M32" s="102"/>
      <c r="N32" s="102"/>
      <c r="O32" s="102"/>
    </row>
    <row r="33" customFormat="false" ht="10.5" hidden="false" customHeight="true" outlineLevel="0" collapsed="false">
      <c r="A33" s="102"/>
      <c r="B33" s="106" t="s">
        <v>5853</v>
      </c>
      <c r="C33" s="106"/>
      <c r="D33" s="106"/>
      <c r="E33" s="106"/>
      <c r="F33" s="106"/>
      <c r="G33" s="106"/>
      <c r="H33" s="106"/>
      <c r="I33" s="102"/>
      <c r="J33" s="102"/>
      <c r="K33" s="102"/>
      <c r="L33" s="102"/>
      <c r="M33" s="102"/>
      <c r="N33" s="102"/>
      <c r="O33" s="102"/>
    </row>
    <row r="34" customFormat="false" ht="10.5" hidden="false" customHeight="true" outlineLevel="0" collapsed="false">
      <c r="A34" s="102"/>
      <c r="B34" s="106"/>
      <c r="C34" s="106"/>
      <c r="D34" s="106"/>
      <c r="E34" s="106"/>
      <c r="F34" s="106"/>
      <c r="G34" s="106"/>
      <c r="H34" s="106"/>
      <c r="I34" s="102"/>
      <c r="J34" s="102"/>
      <c r="K34" s="102"/>
      <c r="L34" s="102"/>
      <c r="M34" s="102"/>
      <c r="N34" s="102"/>
      <c r="O34" s="102"/>
    </row>
    <row r="35" customFormat="false" ht="10.5" hidden="false" customHeight="true" outlineLevel="0" collapsed="false">
      <c r="A35" s="102"/>
      <c r="B35" s="106"/>
      <c r="C35" s="106"/>
      <c r="D35" s="106"/>
      <c r="E35" s="106"/>
      <c r="F35" s="106"/>
      <c r="G35" s="106"/>
      <c r="H35" s="106"/>
      <c r="I35" s="102"/>
      <c r="J35" s="102"/>
      <c r="K35" s="102"/>
      <c r="L35" s="102"/>
      <c r="M35" s="102"/>
      <c r="N35" s="102"/>
      <c r="O35" s="102"/>
    </row>
    <row r="36" customFormat="false" ht="8.25" hidden="false" customHeight="true" outlineLevel="0" collapsed="false">
      <c r="A36" s="102"/>
      <c r="B36" s="106" t="s">
        <v>5854</v>
      </c>
      <c r="C36" s="106"/>
      <c r="D36" s="106"/>
      <c r="E36" s="106"/>
      <c r="F36" s="106"/>
      <c r="G36" s="106"/>
      <c r="H36" s="106"/>
      <c r="I36" s="102"/>
      <c r="J36" s="102"/>
      <c r="K36" s="102"/>
      <c r="L36" s="102"/>
      <c r="M36" s="102"/>
      <c r="N36" s="102"/>
      <c r="O36" s="102"/>
    </row>
    <row r="37" customFormat="false" ht="8.25" hidden="false" customHeight="true" outlineLevel="0" collapsed="false">
      <c r="A37" s="102"/>
      <c r="B37" s="106"/>
      <c r="C37" s="106"/>
      <c r="D37" s="106"/>
      <c r="E37" s="106"/>
      <c r="F37" s="106"/>
      <c r="G37" s="106"/>
      <c r="H37" s="106"/>
      <c r="I37" s="102"/>
      <c r="J37" s="102"/>
      <c r="K37" s="102"/>
      <c r="L37" s="102"/>
      <c r="M37" s="102"/>
      <c r="N37" s="102"/>
      <c r="O37" s="102"/>
    </row>
    <row r="38" customFormat="false" ht="15" hidden="false" customHeight="true" outlineLevel="0" collapsed="false">
      <c r="A38" s="102"/>
      <c r="B38" s="102"/>
      <c r="C38" s="102"/>
      <c r="D38" s="102"/>
      <c r="E38" s="102"/>
      <c r="F38" s="102"/>
      <c r="G38" s="102"/>
      <c r="H38" s="102"/>
      <c r="I38" s="102"/>
      <c r="J38" s="102"/>
      <c r="K38" s="102"/>
      <c r="L38" s="102"/>
      <c r="M38" s="102"/>
      <c r="N38" s="102"/>
      <c r="O38" s="102"/>
    </row>
    <row r="39" customFormat="false" ht="15.75" hidden="false" customHeight="true" outlineLevel="0" collapsed="false">
      <c r="A39" s="102"/>
      <c r="B39" s="103" t="s">
        <v>1437</v>
      </c>
      <c r="C39" s="104"/>
      <c r="D39" s="104"/>
      <c r="E39" s="104"/>
      <c r="F39" s="104"/>
      <c r="G39" s="104"/>
      <c r="H39" s="104"/>
      <c r="I39" s="104"/>
      <c r="J39" s="104"/>
      <c r="K39" s="104"/>
      <c r="L39" s="102"/>
      <c r="M39" s="102"/>
      <c r="N39" s="102"/>
      <c r="O39" s="102"/>
    </row>
    <row r="40" customFormat="false" ht="16.5" hidden="false" customHeight="true" outlineLevel="0" collapsed="false">
      <c r="A40" s="102"/>
      <c r="B40" s="108" t="s">
        <v>1438</v>
      </c>
      <c r="C40" s="108" t="s">
        <v>1439</v>
      </c>
      <c r="D40" s="108" t="s">
        <v>1440</v>
      </c>
      <c r="E40" s="102"/>
      <c r="F40" s="102"/>
      <c r="G40" s="102"/>
      <c r="H40" s="102"/>
      <c r="I40" s="102"/>
      <c r="J40" s="102"/>
      <c r="K40" s="102"/>
      <c r="L40" s="102"/>
      <c r="M40" s="102"/>
      <c r="N40" s="102"/>
      <c r="O40" s="102"/>
    </row>
    <row r="41" customFormat="false" ht="16.5" hidden="false" customHeight="true" outlineLevel="0" collapsed="false">
      <c r="A41" s="102"/>
      <c r="B41" s="110" t="s">
        <v>5855</v>
      </c>
      <c r="C41" s="111" t="s">
        <v>5856</v>
      </c>
      <c r="D41" s="15" t="s">
        <v>5857</v>
      </c>
      <c r="E41" s="102"/>
      <c r="F41" s="102"/>
      <c r="G41" s="102"/>
      <c r="H41" s="102"/>
      <c r="I41" s="102"/>
      <c r="J41" s="102"/>
      <c r="K41" s="102"/>
      <c r="L41" s="102"/>
      <c r="M41" s="102"/>
      <c r="N41" s="102"/>
      <c r="O41" s="102"/>
    </row>
    <row r="42" customFormat="false" ht="16.5" hidden="false" customHeight="true" outlineLevel="0" collapsed="false">
      <c r="A42" s="102"/>
      <c r="B42" s="110" t="s">
        <v>2127</v>
      </c>
      <c r="C42" s="111" t="s">
        <v>5858</v>
      </c>
      <c r="D42" s="15" t="s">
        <v>5859</v>
      </c>
      <c r="E42" s="102"/>
      <c r="F42" s="102"/>
      <c r="G42" s="102"/>
      <c r="H42" s="102"/>
      <c r="I42" s="102"/>
      <c r="J42" s="102"/>
      <c r="K42" s="102"/>
      <c r="L42" s="102"/>
      <c r="M42" s="102"/>
      <c r="N42" s="102"/>
      <c r="O42" s="102"/>
    </row>
    <row r="43" customFormat="false" ht="15" hidden="false" customHeight="true" outlineLevel="0" collapsed="false">
      <c r="A43" s="102"/>
      <c r="B43" s="102"/>
      <c r="C43" s="102"/>
      <c r="D43" s="102"/>
      <c r="E43" s="102"/>
      <c r="F43" s="102"/>
      <c r="G43" s="102"/>
      <c r="H43" s="102"/>
      <c r="I43" s="102"/>
      <c r="J43" s="102"/>
      <c r="K43" s="102"/>
      <c r="L43" s="102"/>
      <c r="M43" s="102"/>
      <c r="N43" s="102"/>
      <c r="O43" s="102"/>
    </row>
    <row r="44" customFormat="false" ht="15.75" hidden="false" customHeight="true" outlineLevel="0" collapsed="false">
      <c r="A44" s="102"/>
      <c r="B44" s="103" t="s">
        <v>1454</v>
      </c>
      <c r="C44" s="104"/>
      <c r="D44" s="104"/>
      <c r="E44" s="104"/>
      <c r="F44" s="104"/>
      <c r="G44" s="104"/>
      <c r="H44" s="104"/>
      <c r="I44" s="104"/>
      <c r="J44" s="104"/>
      <c r="K44" s="104"/>
      <c r="L44" s="102"/>
      <c r="M44" s="102"/>
      <c r="N44" s="102"/>
      <c r="O44" s="102"/>
    </row>
    <row r="45" customFormat="false" ht="17.25" hidden="false" customHeight="true" outlineLevel="0" collapsed="false">
      <c r="A45" s="102"/>
      <c r="B45" s="106" t="s">
        <v>5860</v>
      </c>
      <c r="C45" s="106"/>
      <c r="D45" s="106"/>
      <c r="E45" s="106"/>
      <c r="F45" s="106"/>
      <c r="G45" s="106"/>
      <c r="H45" s="106"/>
      <c r="I45" s="102"/>
      <c r="J45" s="102"/>
      <c r="K45" s="102"/>
      <c r="L45" s="102"/>
      <c r="M45" s="102"/>
      <c r="N45" s="102"/>
      <c r="O45" s="102"/>
    </row>
    <row r="46" customFormat="false" ht="17.25" hidden="false" customHeight="true" outlineLevel="0" collapsed="false">
      <c r="A46" s="102"/>
      <c r="B46" s="112" t="s">
        <v>85</v>
      </c>
      <c r="C46" s="113" t="s">
        <v>86</v>
      </c>
      <c r="D46" s="113"/>
      <c r="E46" s="102"/>
      <c r="F46" s="102"/>
      <c r="G46" s="102"/>
      <c r="H46" s="102"/>
      <c r="I46" s="102"/>
      <c r="J46" s="102"/>
      <c r="K46" s="102"/>
      <c r="L46" s="102"/>
      <c r="M46" s="102"/>
      <c r="N46" s="102"/>
      <c r="O46" s="102"/>
    </row>
    <row r="47" customFormat="false" ht="15" hidden="false" customHeight="true" outlineLevel="0" collapsed="false">
      <c r="A47" s="102"/>
      <c r="B47" s="102"/>
      <c r="C47" s="102"/>
      <c r="D47" s="102"/>
      <c r="E47" s="102"/>
      <c r="F47" s="102"/>
      <c r="G47" s="102"/>
      <c r="H47" s="102"/>
      <c r="I47" s="102"/>
      <c r="J47" s="102"/>
      <c r="K47" s="102"/>
      <c r="L47" s="102"/>
      <c r="M47" s="102"/>
      <c r="N47" s="102"/>
      <c r="O47" s="102"/>
    </row>
    <row r="48" customFormat="false" ht="16.5" hidden="false" customHeight="true" outlineLevel="0" collapsed="false">
      <c r="A48" s="102"/>
      <c r="B48" s="108" t="s">
        <v>5861</v>
      </c>
      <c r="C48" s="108" t="s">
        <v>5862</v>
      </c>
      <c r="D48" s="108" t="s">
        <v>5863</v>
      </c>
      <c r="E48" s="108" t="s">
        <v>5864</v>
      </c>
      <c r="F48" s="108" t="s">
        <v>5865</v>
      </c>
      <c r="G48" s="108" t="s">
        <v>5866</v>
      </c>
      <c r="H48" s="108" t="s">
        <v>5867</v>
      </c>
      <c r="I48" s="108" t="s">
        <v>5868</v>
      </c>
      <c r="J48" s="102"/>
      <c r="K48" s="102"/>
      <c r="L48" s="102"/>
      <c r="M48" s="102"/>
      <c r="N48" s="102"/>
      <c r="O48" s="102"/>
    </row>
    <row r="49" customFormat="false" ht="15" hidden="false" customHeight="true" outlineLevel="0" collapsed="false">
      <c r="A49" s="102"/>
      <c r="B49" s="123" t="n">
        <v>1</v>
      </c>
      <c r="C49" s="131" t="n">
        <v>498.98</v>
      </c>
      <c r="D49" s="131" t="n">
        <v>500.02</v>
      </c>
      <c r="E49" s="131" t="n">
        <v>499.37</v>
      </c>
      <c r="F49" s="131" t="n">
        <v>499.26</v>
      </c>
      <c r="G49" s="131" t="n">
        <v>496.6</v>
      </c>
      <c r="H49" s="133" t="n">
        <f aca="false">AVERAGE(C49:G49)</f>
        <v>498.846</v>
      </c>
      <c r="I49" s="133" t="n">
        <f aca="false">MAX(C49:G49)-MIN(C49:G49)</f>
        <v>3.41999999999996</v>
      </c>
      <c r="J49" s="132" t="str">
        <f aca="false">IF(H49&gt;$C$77,"OOC high",IF(H49&lt;$C$78,"OOC low","OK"))</f>
        <v>OK</v>
      </c>
      <c r="K49" s="132" t="str">
        <f aca="false">IF(I49&gt;$C$79,"OOC high","OK")</f>
        <v>OK</v>
      </c>
      <c r="L49" s="102"/>
      <c r="M49" s="102"/>
      <c r="N49" s="102"/>
      <c r="O49" s="102"/>
    </row>
    <row r="50" customFormat="false" ht="15" hidden="false" customHeight="true" outlineLevel="0" collapsed="false">
      <c r="A50" s="102"/>
      <c r="B50" s="123" t="n">
        <v>2</v>
      </c>
      <c r="C50" s="131" t="n">
        <v>500.58</v>
      </c>
      <c r="D50" s="131" t="n">
        <v>500.98</v>
      </c>
      <c r="E50" s="131" t="n">
        <v>500.58</v>
      </c>
      <c r="F50" s="131" t="n">
        <v>499.76</v>
      </c>
      <c r="G50" s="131" t="n">
        <v>499.51</v>
      </c>
      <c r="H50" s="133" t="n">
        <f aca="false">AVERAGE(C50:G50)</f>
        <v>500.282</v>
      </c>
      <c r="I50" s="133" t="n">
        <f aca="false">MAX(C50:G50)-MIN(C50:G50)</f>
        <v>1.47000000000003</v>
      </c>
      <c r="J50" s="132" t="str">
        <f aca="false">IF(H50&gt;$C$77,"OOC high",IF(H50&lt;$C$78,"OOC low","OK"))</f>
        <v>OK</v>
      </c>
      <c r="K50" s="132" t="str">
        <f aca="false">IF(I50&gt;$C$79,"OOC high","OK")</f>
        <v>OK</v>
      </c>
      <c r="L50" s="102"/>
      <c r="M50" s="102"/>
      <c r="N50" s="102"/>
      <c r="O50" s="102"/>
    </row>
    <row r="51" customFormat="false" ht="15" hidden="false" customHeight="true" outlineLevel="0" collapsed="false">
      <c r="A51" s="102"/>
      <c r="B51" s="123" t="n">
        <v>3</v>
      </c>
      <c r="C51" s="131" t="n">
        <v>501.39</v>
      </c>
      <c r="D51" s="131" t="n">
        <v>501.99</v>
      </c>
      <c r="E51" s="131" t="n">
        <v>501.13</v>
      </c>
      <c r="F51" s="131" t="n">
        <v>499.86</v>
      </c>
      <c r="G51" s="131" t="n">
        <v>501.3</v>
      </c>
      <c r="H51" s="133" t="n">
        <f aca="false">AVERAGE(C51:G51)</f>
        <v>501.134</v>
      </c>
      <c r="I51" s="133" t="n">
        <f aca="false">MAX(C51:G51)-MIN(C51:G51)</f>
        <v>2.13</v>
      </c>
      <c r="J51" s="132" t="str">
        <f aca="false">IF(H51&gt;$C$77,"OOC high",IF(H51&lt;$C$78,"OOC low","OK"))</f>
        <v>OK</v>
      </c>
      <c r="K51" s="132" t="str">
        <f aca="false">IF(I51&gt;$C$79,"OOC high","OK")</f>
        <v>OK</v>
      </c>
      <c r="L51" s="102"/>
      <c r="M51" s="102"/>
      <c r="N51" s="102"/>
      <c r="O51" s="102"/>
    </row>
    <row r="52" customFormat="false" ht="15" hidden="false" customHeight="true" outlineLevel="0" collapsed="false">
      <c r="A52" s="102"/>
      <c r="B52" s="123" t="n">
        <v>4</v>
      </c>
      <c r="C52" s="131" t="n">
        <v>503.23</v>
      </c>
      <c r="D52" s="131" t="n">
        <v>499.16</v>
      </c>
      <c r="E52" s="131" t="n">
        <v>501.56</v>
      </c>
      <c r="F52" s="131" t="n">
        <v>498.56</v>
      </c>
      <c r="G52" s="131" t="n">
        <v>498.85</v>
      </c>
      <c r="H52" s="133" t="n">
        <f aca="false">AVERAGE(C52:G52)</f>
        <v>500.272</v>
      </c>
      <c r="I52" s="133" t="n">
        <f aca="false">MAX(C52:G52)-MIN(C52:G52)</f>
        <v>4.67000000000002</v>
      </c>
      <c r="J52" s="132" t="str">
        <f aca="false">IF(H52&gt;$C$77,"OOC high",IF(H52&lt;$C$78,"OOC low","OK"))</f>
        <v>OK</v>
      </c>
      <c r="K52" s="132" t="str">
        <f aca="false">IF(I52&gt;$C$79,"OOC high","OK")</f>
        <v>OK</v>
      </c>
      <c r="L52" s="102"/>
      <c r="M52" s="102"/>
      <c r="N52" s="102"/>
      <c r="O52" s="102"/>
    </row>
    <row r="53" customFormat="false" ht="15" hidden="false" customHeight="true" outlineLevel="0" collapsed="false">
      <c r="A53" s="102"/>
      <c r="B53" s="123" t="n">
        <v>5</v>
      </c>
      <c r="C53" s="131" t="n">
        <v>502.87</v>
      </c>
      <c r="D53" s="131" t="n">
        <v>498.31</v>
      </c>
      <c r="E53" s="131" t="n">
        <v>499.15</v>
      </c>
      <c r="F53" s="131" t="n">
        <v>497.73</v>
      </c>
      <c r="G53" s="131" t="n">
        <v>500.51</v>
      </c>
      <c r="H53" s="133" t="n">
        <f aca="false">AVERAGE(C53:G53)</f>
        <v>499.714</v>
      </c>
      <c r="I53" s="133" t="n">
        <f aca="false">MAX(C53:G53)-MIN(C53:G53)</f>
        <v>5.13999999999999</v>
      </c>
      <c r="J53" s="132" t="str">
        <f aca="false">IF(H53&gt;$C$77,"OOC high",IF(H53&lt;$C$78,"OOC low","OK"))</f>
        <v>OK</v>
      </c>
      <c r="K53" s="132" t="str">
        <f aca="false">IF(I53&gt;$C$79,"OOC high","OK")</f>
        <v>OK</v>
      </c>
      <c r="L53" s="102"/>
      <c r="M53" s="102"/>
      <c r="N53" s="102"/>
      <c r="O53" s="102"/>
    </row>
    <row r="54" customFormat="false" ht="15" hidden="false" customHeight="true" outlineLevel="0" collapsed="false">
      <c r="A54" s="102"/>
      <c r="B54" s="123" t="n">
        <v>6</v>
      </c>
      <c r="C54" s="131" t="n">
        <v>498.2</v>
      </c>
      <c r="D54" s="131" t="n">
        <v>499.15</v>
      </c>
      <c r="E54" s="131" t="n">
        <v>500.4</v>
      </c>
      <c r="F54" s="131" t="n">
        <v>499.7</v>
      </c>
      <c r="G54" s="131" t="n">
        <v>502.98</v>
      </c>
      <c r="H54" s="133" t="n">
        <f aca="false">AVERAGE(C54:G54)</f>
        <v>500.086</v>
      </c>
      <c r="I54" s="133" t="n">
        <f aca="false">MAX(C54:G54)-MIN(C54:G54)</f>
        <v>4.78000000000003</v>
      </c>
      <c r="J54" s="132" t="str">
        <f aca="false">IF(H54&gt;$C$77,"OOC high",IF(H54&lt;$C$78,"OOC low","OK"))</f>
        <v>OK</v>
      </c>
      <c r="K54" s="132" t="str">
        <f aca="false">IF(I54&gt;$C$79,"OOC high","OK")</f>
        <v>OK</v>
      </c>
      <c r="L54" s="102"/>
      <c r="M54" s="102"/>
      <c r="N54" s="102"/>
      <c r="O54" s="102"/>
    </row>
    <row r="55" customFormat="false" ht="15" hidden="false" customHeight="true" outlineLevel="0" collapsed="false">
      <c r="A55" s="102"/>
      <c r="B55" s="123" t="n">
        <v>7</v>
      </c>
      <c r="C55" s="131" t="n">
        <v>499.81</v>
      </c>
      <c r="D55" s="131" t="n">
        <v>499.42</v>
      </c>
      <c r="E55" s="131" t="n">
        <v>500.88</v>
      </c>
      <c r="F55" s="131" t="n">
        <v>499.45</v>
      </c>
      <c r="G55" s="131" t="n">
        <v>499.49</v>
      </c>
      <c r="H55" s="133" t="n">
        <f aca="false">AVERAGE(C55:G55)</f>
        <v>499.81</v>
      </c>
      <c r="I55" s="133" t="n">
        <f aca="false">MAX(C55:G55)-MIN(C55:G55)</f>
        <v>1.45999999999998</v>
      </c>
      <c r="J55" s="132" t="str">
        <f aca="false">IF(H55&gt;$C$77,"OOC high",IF(H55&lt;$C$78,"OOC low","OK"))</f>
        <v>OK</v>
      </c>
      <c r="K55" s="132" t="str">
        <f aca="false">IF(I55&gt;$C$79,"OOC high","OK")</f>
        <v>OK</v>
      </c>
      <c r="L55" s="102"/>
      <c r="M55" s="102"/>
      <c r="N55" s="102"/>
      <c r="O55" s="102"/>
    </row>
    <row r="56" customFormat="false" ht="15" hidden="false" customHeight="true" outlineLevel="0" collapsed="false">
      <c r="A56" s="102"/>
      <c r="B56" s="123" t="n">
        <v>8</v>
      </c>
      <c r="C56" s="131" t="n">
        <v>498.65</v>
      </c>
      <c r="D56" s="131" t="n">
        <v>499.89</v>
      </c>
      <c r="E56" s="131" t="n">
        <v>500.88</v>
      </c>
      <c r="F56" s="131" t="n">
        <v>498.82</v>
      </c>
      <c r="G56" s="131" t="n">
        <v>499.36</v>
      </c>
      <c r="H56" s="133" t="n">
        <f aca="false">AVERAGE(C56:G56)</f>
        <v>499.52</v>
      </c>
      <c r="I56" s="133" t="n">
        <f aca="false">MAX(C56:G56)-MIN(C56:G56)</f>
        <v>2.23000000000002</v>
      </c>
      <c r="J56" s="132" t="str">
        <f aca="false">IF(H56&gt;$C$77,"OOC high",IF(H56&lt;$C$78,"OOC low","OK"))</f>
        <v>OK</v>
      </c>
      <c r="K56" s="132" t="str">
        <f aca="false">IF(I56&gt;$C$79,"OOC high","OK")</f>
        <v>OK</v>
      </c>
      <c r="L56" s="102"/>
      <c r="M56" s="102"/>
      <c r="N56" s="102"/>
      <c r="O56" s="102"/>
    </row>
    <row r="57" customFormat="false" ht="15" hidden="false" customHeight="true" outlineLevel="0" collapsed="false">
      <c r="A57" s="102"/>
      <c r="B57" s="123" t="n">
        <v>9</v>
      </c>
      <c r="C57" s="131" t="n">
        <v>498.58</v>
      </c>
      <c r="D57" s="131" t="n">
        <v>498.59</v>
      </c>
      <c r="E57" s="131" t="n">
        <v>501.08</v>
      </c>
      <c r="F57" s="131" t="n">
        <v>497.69</v>
      </c>
      <c r="G57" s="131" t="n">
        <v>497.61</v>
      </c>
      <c r="H57" s="133" t="n">
        <f aca="false">AVERAGE(C57:G57)</f>
        <v>498.71</v>
      </c>
      <c r="I57" s="133" t="n">
        <f aca="false">MAX(C57:G57)-MIN(C57:G57)</f>
        <v>3.46999999999997</v>
      </c>
      <c r="J57" s="132" t="str">
        <f aca="false">IF(H57&gt;$C$77,"OOC high",IF(H57&lt;$C$78,"OOC low","OK"))</f>
        <v>OK</v>
      </c>
      <c r="K57" s="132" t="str">
        <f aca="false">IF(I57&gt;$C$79,"OOC high","OK")</f>
        <v>OK</v>
      </c>
      <c r="L57" s="102"/>
      <c r="M57" s="102"/>
      <c r="N57" s="102"/>
      <c r="O57" s="102"/>
    </row>
    <row r="58" customFormat="false" ht="15" hidden="false" customHeight="true" outlineLevel="0" collapsed="false">
      <c r="A58" s="102"/>
      <c r="B58" s="123" t="n">
        <v>10</v>
      </c>
      <c r="C58" s="131" t="n">
        <v>497.6</v>
      </c>
      <c r="D58" s="131" t="n">
        <v>497.28</v>
      </c>
      <c r="E58" s="131" t="n">
        <v>500.07</v>
      </c>
      <c r="F58" s="131" t="n">
        <v>500.95</v>
      </c>
      <c r="G58" s="131" t="n">
        <v>497.8</v>
      </c>
      <c r="H58" s="133" t="n">
        <f aca="false">AVERAGE(C58:G58)</f>
        <v>498.74</v>
      </c>
      <c r="I58" s="133" t="n">
        <f aca="false">MAX(C58:G58)-MIN(C58:G58)</f>
        <v>3.67000000000002</v>
      </c>
      <c r="J58" s="132" t="str">
        <f aca="false">IF(H58&gt;$C$77,"OOC high",IF(H58&lt;$C$78,"OOC low","OK"))</f>
        <v>OK</v>
      </c>
      <c r="K58" s="132" t="str">
        <f aca="false">IF(I58&gt;$C$79,"OOC high","OK")</f>
        <v>OK</v>
      </c>
      <c r="L58" s="102"/>
      <c r="M58" s="102"/>
      <c r="N58" s="102"/>
      <c r="O58" s="102"/>
    </row>
    <row r="59" customFormat="false" ht="15" hidden="false" customHeight="true" outlineLevel="0" collapsed="false">
      <c r="A59" s="102"/>
      <c r="B59" s="123" t="n">
        <v>11</v>
      </c>
      <c r="C59" s="131" t="n">
        <v>501.19</v>
      </c>
      <c r="D59" s="131" t="n">
        <v>501.2</v>
      </c>
      <c r="E59" s="131" t="n">
        <v>499.43</v>
      </c>
      <c r="F59" s="131" t="n">
        <v>499.94</v>
      </c>
      <c r="G59" s="131" t="n">
        <v>498.94</v>
      </c>
      <c r="H59" s="133" t="n">
        <f aca="false">AVERAGE(C59:G59)</f>
        <v>500.14</v>
      </c>
      <c r="I59" s="133" t="n">
        <f aca="false">MAX(C59:G59)-MIN(C59:G59)</f>
        <v>2.25999999999999</v>
      </c>
      <c r="J59" s="132" t="str">
        <f aca="false">IF(H59&gt;$C$77,"OOC high",IF(H59&lt;$C$78,"OOC low","OK"))</f>
        <v>OK</v>
      </c>
      <c r="K59" s="132" t="str">
        <f aca="false">IF(I59&gt;$C$79,"OOC high","OK")</f>
        <v>OK</v>
      </c>
      <c r="L59" s="102"/>
      <c r="M59" s="102"/>
      <c r="N59" s="102"/>
      <c r="O59" s="102"/>
    </row>
    <row r="60" customFormat="false" ht="15" hidden="false" customHeight="true" outlineLevel="0" collapsed="false">
      <c r="A60" s="102"/>
      <c r="B60" s="123" t="n">
        <v>12</v>
      </c>
      <c r="C60" s="131" t="n">
        <v>501.16</v>
      </c>
      <c r="D60" s="131" t="n">
        <v>500.17</v>
      </c>
      <c r="E60" s="131" t="n">
        <v>500.01</v>
      </c>
      <c r="F60" s="131" t="n">
        <v>498.86</v>
      </c>
      <c r="G60" s="131" t="n">
        <v>499.3</v>
      </c>
      <c r="H60" s="133" t="n">
        <f aca="false">AVERAGE(C60:G60)</f>
        <v>499.9</v>
      </c>
      <c r="I60" s="133" t="n">
        <f aca="false">MAX(C60:G60)-MIN(C60:G60)</f>
        <v>2.30000000000001</v>
      </c>
      <c r="J60" s="132" t="str">
        <f aca="false">IF(H60&gt;$C$77,"OOC high",IF(H60&lt;$C$78,"OOC low","OK"))</f>
        <v>OK</v>
      </c>
      <c r="K60" s="132" t="str">
        <f aca="false">IF(I60&gt;$C$79,"OOC high","OK")</f>
        <v>OK</v>
      </c>
      <c r="L60" s="102"/>
      <c r="M60" s="102"/>
      <c r="N60" s="102"/>
      <c r="O60" s="102"/>
    </row>
    <row r="61" customFormat="false" ht="15" hidden="false" customHeight="true" outlineLevel="0" collapsed="false">
      <c r="A61" s="102"/>
      <c r="B61" s="123" t="n">
        <v>13</v>
      </c>
      <c r="C61" s="131" t="n">
        <v>502.51</v>
      </c>
      <c r="D61" s="131" t="n">
        <v>499.66</v>
      </c>
      <c r="E61" s="131" t="n">
        <v>501.11</v>
      </c>
      <c r="F61" s="131" t="n">
        <v>497.94</v>
      </c>
      <c r="G61" s="131" t="n">
        <v>500.34</v>
      </c>
      <c r="H61" s="133" t="n">
        <f aca="false">AVERAGE(C61:G61)</f>
        <v>500.312</v>
      </c>
      <c r="I61" s="133" t="n">
        <f aca="false">MAX(C61:G61)-MIN(C61:G61)</f>
        <v>4.56999999999999</v>
      </c>
      <c r="J61" s="132" t="str">
        <f aca="false">IF(H61&gt;$C$77,"OOC high",IF(H61&lt;$C$78,"OOC low","OK"))</f>
        <v>OK</v>
      </c>
      <c r="K61" s="132" t="str">
        <f aca="false">IF(I61&gt;$C$79,"OOC high","OK")</f>
        <v>OK</v>
      </c>
      <c r="L61" s="102"/>
      <c r="M61" s="102"/>
      <c r="N61" s="102"/>
      <c r="O61" s="102"/>
    </row>
    <row r="62" customFormat="false" ht="15" hidden="false" customHeight="true" outlineLevel="0" collapsed="false">
      <c r="A62" s="102"/>
      <c r="B62" s="123" t="n">
        <v>14</v>
      </c>
      <c r="C62" s="131" t="n">
        <v>502.06</v>
      </c>
      <c r="D62" s="131" t="n">
        <v>500.58</v>
      </c>
      <c r="E62" s="131" t="n">
        <v>500.41</v>
      </c>
      <c r="F62" s="131" t="n">
        <v>499.3</v>
      </c>
      <c r="G62" s="131" t="n">
        <v>500.69</v>
      </c>
      <c r="H62" s="133" t="n">
        <f aca="false">AVERAGE(C62:G62)</f>
        <v>500.608</v>
      </c>
      <c r="I62" s="133" t="n">
        <f aca="false">MAX(C62:G62)-MIN(C62:G62)</f>
        <v>2.75999999999999</v>
      </c>
      <c r="J62" s="132" t="str">
        <f aca="false">IF(H62&gt;$C$77,"OOC high",IF(H62&lt;$C$78,"OOC low","OK"))</f>
        <v>OK</v>
      </c>
      <c r="K62" s="132" t="str">
        <f aca="false">IF(I62&gt;$C$79,"OOC high","OK")</f>
        <v>OK</v>
      </c>
      <c r="L62" s="102"/>
      <c r="M62" s="102"/>
      <c r="N62" s="102"/>
      <c r="O62" s="102"/>
    </row>
    <row r="63" customFormat="false" ht="15" hidden="false" customHeight="true" outlineLevel="0" collapsed="false">
      <c r="A63" s="102"/>
      <c r="B63" s="123" t="n">
        <v>15</v>
      </c>
      <c r="C63" s="131" t="n">
        <v>501.54</v>
      </c>
      <c r="D63" s="131" t="n">
        <v>500.33</v>
      </c>
      <c r="E63" s="131" t="n">
        <v>500.51</v>
      </c>
      <c r="F63" s="131" t="n">
        <v>499.89</v>
      </c>
      <c r="G63" s="131" t="n">
        <v>500.24</v>
      </c>
      <c r="H63" s="133" t="n">
        <f aca="false">AVERAGE(C63:G63)</f>
        <v>500.502</v>
      </c>
      <c r="I63" s="133" t="n">
        <f aca="false">MAX(C63:G63)-MIN(C63:G63)</f>
        <v>1.65000000000003</v>
      </c>
      <c r="J63" s="132" t="str">
        <f aca="false">IF(H63&gt;$C$77,"OOC high",IF(H63&lt;$C$78,"OOC low","OK"))</f>
        <v>OK</v>
      </c>
      <c r="K63" s="132" t="str">
        <f aca="false">IF(I63&gt;$C$79,"OOC high","OK")</f>
        <v>OK</v>
      </c>
      <c r="L63" s="102"/>
      <c r="M63" s="102"/>
      <c r="N63" s="102"/>
      <c r="O63" s="102"/>
    </row>
    <row r="64" customFormat="false" ht="15" hidden="false" customHeight="true" outlineLevel="0" collapsed="false">
      <c r="A64" s="102"/>
      <c r="B64" s="123" t="n">
        <v>16</v>
      </c>
      <c r="C64" s="131" t="n">
        <v>502.96</v>
      </c>
      <c r="D64" s="131" t="n">
        <v>498.57</v>
      </c>
      <c r="E64" s="131" t="n">
        <v>499.74</v>
      </c>
      <c r="F64" s="131" t="n">
        <v>497.9</v>
      </c>
      <c r="G64" s="131" t="n">
        <v>501.18</v>
      </c>
      <c r="H64" s="133" t="n">
        <f aca="false">AVERAGE(C64:G64)</f>
        <v>500.07</v>
      </c>
      <c r="I64" s="133" t="n">
        <f aca="false">MAX(C64:G64)-MIN(C64:G64)</f>
        <v>5.06</v>
      </c>
      <c r="J64" s="132" t="str">
        <f aca="false">IF(H64&gt;$C$77,"OOC high",IF(H64&lt;$C$78,"OOC low","OK"))</f>
        <v>OK</v>
      </c>
      <c r="K64" s="132" t="str">
        <f aca="false">IF(I64&gt;$C$79,"OOC high","OK")</f>
        <v>OK</v>
      </c>
      <c r="L64" s="102"/>
      <c r="M64" s="102"/>
      <c r="N64" s="102"/>
      <c r="O64" s="102"/>
    </row>
    <row r="65" customFormat="false" ht="15" hidden="false" customHeight="true" outlineLevel="0" collapsed="false">
      <c r="A65" s="102"/>
      <c r="B65" s="123" t="n">
        <v>17</v>
      </c>
      <c r="C65" s="131" t="n">
        <v>498.7</v>
      </c>
      <c r="D65" s="131" t="n">
        <v>500.25</v>
      </c>
      <c r="E65" s="131" t="n">
        <v>498.54</v>
      </c>
      <c r="F65" s="131" t="n">
        <v>501.71</v>
      </c>
      <c r="G65" s="131" t="n">
        <v>501.4</v>
      </c>
      <c r="H65" s="133" t="n">
        <f aca="false">AVERAGE(C65:G65)</f>
        <v>500.12</v>
      </c>
      <c r="I65" s="133" t="n">
        <f aca="false">MAX(C65:G65)-MIN(C65:G65)</f>
        <v>3.16999999999996</v>
      </c>
      <c r="J65" s="132" t="str">
        <f aca="false">IF(H65&gt;$C$77,"OOC high",IF(H65&lt;$C$78,"OOC low","OK"))</f>
        <v>OK</v>
      </c>
      <c r="K65" s="132" t="str">
        <f aca="false">IF(I65&gt;$C$79,"OOC high","OK")</f>
        <v>OK</v>
      </c>
      <c r="L65" s="102"/>
      <c r="M65" s="102"/>
      <c r="N65" s="102"/>
      <c r="O65" s="102"/>
    </row>
    <row r="66" customFormat="false" ht="15" hidden="false" customHeight="true" outlineLevel="0" collapsed="false">
      <c r="A66" s="102"/>
      <c r="B66" s="123" t="n">
        <v>18</v>
      </c>
      <c r="C66" s="131" t="n">
        <v>500.17</v>
      </c>
      <c r="D66" s="131" t="n">
        <v>499.89</v>
      </c>
      <c r="E66" s="131" t="n">
        <v>499.87</v>
      </c>
      <c r="F66" s="131" t="n">
        <v>499.51</v>
      </c>
      <c r="G66" s="131" t="n">
        <v>501.1</v>
      </c>
      <c r="H66" s="133" t="n">
        <f aca="false">AVERAGE(C66:G66)</f>
        <v>500.108</v>
      </c>
      <c r="I66" s="133" t="n">
        <f aca="false">MAX(C66:G66)-MIN(C66:G66)</f>
        <v>1.59000000000003</v>
      </c>
      <c r="J66" s="132" t="str">
        <f aca="false">IF(H66&gt;$C$77,"OOC high",IF(H66&lt;$C$78,"OOC low","OK"))</f>
        <v>OK</v>
      </c>
      <c r="K66" s="132" t="str">
        <f aca="false">IF(I66&gt;$C$79,"OOC high","OK")</f>
        <v>OK</v>
      </c>
      <c r="L66" s="102"/>
      <c r="M66" s="102"/>
      <c r="N66" s="102"/>
      <c r="O66" s="102"/>
    </row>
    <row r="67" customFormat="false" ht="15" hidden="false" customHeight="true" outlineLevel="0" collapsed="false">
      <c r="A67" s="102"/>
      <c r="B67" s="123" t="n">
        <v>19</v>
      </c>
      <c r="C67" s="131" t="n">
        <v>499.03</v>
      </c>
      <c r="D67" s="131" t="n">
        <v>498.76</v>
      </c>
      <c r="E67" s="131" t="n">
        <v>498.9</v>
      </c>
      <c r="F67" s="131" t="n">
        <v>500.02</v>
      </c>
      <c r="G67" s="131" t="n">
        <v>497.31</v>
      </c>
      <c r="H67" s="133" t="n">
        <f aca="false">AVERAGE(C67:G67)</f>
        <v>498.804</v>
      </c>
      <c r="I67" s="133" t="n">
        <f aca="false">MAX(C67:G67)-MIN(C67:G67)</f>
        <v>2.70999999999998</v>
      </c>
      <c r="J67" s="132" t="str">
        <f aca="false">IF(H67&gt;$C$77,"OOC high",IF(H67&lt;$C$78,"OOC low","OK"))</f>
        <v>OK</v>
      </c>
      <c r="K67" s="132" t="str">
        <f aca="false">IF(I67&gt;$C$79,"OOC high","OK")</f>
        <v>OK</v>
      </c>
      <c r="L67" s="102"/>
      <c r="M67" s="102"/>
      <c r="N67" s="102"/>
      <c r="O67" s="102"/>
    </row>
    <row r="68" customFormat="false" ht="15" hidden="false" customHeight="true" outlineLevel="0" collapsed="false">
      <c r="A68" s="102"/>
      <c r="B68" s="123" t="n">
        <v>20</v>
      </c>
      <c r="C68" s="131" t="n">
        <v>502.87</v>
      </c>
      <c r="D68" s="131" t="n">
        <v>502.02</v>
      </c>
      <c r="E68" s="131" t="n">
        <v>501.96</v>
      </c>
      <c r="F68" s="131" t="n">
        <v>501.82</v>
      </c>
      <c r="G68" s="131" t="n">
        <v>501.95</v>
      </c>
      <c r="H68" s="133" t="n">
        <f aca="false">AVERAGE(C68:G68)</f>
        <v>502.124</v>
      </c>
      <c r="I68" s="133" t="n">
        <f aca="false">MAX(C68:G68)-MIN(C68:G68)</f>
        <v>1.05000000000001</v>
      </c>
      <c r="J68" s="132" t="str">
        <f aca="false">IF(H68&gt;$C$77,"OOC high",IF(H68&lt;$C$78,"OOC low","OK"))</f>
        <v>OOC high</v>
      </c>
      <c r="K68" s="132" t="str">
        <f aca="false">IF(I68&gt;$C$79,"OOC high","OK")</f>
        <v>OK</v>
      </c>
      <c r="L68" s="102"/>
      <c r="M68" s="102"/>
      <c r="N68" s="102"/>
      <c r="O68" s="102"/>
    </row>
    <row r="69" customFormat="false" ht="15" hidden="false" customHeight="true" outlineLevel="0" collapsed="false">
      <c r="A69" s="102"/>
      <c r="B69" s="123" t="n">
        <v>21</v>
      </c>
      <c r="C69" s="131" t="n">
        <v>502.3</v>
      </c>
      <c r="D69" s="131" t="n">
        <v>502.48</v>
      </c>
      <c r="E69" s="131" t="n">
        <v>501.35</v>
      </c>
      <c r="F69" s="131" t="n">
        <v>498.33</v>
      </c>
      <c r="G69" s="131" t="n">
        <v>503.12</v>
      </c>
      <c r="H69" s="133" t="n">
        <f aca="false">AVERAGE(C69:G69)</f>
        <v>501.516</v>
      </c>
      <c r="I69" s="133" t="n">
        <f aca="false">MAX(C69:G69)-MIN(C69:G69)</f>
        <v>4.79000000000002</v>
      </c>
      <c r="J69" s="132" t="str">
        <f aca="false">IF(H69&gt;$C$77,"OOC high",IF(H69&lt;$C$78,"OOC low","OK"))</f>
        <v>OK</v>
      </c>
      <c r="K69" s="132" t="str">
        <f aca="false">IF(I69&gt;$C$79,"OOC high","OK")</f>
        <v>OK</v>
      </c>
      <c r="L69" s="102"/>
      <c r="M69" s="102"/>
      <c r="N69" s="102"/>
      <c r="O69" s="102"/>
    </row>
    <row r="70" customFormat="false" ht="15" hidden="false" customHeight="true" outlineLevel="0" collapsed="false">
      <c r="A70" s="102"/>
      <c r="B70" s="123" t="n">
        <v>22</v>
      </c>
      <c r="C70" s="131" t="n">
        <v>501.75</v>
      </c>
      <c r="D70" s="131" t="n">
        <v>501.76</v>
      </c>
      <c r="E70" s="131" t="n">
        <v>504.38</v>
      </c>
      <c r="F70" s="131" t="n">
        <v>503.61</v>
      </c>
      <c r="G70" s="131" t="n">
        <v>501.55</v>
      </c>
      <c r="H70" s="133" t="n">
        <f aca="false">AVERAGE(C70:G70)</f>
        <v>502.61</v>
      </c>
      <c r="I70" s="133" t="n">
        <f aca="false">MAX(C70:G70)-MIN(C70:G70)</f>
        <v>2.82999999999998</v>
      </c>
      <c r="J70" s="132" t="str">
        <f aca="false">IF(H70&gt;$C$77,"OOC high",IF(H70&lt;$C$78,"OOC low","OK"))</f>
        <v>OOC high</v>
      </c>
      <c r="K70" s="132" t="str">
        <f aca="false">IF(I70&gt;$C$79,"OOC high","OK")</f>
        <v>OK</v>
      </c>
      <c r="L70" s="102"/>
      <c r="M70" s="102"/>
      <c r="N70" s="102"/>
      <c r="O70" s="102"/>
    </row>
    <row r="71" customFormat="false" ht="15" hidden="false" customHeight="true" outlineLevel="0" collapsed="false">
      <c r="A71" s="102"/>
      <c r="B71" s="123" t="n">
        <v>23</v>
      </c>
      <c r="C71" s="131" t="n">
        <v>503.1</v>
      </c>
      <c r="D71" s="131" t="n">
        <v>501.85</v>
      </c>
      <c r="E71" s="131" t="n">
        <v>500.13</v>
      </c>
      <c r="F71" s="131" t="n">
        <v>502.27</v>
      </c>
      <c r="G71" s="131" t="n">
        <v>501.65</v>
      </c>
      <c r="H71" s="133" t="n">
        <f aca="false">AVERAGE(C71:G71)</f>
        <v>501.8</v>
      </c>
      <c r="I71" s="133" t="n">
        <f aca="false">MAX(C71:G71)-MIN(C71:G71)</f>
        <v>2.97000000000003</v>
      </c>
      <c r="J71" s="132" t="str">
        <f aca="false">IF(H71&gt;$C$77,"OOC high",IF(H71&lt;$C$78,"OOC low","OK"))</f>
        <v>OK</v>
      </c>
      <c r="K71" s="132" t="str">
        <f aca="false">IF(I71&gt;$C$79,"OOC high","OK")</f>
        <v>OK</v>
      </c>
      <c r="L71" s="102"/>
      <c r="M71" s="102"/>
      <c r="N71" s="102"/>
      <c r="O71" s="102"/>
    </row>
    <row r="72" customFormat="false" ht="15" hidden="false" customHeight="true" outlineLevel="0" collapsed="false">
      <c r="A72" s="102"/>
      <c r="B72" s="123" t="n">
        <v>24</v>
      </c>
      <c r="C72" s="131" t="n">
        <v>501.9</v>
      </c>
      <c r="D72" s="131" t="n">
        <v>499.68</v>
      </c>
      <c r="E72" s="131" t="n">
        <v>500.11</v>
      </c>
      <c r="F72" s="131" t="n">
        <v>500.95</v>
      </c>
      <c r="G72" s="131" t="n">
        <v>502.69</v>
      </c>
      <c r="H72" s="133" t="n">
        <f aca="false">AVERAGE(C72:G72)</f>
        <v>501.066</v>
      </c>
      <c r="I72" s="133" t="n">
        <f aca="false">MAX(C72:G72)-MIN(C72:G72)</f>
        <v>3.00999999999999</v>
      </c>
      <c r="J72" s="132" t="str">
        <f aca="false">IF(H72&gt;$C$77,"OOC high",IF(H72&lt;$C$78,"OOC low","OK"))</f>
        <v>OK</v>
      </c>
      <c r="K72" s="132" t="str">
        <f aca="false">IF(I72&gt;$C$79,"OOC high","OK")</f>
        <v>OK</v>
      </c>
      <c r="L72" s="102"/>
      <c r="M72" s="102"/>
      <c r="N72" s="102"/>
      <c r="O72" s="102"/>
    </row>
    <row r="73" customFormat="false" ht="15" hidden="false" customHeight="true" outlineLevel="0" collapsed="false">
      <c r="A73" s="102"/>
      <c r="B73" s="123" t="n">
        <v>25</v>
      </c>
      <c r="C73" s="131" t="n">
        <v>503.14</v>
      </c>
      <c r="D73" s="131" t="n">
        <v>502.04</v>
      </c>
      <c r="E73" s="131" t="n">
        <v>502.2</v>
      </c>
      <c r="F73" s="131" t="n">
        <v>500.24</v>
      </c>
      <c r="G73" s="131" t="n">
        <v>502.05</v>
      </c>
      <c r="H73" s="133" t="n">
        <f aca="false">AVERAGE(C73:G73)</f>
        <v>501.934</v>
      </c>
      <c r="I73" s="133" t="n">
        <f aca="false">MAX(C73:G73)-MIN(C73:G73)</f>
        <v>2.89999999999998</v>
      </c>
      <c r="J73" s="132" t="str">
        <f aca="false">IF(H73&gt;$C$77,"OOC high",IF(H73&lt;$C$78,"OOC low","OK"))</f>
        <v>OK</v>
      </c>
      <c r="K73" s="132" t="str">
        <f aca="false">IF(I73&gt;$C$79,"OOC high","OK")</f>
        <v>OK</v>
      </c>
      <c r="L73" s="102"/>
      <c r="M73" s="102"/>
      <c r="N73" s="102"/>
      <c r="O73" s="102"/>
    </row>
    <row r="74" customFormat="false" ht="15" hidden="false" customHeight="true" outlineLevel="0" collapsed="false">
      <c r="A74" s="102"/>
      <c r="B74" s="102"/>
      <c r="C74" s="102"/>
      <c r="D74" s="102"/>
      <c r="E74" s="102"/>
      <c r="F74" s="102"/>
      <c r="G74" s="102"/>
      <c r="H74" s="102"/>
      <c r="I74" s="102"/>
      <c r="J74" s="102"/>
      <c r="K74" s="102"/>
      <c r="L74" s="102"/>
      <c r="M74" s="102"/>
      <c r="N74" s="102"/>
      <c r="O74" s="102"/>
    </row>
    <row r="75" customFormat="false" ht="15" hidden="false" customHeight="true" outlineLevel="0" collapsed="false">
      <c r="A75" s="102"/>
      <c r="B75" s="105" t="s">
        <v>5869</v>
      </c>
      <c r="C75" s="129" t="n">
        <f aca="false">AVERAGE(H49:H73)</f>
        <v>500.34912</v>
      </c>
      <c r="D75" s="102"/>
      <c r="E75" s="102"/>
      <c r="F75" s="102"/>
      <c r="G75" s="102"/>
      <c r="H75" s="102"/>
      <c r="I75" s="102"/>
      <c r="J75" s="102"/>
      <c r="K75" s="102"/>
      <c r="L75" s="102"/>
      <c r="M75" s="102"/>
      <c r="N75" s="102"/>
      <c r="O75" s="102"/>
    </row>
    <row r="76" customFormat="false" ht="15" hidden="false" customHeight="true" outlineLevel="0" collapsed="false">
      <c r="A76" s="102"/>
      <c r="B76" s="105" t="s">
        <v>5870</v>
      </c>
      <c r="C76" s="129" t="n">
        <f aca="false">AVERAGE(I49:I73)</f>
        <v>3.0424</v>
      </c>
      <c r="D76" s="102"/>
      <c r="E76" s="102"/>
      <c r="F76" s="102"/>
      <c r="G76" s="102"/>
      <c r="H76" s="102"/>
      <c r="I76" s="102"/>
      <c r="J76" s="102"/>
      <c r="K76" s="102"/>
      <c r="L76" s="102"/>
      <c r="M76" s="102"/>
      <c r="N76" s="102"/>
      <c r="O76" s="102"/>
    </row>
    <row r="77" customFormat="false" ht="15" hidden="false" customHeight="true" outlineLevel="0" collapsed="false">
      <c r="A77" s="102"/>
      <c r="B77" s="105" t="s">
        <v>5871</v>
      </c>
      <c r="C77" s="129" t="n">
        <f aca="false">C75+0.577*C76</f>
        <v>502.1045848</v>
      </c>
      <c r="D77" s="102"/>
      <c r="E77" s="102"/>
      <c r="F77" s="102"/>
      <c r="G77" s="102"/>
      <c r="H77" s="102"/>
      <c r="I77" s="102"/>
      <c r="J77" s="102"/>
      <c r="K77" s="102"/>
      <c r="L77" s="102"/>
      <c r="M77" s="102"/>
      <c r="N77" s="102"/>
      <c r="O77" s="102"/>
    </row>
    <row r="78" customFormat="false" ht="15" hidden="false" customHeight="true" outlineLevel="0" collapsed="false">
      <c r="A78" s="102"/>
      <c r="B78" s="105" t="s">
        <v>5872</v>
      </c>
      <c r="C78" s="129" t="n">
        <f aca="false">C75-0.577*C76</f>
        <v>498.5936552</v>
      </c>
      <c r="D78" s="102"/>
      <c r="E78" s="102"/>
      <c r="F78" s="102"/>
      <c r="G78" s="102"/>
      <c r="H78" s="102"/>
      <c r="I78" s="102"/>
      <c r="J78" s="102"/>
      <c r="K78" s="102"/>
      <c r="L78" s="102"/>
      <c r="M78" s="102"/>
      <c r="N78" s="102"/>
      <c r="O78" s="102"/>
    </row>
    <row r="79" customFormat="false" ht="15" hidden="false" customHeight="true" outlineLevel="0" collapsed="false">
      <c r="A79" s="102"/>
      <c r="B79" s="105" t="s">
        <v>5873</v>
      </c>
      <c r="C79" s="129" t="n">
        <f aca="false">2.114*C76</f>
        <v>6.4316336</v>
      </c>
      <c r="D79" s="102"/>
      <c r="E79" s="102"/>
      <c r="F79" s="102"/>
      <c r="G79" s="102"/>
      <c r="H79" s="102"/>
      <c r="I79" s="102"/>
      <c r="J79" s="102"/>
      <c r="K79" s="102"/>
      <c r="L79" s="102"/>
      <c r="M79" s="102"/>
      <c r="N79" s="102"/>
      <c r="O79" s="102"/>
    </row>
    <row r="80" customFormat="false" ht="15" hidden="false" customHeight="true" outlineLevel="0" collapsed="false">
      <c r="A80" s="102"/>
      <c r="B80" s="105" t="s">
        <v>5874</v>
      </c>
      <c r="C80" s="129" t="n">
        <f aca="false">0</f>
        <v>0</v>
      </c>
      <c r="D80" s="102"/>
      <c r="E80" s="102"/>
      <c r="F80" s="102"/>
      <c r="G80" s="102"/>
      <c r="H80" s="102"/>
      <c r="I80" s="102"/>
      <c r="J80" s="102"/>
      <c r="K80" s="102"/>
      <c r="L80" s="102"/>
      <c r="M80" s="102"/>
      <c r="N80" s="102"/>
      <c r="O80" s="102"/>
    </row>
    <row r="81" customFormat="false" ht="15" hidden="false" customHeight="true" outlineLevel="0" collapsed="false">
      <c r="A81" s="102"/>
      <c r="B81" s="102"/>
      <c r="C81" s="102"/>
      <c r="D81" s="102"/>
      <c r="E81" s="102"/>
      <c r="F81" s="102"/>
      <c r="G81" s="102"/>
      <c r="H81" s="102"/>
      <c r="I81" s="102"/>
      <c r="J81" s="102"/>
      <c r="K81" s="102"/>
      <c r="L81" s="102"/>
      <c r="M81" s="102"/>
      <c r="N81" s="102"/>
      <c r="O81" s="102"/>
    </row>
    <row r="82" customFormat="false" ht="16.5" hidden="false" customHeight="true" outlineLevel="0" collapsed="false">
      <c r="A82" s="102"/>
      <c r="B82" s="108" t="s">
        <v>5861</v>
      </c>
      <c r="C82" s="108" t="s">
        <v>5867</v>
      </c>
      <c r="D82" s="108" t="s">
        <v>5875</v>
      </c>
      <c r="E82" s="108" t="s">
        <v>5809</v>
      </c>
      <c r="F82" s="108" t="s">
        <v>5810</v>
      </c>
      <c r="G82" s="108" t="s">
        <v>5811</v>
      </c>
      <c r="H82" s="102"/>
      <c r="I82" s="102"/>
      <c r="J82" s="102"/>
      <c r="K82" s="102"/>
      <c r="L82" s="102"/>
      <c r="M82" s="102"/>
      <c r="N82" s="102"/>
      <c r="O82" s="102"/>
    </row>
    <row r="83" customFormat="false" ht="15" hidden="false" customHeight="true" outlineLevel="0" collapsed="false">
      <c r="A83" s="102"/>
      <c r="B83" s="123" t="n">
        <v>1</v>
      </c>
      <c r="C83" s="133" t="n">
        <f aca="false">H49</f>
        <v>498.846</v>
      </c>
      <c r="D83" s="132" t="str">
        <f aca="false">J49</f>
        <v>OK</v>
      </c>
      <c r="E83" s="133" t="n">
        <f aca="false">$C$75</f>
        <v>500.34912</v>
      </c>
      <c r="F83" s="133" t="n">
        <f aca="false">$C$77</f>
        <v>502.1045848</v>
      </c>
      <c r="G83" s="133" t="n">
        <f aca="false">$C$78</f>
        <v>498.5936552</v>
      </c>
      <c r="H83" s="102"/>
      <c r="I83" s="102"/>
      <c r="J83" s="102"/>
      <c r="K83" s="102"/>
      <c r="L83" s="102"/>
      <c r="M83" s="102"/>
      <c r="N83" s="102"/>
      <c r="O83" s="102"/>
    </row>
    <row r="84" customFormat="false" ht="15" hidden="false" customHeight="true" outlineLevel="0" collapsed="false">
      <c r="A84" s="102"/>
      <c r="B84" s="123" t="n">
        <v>2</v>
      </c>
      <c r="C84" s="133" t="n">
        <f aca="false">H50</f>
        <v>500.282</v>
      </c>
      <c r="D84" s="132" t="str">
        <f aca="false">J50</f>
        <v>OK</v>
      </c>
      <c r="E84" s="133" t="n">
        <f aca="false">$C$75</f>
        <v>500.34912</v>
      </c>
      <c r="F84" s="133" t="n">
        <f aca="false">$C$77</f>
        <v>502.1045848</v>
      </c>
      <c r="G84" s="133" t="n">
        <f aca="false">$C$78</f>
        <v>498.5936552</v>
      </c>
      <c r="H84" s="102"/>
      <c r="I84" s="102"/>
      <c r="J84" s="102"/>
      <c r="K84" s="102"/>
      <c r="L84" s="102"/>
      <c r="M84" s="102"/>
      <c r="N84" s="102"/>
      <c r="O84" s="102"/>
    </row>
    <row r="85" customFormat="false" ht="15" hidden="false" customHeight="true" outlineLevel="0" collapsed="false">
      <c r="A85" s="102"/>
      <c r="B85" s="123" t="n">
        <v>3</v>
      </c>
      <c r="C85" s="133" t="n">
        <f aca="false">H51</f>
        <v>501.134</v>
      </c>
      <c r="D85" s="132" t="str">
        <f aca="false">J51</f>
        <v>OK</v>
      </c>
      <c r="E85" s="133" t="n">
        <f aca="false">$C$75</f>
        <v>500.34912</v>
      </c>
      <c r="F85" s="133" t="n">
        <f aca="false">$C$77</f>
        <v>502.1045848</v>
      </c>
      <c r="G85" s="133" t="n">
        <f aca="false">$C$78</f>
        <v>498.5936552</v>
      </c>
      <c r="H85" s="102"/>
      <c r="I85" s="102"/>
      <c r="J85" s="102"/>
      <c r="K85" s="102"/>
      <c r="L85" s="102"/>
      <c r="M85" s="102"/>
      <c r="N85" s="102"/>
      <c r="O85" s="102"/>
    </row>
    <row r="86" customFormat="false" ht="15" hidden="false" customHeight="true" outlineLevel="0" collapsed="false">
      <c r="A86" s="102"/>
      <c r="B86" s="123" t="n">
        <v>4</v>
      </c>
      <c r="C86" s="133" t="n">
        <f aca="false">H52</f>
        <v>500.272</v>
      </c>
      <c r="D86" s="132" t="str">
        <f aca="false">J52</f>
        <v>OK</v>
      </c>
      <c r="E86" s="133" t="n">
        <f aca="false">$C$75</f>
        <v>500.34912</v>
      </c>
      <c r="F86" s="133" t="n">
        <f aca="false">$C$77</f>
        <v>502.1045848</v>
      </c>
      <c r="G86" s="133" t="n">
        <f aca="false">$C$78</f>
        <v>498.5936552</v>
      </c>
      <c r="H86" s="102"/>
      <c r="I86" s="102"/>
      <c r="J86" s="102"/>
      <c r="K86" s="102"/>
      <c r="L86" s="102"/>
      <c r="M86" s="102"/>
      <c r="N86" s="102"/>
      <c r="O86" s="102"/>
    </row>
    <row r="87" customFormat="false" ht="15" hidden="false" customHeight="true" outlineLevel="0" collapsed="false">
      <c r="A87" s="102"/>
      <c r="B87" s="123" t="n">
        <v>5</v>
      </c>
      <c r="C87" s="133" t="n">
        <f aca="false">H53</f>
        <v>499.714</v>
      </c>
      <c r="D87" s="132" t="str">
        <f aca="false">J53</f>
        <v>OK</v>
      </c>
      <c r="E87" s="133" t="n">
        <f aca="false">$C$75</f>
        <v>500.34912</v>
      </c>
      <c r="F87" s="133" t="n">
        <f aca="false">$C$77</f>
        <v>502.1045848</v>
      </c>
      <c r="G87" s="133" t="n">
        <f aca="false">$C$78</f>
        <v>498.5936552</v>
      </c>
      <c r="H87" s="102"/>
      <c r="I87" s="102"/>
      <c r="J87" s="102"/>
      <c r="K87" s="102"/>
      <c r="L87" s="102"/>
      <c r="M87" s="102"/>
      <c r="N87" s="102"/>
      <c r="O87" s="102"/>
    </row>
    <row r="88" customFormat="false" ht="15" hidden="false" customHeight="true" outlineLevel="0" collapsed="false">
      <c r="A88" s="102"/>
      <c r="B88" s="123" t="n">
        <v>6</v>
      </c>
      <c r="C88" s="133" t="n">
        <f aca="false">H54</f>
        <v>500.086</v>
      </c>
      <c r="D88" s="132" t="str">
        <f aca="false">J54</f>
        <v>OK</v>
      </c>
      <c r="E88" s="133" t="n">
        <f aca="false">$C$75</f>
        <v>500.34912</v>
      </c>
      <c r="F88" s="133" t="n">
        <f aca="false">$C$77</f>
        <v>502.1045848</v>
      </c>
      <c r="G88" s="133" t="n">
        <f aca="false">$C$78</f>
        <v>498.5936552</v>
      </c>
      <c r="H88" s="102"/>
      <c r="I88" s="102"/>
      <c r="J88" s="102"/>
      <c r="K88" s="102"/>
      <c r="L88" s="102"/>
      <c r="M88" s="102"/>
      <c r="N88" s="102"/>
      <c r="O88" s="102"/>
    </row>
    <row r="89" customFormat="false" ht="15" hidden="false" customHeight="true" outlineLevel="0" collapsed="false">
      <c r="A89" s="102"/>
      <c r="B89" s="123" t="n">
        <v>7</v>
      </c>
      <c r="C89" s="133" t="n">
        <f aca="false">H55</f>
        <v>499.81</v>
      </c>
      <c r="D89" s="132" t="str">
        <f aca="false">J55</f>
        <v>OK</v>
      </c>
      <c r="E89" s="133" t="n">
        <f aca="false">$C$75</f>
        <v>500.34912</v>
      </c>
      <c r="F89" s="133" t="n">
        <f aca="false">$C$77</f>
        <v>502.1045848</v>
      </c>
      <c r="G89" s="133" t="n">
        <f aca="false">$C$78</f>
        <v>498.5936552</v>
      </c>
      <c r="H89" s="102"/>
      <c r="I89" s="102"/>
      <c r="J89" s="102"/>
      <c r="K89" s="102"/>
      <c r="L89" s="102"/>
      <c r="M89" s="102"/>
      <c r="N89" s="102"/>
      <c r="O89" s="102"/>
    </row>
    <row r="90" customFormat="false" ht="15" hidden="false" customHeight="true" outlineLevel="0" collapsed="false">
      <c r="A90" s="102"/>
      <c r="B90" s="123" t="n">
        <v>8</v>
      </c>
      <c r="C90" s="133" t="n">
        <f aca="false">H56</f>
        <v>499.52</v>
      </c>
      <c r="D90" s="132" t="str">
        <f aca="false">J56</f>
        <v>OK</v>
      </c>
      <c r="E90" s="133" t="n">
        <f aca="false">$C$75</f>
        <v>500.34912</v>
      </c>
      <c r="F90" s="133" t="n">
        <f aca="false">$C$77</f>
        <v>502.1045848</v>
      </c>
      <c r="G90" s="133" t="n">
        <f aca="false">$C$78</f>
        <v>498.5936552</v>
      </c>
      <c r="H90" s="102"/>
      <c r="I90" s="102"/>
      <c r="J90" s="102"/>
      <c r="K90" s="102"/>
      <c r="L90" s="102"/>
      <c r="M90" s="102"/>
      <c r="N90" s="102"/>
      <c r="O90" s="102"/>
    </row>
    <row r="91" customFormat="false" ht="15" hidden="false" customHeight="true" outlineLevel="0" collapsed="false">
      <c r="A91" s="102"/>
      <c r="B91" s="123" t="n">
        <v>9</v>
      </c>
      <c r="C91" s="133" t="n">
        <f aca="false">H57</f>
        <v>498.71</v>
      </c>
      <c r="D91" s="132" t="str">
        <f aca="false">J57</f>
        <v>OK</v>
      </c>
      <c r="E91" s="133" t="n">
        <f aca="false">$C$75</f>
        <v>500.34912</v>
      </c>
      <c r="F91" s="133" t="n">
        <f aca="false">$C$77</f>
        <v>502.1045848</v>
      </c>
      <c r="G91" s="133" t="n">
        <f aca="false">$C$78</f>
        <v>498.5936552</v>
      </c>
      <c r="H91" s="102"/>
      <c r="I91" s="102"/>
      <c r="J91" s="102"/>
      <c r="K91" s="102"/>
      <c r="L91" s="102"/>
      <c r="M91" s="102"/>
      <c r="N91" s="102"/>
      <c r="O91" s="102"/>
    </row>
    <row r="92" customFormat="false" ht="15" hidden="false" customHeight="true" outlineLevel="0" collapsed="false">
      <c r="A92" s="102"/>
      <c r="B92" s="123" t="n">
        <v>10</v>
      </c>
      <c r="C92" s="133" t="n">
        <f aca="false">H58</f>
        <v>498.74</v>
      </c>
      <c r="D92" s="132" t="str">
        <f aca="false">J58</f>
        <v>OK</v>
      </c>
      <c r="E92" s="133" t="n">
        <f aca="false">$C$75</f>
        <v>500.34912</v>
      </c>
      <c r="F92" s="133" t="n">
        <f aca="false">$C$77</f>
        <v>502.1045848</v>
      </c>
      <c r="G92" s="133" t="n">
        <f aca="false">$C$78</f>
        <v>498.5936552</v>
      </c>
      <c r="H92" s="102"/>
      <c r="I92" s="102"/>
      <c r="J92" s="102"/>
      <c r="K92" s="102"/>
      <c r="L92" s="102"/>
      <c r="M92" s="102"/>
      <c r="N92" s="102"/>
      <c r="O92" s="102"/>
    </row>
    <row r="93" customFormat="false" ht="15" hidden="false" customHeight="true" outlineLevel="0" collapsed="false">
      <c r="A93" s="102"/>
      <c r="B93" s="123" t="n">
        <v>11</v>
      </c>
      <c r="C93" s="133" t="n">
        <f aca="false">H59</f>
        <v>500.14</v>
      </c>
      <c r="D93" s="132" t="str">
        <f aca="false">J59</f>
        <v>OK</v>
      </c>
      <c r="E93" s="133" t="n">
        <f aca="false">$C$75</f>
        <v>500.34912</v>
      </c>
      <c r="F93" s="133" t="n">
        <f aca="false">$C$77</f>
        <v>502.1045848</v>
      </c>
      <c r="G93" s="133" t="n">
        <f aca="false">$C$78</f>
        <v>498.5936552</v>
      </c>
      <c r="H93" s="102"/>
      <c r="I93" s="102"/>
      <c r="J93" s="102"/>
      <c r="K93" s="102"/>
      <c r="L93" s="102"/>
      <c r="M93" s="102"/>
      <c r="N93" s="102"/>
      <c r="O93" s="102"/>
    </row>
    <row r="94" customFormat="false" ht="15" hidden="false" customHeight="true" outlineLevel="0" collapsed="false">
      <c r="A94" s="102"/>
      <c r="B94" s="123" t="n">
        <v>12</v>
      </c>
      <c r="C94" s="133" t="n">
        <f aca="false">H60</f>
        <v>499.9</v>
      </c>
      <c r="D94" s="132" t="str">
        <f aca="false">J60</f>
        <v>OK</v>
      </c>
      <c r="E94" s="133" t="n">
        <f aca="false">$C$75</f>
        <v>500.34912</v>
      </c>
      <c r="F94" s="133" t="n">
        <f aca="false">$C$77</f>
        <v>502.1045848</v>
      </c>
      <c r="G94" s="133" t="n">
        <f aca="false">$C$78</f>
        <v>498.5936552</v>
      </c>
      <c r="H94" s="102"/>
      <c r="I94" s="102"/>
      <c r="J94" s="102"/>
      <c r="K94" s="102"/>
      <c r="L94" s="102"/>
      <c r="M94" s="102"/>
      <c r="N94" s="102"/>
      <c r="O94" s="102"/>
    </row>
    <row r="95" customFormat="false" ht="15" hidden="false" customHeight="true" outlineLevel="0" collapsed="false">
      <c r="A95" s="102"/>
      <c r="B95" s="123" t="n">
        <v>13</v>
      </c>
      <c r="C95" s="133" t="n">
        <f aca="false">H61</f>
        <v>500.312</v>
      </c>
      <c r="D95" s="132" t="str">
        <f aca="false">J61</f>
        <v>OK</v>
      </c>
      <c r="E95" s="133" t="n">
        <f aca="false">$C$75</f>
        <v>500.34912</v>
      </c>
      <c r="F95" s="133" t="n">
        <f aca="false">$C$77</f>
        <v>502.1045848</v>
      </c>
      <c r="G95" s="133" t="n">
        <f aca="false">$C$78</f>
        <v>498.5936552</v>
      </c>
      <c r="H95" s="102"/>
      <c r="I95" s="102"/>
      <c r="J95" s="102"/>
      <c r="K95" s="102"/>
      <c r="L95" s="102"/>
      <c r="M95" s="102"/>
      <c r="N95" s="102"/>
      <c r="O95" s="102"/>
    </row>
    <row r="96" customFormat="false" ht="15" hidden="false" customHeight="true" outlineLevel="0" collapsed="false">
      <c r="A96" s="102"/>
      <c r="B96" s="123" t="n">
        <v>14</v>
      </c>
      <c r="C96" s="133" t="n">
        <f aca="false">H62</f>
        <v>500.608</v>
      </c>
      <c r="D96" s="132" t="str">
        <f aca="false">J62</f>
        <v>OK</v>
      </c>
      <c r="E96" s="133" t="n">
        <f aca="false">$C$75</f>
        <v>500.34912</v>
      </c>
      <c r="F96" s="133" t="n">
        <f aca="false">$C$77</f>
        <v>502.1045848</v>
      </c>
      <c r="G96" s="133" t="n">
        <f aca="false">$C$78</f>
        <v>498.5936552</v>
      </c>
      <c r="H96" s="102"/>
      <c r="I96" s="102"/>
      <c r="J96" s="102"/>
      <c r="K96" s="102"/>
      <c r="L96" s="102"/>
      <c r="M96" s="102"/>
      <c r="N96" s="102"/>
      <c r="O96" s="102"/>
    </row>
    <row r="97" customFormat="false" ht="15" hidden="false" customHeight="true" outlineLevel="0" collapsed="false">
      <c r="A97" s="102"/>
      <c r="B97" s="123" t="n">
        <v>15</v>
      </c>
      <c r="C97" s="133" t="n">
        <f aca="false">H63</f>
        <v>500.502</v>
      </c>
      <c r="D97" s="132" t="str">
        <f aca="false">J63</f>
        <v>OK</v>
      </c>
      <c r="E97" s="133" t="n">
        <f aca="false">$C$75</f>
        <v>500.34912</v>
      </c>
      <c r="F97" s="133" t="n">
        <f aca="false">$C$77</f>
        <v>502.1045848</v>
      </c>
      <c r="G97" s="133" t="n">
        <f aca="false">$C$78</f>
        <v>498.5936552</v>
      </c>
      <c r="H97" s="102"/>
      <c r="I97" s="102"/>
      <c r="J97" s="102"/>
      <c r="K97" s="102"/>
      <c r="L97" s="102"/>
      <c r="M97" s="102"/>
      <c r="N97" s="102"/>
      <c r="O97" s="102"/>
    </row>
    <row r="98" customFormat="false" ht="15" hidden="false" customHeight="true" outlineLevel="0" collapsed="false">
      <c r="A98" s="102"/>
      <c r="B98" s="123" t="n">
        <v>16</v>
      </c>
      <c r="C98" s="133" t="n">
        <f aca="false">H64</f>
        <v>500.07</v>
      </c>
      <c r="D98" s="132" t="str">
        <f aca="false">J64</f>
        <v>OK</v>
      </c>
      <c r="E98" s="133" t="n">
        <f aca="false">$C$75</f>
        <v>500.34912</v>
      </c>
      <c r="F98" s="133" t="n">
        <f aca="false">$C$77</f>
        <v>502.1045848</v>
      </c>
      <c r="G98" s="133" t="n">
        <f aca="false">$C$78</f>
        <v>498.5936552</v>
      </c>
      <c r="H98" s="102"/>
      <c r="I98" s="102"/>
      <c r="J98" s="102"/>
      <c r="K98" s="102"/>
      <c r="L98" s="102"/>
      <c r="M98" s="102"/>
      <c r="N98" s="102"/>
      <c r="O98" s="102"/>
    </row>
    <row r="99" customFormat="false" ht="15" hidden="false" customHeight="true" outlineLevel="0" collapsed="false">
      <c r="A99" s="102"/>
      <c r="B99" s="123" t="n">
        <v>17</v>
      </c>
      <c r="C99" s="133" t="n">
        <f aca="false">H65</f>
        <v>500.12</v>
      </c>
      <c r="D99" s="132" t="str">
        <f aca="false">J65</f>
        <v>OK</v>
      </c>
      <c r="E99" s="133" t="n">
        <f aca="false">$C$75</f>
        <v>500.34912</v>
      </c>
      <c r="F99" s="133" t="n">
        <f aca="false">$C$77</f>
        <v>502.1045848</v>
      </c>
      <c r="G99" s="133" t="n">
        <f aca="false">$C$78</f>
        <v>498.5936552</v>
      </c>
      <c r="H99" s="102"/>
      <c r="I99" s="102"/>
      <c r="J99" s="102"/>
      <c r="K99" s="102"/>
      <c r="L99" s="102"/>
      <c r="M99" s="102"/>
      <c r="N99" s="102"/>
      <c r="O99" s="102"/>
    </row>
    <row r="100" customFormat="false" ht="15" hidden="false" customHeight="true" outlineLevel="0" collapsed="false">
      <c r="A100" s="102"/>
      <c r="B100" s="123" t="n">
        <v>18</v>
      </c>
      <c r="C100" s="133" t="n">
        <f aca="false">H66</f>
        <v>500.108</v>
      </c>
      <c r="D100" s="132" t="str">
        <f aca="false">J66</f>
        <v>OK</v>
      </c>
      <c r="E100" s="133" t="n">
        <f aca="false">$C$75</f>
        <v>500.34912</v>
      </c>
      <c r="F100" s="133" t="n">
        <f aca="false">$C$77</f>
        <v>502.1045848</v>
      </c>
      <c r="G100" s="133" t="n">
        <f aca="false">$C$78</f>
        <v>498.5936552</v>
      </c>
      <c r="H100" s="102"/>
      <c r="I100" s="102"/>
      <c r="J100" s="102"/>
      <c r="K100" s="102"/>
      <c r="L100" s="102"/>
      <c r="M100" s="102"/>
      <c r="N100" s="102"/>
      <c r="O100" s="102"/>
    </row>
    <row r="101" customFormat="false" ht="15" hidden="false" customHeight="true" outlineLevel="0" collapsed="false">
      <c r="A101" s="102"/>
      <c r="B101" s="123" t="n">
        <v>19</v>
      </c>
      <c r="C101" s="133" t="n">
        <f aca="false">H67</f>
        <v>498.804</v>
      </c>
      <c r="D101" s="132" t="str">
        <f aca="false">J67</f>
        <v>OK</v>
      </c>
      <c r="E101" s="133" t="n">
        <f aca="false">$C$75</f>
        <v>500.34912</v>
      </c>
      <c r="F101" s="133" t="n">
        <f aca="false">$C$77</f>
        <v>502.1045848</v>
      </c>
      <c r="G101" s="133" t="n">
        <f aca="false">$C$78</f>
        <v>498.5936552</v>
      </c>
      <c r="H101" s="102"/>
      <c r="I101" s="102"/>
      <c r="J101" s="102"/>
      <c r="K101" s="102"/>
      <c r="L101" s="102"/>
      <c r="M101" s="102"/>
      <c r="N101" s="102"/>
      <c r="O101" s="102"/>
    </row>
    <row r="102" customFormat="false" ht="15" hidden="false" customHeight="true" outlineLevel="0" collapsed="false">
      <c r="A102" s="102"/>
      <c r="B102" s="123" t="n">
        <v>20</v>
      </c>
      <c r="C102" s="133" t="n">
        <f aca="false">H68</f>
        <v>502.124</v>
      </c>
      <c r="D102" s="132" t="str">
        <f aca="false">J68</f>
        <v>OOC high</v>
      </c>
      <c r="E102" s="133" t="n">
        <f aca="false">$C$75</f>
        <v>500.34912</v>
      </c>
      <c r="F102" s="133" t="n">
        <f aca="false">$C$77</f>
        <v>502.1045848</v>
      </c>
      <c r="G102" s="133" t="n">
        <f aca="false">$C$78</f>
        <v>498.5936552</v>
      </c>
      <c r="H102" s="102"/>
      <c r="I102" s="102"/>
      <c r="J102" s="102"/>
      <c r="K102" s="102"/>
      <c r="L102" s="102"/>
      <c r="M102" s="102"/>
      <c r="N102" s="102"/>
      <c r="O102" s="102"/>
    </row>
    <row r="103" customFormat="false" ht="15" hidden="false" customHeight="true" outlineLevel="0" collapsed="false">
      <c r="A103" s="102"/>
      <c r="B103" s="123" t="n">
        <v>21</v>
      </c>
      <c r="C103" s="133" t="n">
        <f aca="false">H69</f>
        <v>501.516</v>
      </c>
      <c r="D103" s="132" t="str">
        <f aca="false">J69</f>
        <v>OK</v>
      </c>
      <c r="E103" s="133" t="n">
        <f aca="false">$C$75</f>
        <v>500.34912</v>
      </c>
      <c r="F103" s="133" t="n">
        <f aca="false">$C$77</f>
        <v>502.1045848</v>
      </c>
      <c r="G103" s="133" t="n">
        <f aca="false">$C$78</f>
        <v>498.5936552</v>
      </c>
      <c r="H103" s="102"/>
      <c r="I103" s="102"/>
      <c r="J103" s="102"/>
      <c r="K103" s="102"/>
      <c r="L103" s="102"/>
      <c r="M103" s="102"/>
      <c r="N103" s="102"/>
      <c r="O103" s="102"/>
    </row>
    <row r="104" customFormat="false" ht="15" hidden="false" customHeight="true" outlineLevel="0" collapsed="false">
      <c r="A104" s="102"/>
      <c r="B104" s="123" t="n">
        <v>22</v>
      </c>
      <c r="C104" s="133" t="n">
        <f aca="false">H70</f>
        <v>502.61</v>
      </c>
      <c r="D104" s="132" t="str">
        <f aca="false">J70</f>
        <v>OOC high</v>
      </c>
      <c r="E104" s="133" t="n">
        <f aca="false">$C$75</f>
        <v>500.34912</v>
      </c>
      <c r="F104" s="133" t="n">
        <f aca="false">$C$77</f>
        <v>502.1045848</v>
      </c>
      <c r="G104" s="133" t="n">
        <f aca="false">$C$78</f>
        <v>498.5936552</v>
      </c>
      <c r="H104" s="102"/>
      <c r="I104" s="102"/>
      <c r="J104" s="102"/>
      <c r="K104" s="102"/>
      <c r="L104" s="102"/>
      <c r="M104" s="102"/>
      <c r="N104" s="102"/>
      <c r="O104" s="102"/>
    </row>
    <row r="105" customFormat="false" ht="15" hidden="false" customHeight="true" outlineLevel="0" collapsed="false">
      <c r="A105" s="102"/>
      <c r="B105" s="123" t="n">
        <v>23</v>
      </c>
      <c r="C105" s="133" t="n">
        <f aca="false">H71</f>
        <v>501.8</v>
      </c>
      <c r="D105" s="132" t="str">
        <f aca="false">J71</f>
        <v>OK</v>
      </c>
      <c r="E105" s="133" t="n">
        <f aca="false">$C$75</f>
        <v>500.34912</v>
      </c>
      <c r="F105" s="133" t="n">
        <f aca="false">$C$77</f>
        <v>502.1045848</v>
      </c>
      <c r="G105" s="133" t="n">
        <f aca="false">$C$78</f>
        <v>498.5936552</v>
      </c>
      <c r="H105" s="102"/>
      <c r="I105" s="102"/>
      <c r="J105" s="102"/>
      <c r="K105" s="102"/>
      <c r="L105" s="102"/>
      <c r="M105" s="102"/>
      <c r="N105" s="102"/>
      <c r="O105" s="102"/>
    </row>
    <row r="106" customFormat="false" ht="15" hidden="false" customHeight="true" outlineLevel="0" collapsed="false">
      <c r="A106" s="102"/>
      <c r="B106" s="123" t="n">
        <v>24</v>
      </c>
      <c r="C106" s="133" t="n">
        <f aca="false">H72</f>
        <v>501.066</v>
      </c>
      <c r="D106" s="132" t="str">
        <f aca="false">J72</f>
        <v>OK</v>
      </c>
      <c r="E106" s="133" t="n">
        <f aca="false">$C$75</f>
        <v>500.34912</v>
      </c>
      <c r="F106" s="133" t="n">
        <f aca="false">$C$77</f>
        <v>502.1045848</v>
      </c>
      <c r="G106" s="133" t="n">
        <f aca="false">$C$78</f>
        <v>498.5936552</v>
      </c>
      <c r="H106" s="102"/>
      <c r="I106" s="102"/>
      <c r="J106" s="102"/>
      <c r="K106" s="102"/>
      <c r="L106" s="102"/>
      <c r="M106" s="102"/>
      <c r="N106" s="102"/>
      <c r="O106" s="102"/>
    </row>
    <row r="107" customFormat="false" ht="15" hidden="false" customHeight="true" outlineLevel="0" collapsed="false">
      <c r="A107" s="102"/>
      <c r="B107" s="123" t="n">
        <v>25</v>
      </c>
      <c r="C107" s="133" t="n">
        <f aca="false">H73</f>
        <v>501.934</v>
      </c>
      <c r="D107" s="132" t="str">
        <f aca="false">J73</f>
        <v>OK</v>
      </c>
      <c r="E107" s="133" t="n">
        <f aca="false">$C$75</f>
        <v>500.34912</v>
      </c>
      <c r="F107" s="133" t="n">
        <f aca="false">$C$77</f>
        <v>502.1045848</v>
      </c>
      <c r="G107" s="133" t="n">
        <f aca="false">$C$78</f>
        <v>498.5936552</v>
      </c>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 hidden="false" customHeight="true" outlineLevel="0" collapsed="false">
      <c r="A120" s="102"/>
      <c r="B120" s="102"/>
      <c r="C120" s="102"/>
      <c r="D120" s="102"/>
      <c r="E120" s="102"/>
      <c r="F120" s="102"/>
      <c r="G120" s="102"/>
      <c r="H120" s="102"/>
      <c r="I120" s="102"/>
      <c r="J120" s="102"/>
      <c r="K120" s="102"/>
      <c r="L120" s="102"/>
      <c r="M120" s="102"/>
      <c r="N120" s="102"/>
      <c r="O120" s="102"/>
    </row>
    <row r="121" customFormat="false" ht="15" hidden="false" customHeight="true" outlineLevel="0" collapsed="false">
      <c r="A121" s="102"/>
      <c r="B121" s="102"/>
      <c r="C121" s="102"/>
      <c r="D121" s="102"/>
      <c r="E121" s="102"/>
      <c r="F121" s="102"/>
      <c r="G121" s="102"/>
      <c r="H121" s="102"/>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 hidden="false" customHeight="true" outlineLevel="0" collapsed="false">
      <c r="A124" s="102"/>
      <c r="B124" s="102"/>
      <c r="C124" s="102"/>
      <c r="D124" s="102"/>
      <c r="E124" s="102"/>
      <c r="F124" s="102"/>
      <c r="G124" s="102"/>
      <c r="H124" s="102"/>
      <c r="I124" s="102"/>
      <c r="J124" s="102"/>
      <c r="K124" s="102"/>
      <c r="L124" s="102"/>
      <c r="M124" s="102"/>
      <c r="N124" s="102"/>
      <c r="O124" s="102"/>
    </row>
    <row r="125" customFormat="false" ht="15" hidden="false" customHeight="true" outlineLevel="0" collapsed="false">
      <c r="A125" s="102"/>
      <c r="B125" s="102"/>
      <c r="C125" s="102"/>
      <c r="D125" s="102"/>
      <c r="E125" s="102"/>
      <c r="F125" s="102"/>
      <c r="G125" s="102"/>
      <c r="H125" s="102"/>
      <c r="I125" s="102"/>
      <c r="J125" s="102"/>
      <c r="K125" s="102"/>
      <c r="L125" s="102"/>
      <c r="M125" s="102"/>
      <c r="N125" s="102"/>
      <c r="O125" s="102"/>
    </row>
    <row r="126" customFormat="false" ht="15" hidden="false" customHeight="true" outlineLevel="0" collapsed="false">
      <c r="A126" s="102"/>
      <c r="B126" s="102"/>
      <c r="C126" s="102"/>
      <c r="D126" s="102"/>
      <c r="E126" s="102"/>
      <c r="F126" s="102"/>
      <c r="G126" s="102"/>
      <c r="H126" s="102"/>
      <c r="I126" s="102"/>
      <c r="J126" s="102"/>
      <c r="K126" s="102"/>
      <c r="L126" s="102"/>
      <c r="M126" s="102"/>
      <c r="N126" s="102"/>
      <c r="O126" s="102"/>
    </row>
    <row r="127" customFormat="false" ht="15.75" hidden="false" customHeight="true" outlineLevel="0" collapsed="false">
      <c r="A127" s="102"/>
      <c r="B127" s="103" t="s">
        <v>1493</v>
      </c>
      <c r="C127" s="104"/>
      <c r="D127" s="104"/>
      <c r="E127" s="104"/>
      <c r="F127" s="104"/>
      <c r="G127" s="104"/>
      <c r="H127" s="104"/>
      <c r="I127" s="104"/>
      <c r="J127" s="104"/>
      <c r="K127" s="104"/>
      <c r="L127" s="102"/>
      <c r="M127" s="102"/>
      <c r="N127" s="102"/>
      <c r="O127" s="102"/>
    </row>
    <row r="128" customFormat="false" ht="33.75" hidden="false" customHeight="true" outlineLevel="0" collapsed="false">
      <c r="A128" s="102"/>
      <c r="B128" s="105" t="s">
        <v>1494</v>
      </c>
      <c r="C128" s="117" t="str">
        <f aca="false">IF(COUNTIF(J49:J73,"OK")=(73-49+1),"All subgroups inside the Xbar limits (Xbarbar = "&amp;TEXT(C75,"0.00")&amp;" ml) - process mean appears stable.","At least one subgroup outside the Xbar limits. Check the R-chart flags first, then investigate the specific subgroup(s) before adjusting the process.")</f>
        <v>At least one subgroup outside the Xbar limits. Check the R-chart flags first, then investigate the specific subgroup(s) before adjusting the process.</v>
      </c>
      <c r="D128" s="117"/>
      <c r="E128" s="117"/>
      <c r="F128" s="117"/>
      <c r="G128" s="117"/>
      <c r="H128" s="102"/>
      <c r="I128" s="102"/>
      <c r="J128" s="102"/>
      <c r="K128" s="102"/>
      <c r="L128" s="102"/>
      <c r="M128" s="102"/>
      <c r="N128" s="102"/>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6.5" hidden="false" customHeight="true" outlineLevel="0" collapsed="false">
      <c r="A130" s="102"/>
      <c r="B130" s="108" t="s">
        <v>1495</v>
      </c>
      <c r="C130" s="108" t="s">
        <v>1496</v>
      </c>
      <c r="D130" s="108" t="s">
        <v>1497</v>
      </c>
      <c r="E130" s="102"/>
      <c r="F130" s="102"/>
      <c r="G130" s="102"/>
      <c r="H130" s="102"/>
      <c r="I130" s="102"/>
      <c r="J130" s="102"/>
      <c r="K130" s="102"/>
      <c r="L130" s="102"/>
      <c r="M130" s="102"/>
      <c r="N130" s="102"/>
      <c r="O130" s="102"/>
    </row>
    <row r="131" customFormat="false" ht="30.75" hidden="false" customHeight="true" outlineLevel="0" collapsed="false">
      <c r="A131" s="102"/>
      <c r="B131" s="110" t="s">
        <v>5876</v>
      </c>
      <c r="C131" s="111" t="s">
        <v>5877</v>
      </c>
      <c r="D131" s="15" t="s">
        <v>5878</v>
      </c>
      <c r="E131" s="102"/>
      <c r="F131" s="102"/>
      <c r="G131" s="102"/>
      <c r="H131" s="102"/>
      <c r="I131" s="102"/>
      <c r="J131" s="102"/>
      <c r="K131" s="102"/>
      <c r="L131" s="102"/>
      <c r="M131" s="102"/>
      <c r="N131" s="102"/>
      <c r="O131" s="102"/>
    </row>
    <row r="132" customFormat="false" ht="30.75" hidden="false" customHeight="true" outlineLevel="0" collapsed="false">
      <c r="A132" s="102"/>
      <c r="B132" s="110" t="s">
        <v>5879</v>
      </c>
      <c r="C132" s="111" t="s">
        <v>5880</v>
      </c>
      <c r="D132" s="15" t="s">
        <v>5881</v>
      </c>
      <c r="E132" s="102"/>
      <c r="F132" s="102"/>
      <c r="G132" s="102"/>
      <c r="H132" s="102"/>
      <c r="I132" s="102"/>
      <c r="J132" s="102"/>
      <c r="K132" s="102"/>
      <c r="L132" s="102"/>
      <c r="M132" s="102"/>
      <c r="N132" s="102"/>
      <c r="O132" s="102"/>
    </row>
    <row r="133" customFormat="false" ht="30.75" hidden="false" customHeight="true" outlineLevel="0" collapsed="false">
      <c r="A133" s="102"/>
      <c r="B133" s="110" t="s">
        <v>5882</v>
      </c>
      <c r="C133" s="111" t="s">
        <v>5883</v>
      </c>
      <c r="D133" s="15" t="s">
        <v>5884</v>
      </c>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5" t="s">
        <v>1507</v>
      </c>
      <c r="C135" s="102"/>
      <c r="D135" s="102"/>
      <c r="E135" s="102"/>
      <c r="F135" s="102"/>
      <c r="G135" s="102"/>
      <c r="H135" s="102"/>
      <c r="I135" s="102"/>
      <c r="J135" s="102"/>
      <c r="K135" s="102"/>
      <c r="L135" s="102"/>
      <c r="M135" s="102"/>
      <c r="N135" s="102"/>
      <c r="O135" s="102"/>
    </row>
    <row r="136" customFormat="false" ht="17.25" hidden="false" customHeight="true" outlineLevel="0" collapsed="false">
      <c r="A136" s="102"/>
      <c r="B136" s="106" t="s">
        <v>5885</v>
      </c>
      <c r="C136" s="106"/>
      <c r="D136" s="106"/>
      <c r="E136" s="106"/>
      <c r="F136" s="106"/>
      <c r="G136" s="106"/>
      <c r="H136" s="106"/>
      <c r="I136" s="102"/>
      <c r="J136" s="102"/>
      <c r="K136" s="102"/>
      <c r="L136" s="102"/>
      <c r="M136" s="102"/>
      <c r="N136" s="102"/>
      <c r="O136" s="102"/>
    </row>
    <row r="137" customFormat="false" ht="17.25" hidden="false" customHeight="true" outlineLevel="0" collapsed="false">
      <c r="A137" s="102"/>
      <c r="B137" s="106" t="s">
        <v>5886</v>
      </c>
      <c r="C137" s="106"/>
      <c r="D137" s="106"/>
      <c r="E137" s="106"/>
      <c r="F137" s="106"/>
      <c r="G137" s="106"/>
      <c r="H137" s="106"/>
      <c r="I137" s="102"/>
      <c r="J137" s="102"/>
      <c r="K137" s="102"/>
      <c r="L137" s="102"/>
      <c r="M137" s="102"/>
      <c r="N137" s="102"/>
      <c r="O137" s="102"/>
    </row>
    <row r="138" customFormat="false" ht="17.25" hidden="false" customHeight="true" outlineLevel="0" collapsed="false">
      <c r="A138" s="102"/>
      <c r="B138" s="106" t="s">
        <v>5887</v>
      </c>
      <c r="C138" s="106"/>
      <c r="D138" s="106"/>
      <c r="E138" s="106"/>
      <c r="F138" s="106"/>
      <c r="G138" s="106"/>
      <c r="H138" s="106"/>
      <c r="I138" s="102"/>
      <c r="J138" s="102"/>
      <c r="K138" s="102"/>
      <c r="L138" s="102"/>
      <c r="M138" s="102"/>
      <c r="N138" s="102"/>
      <c r="O138" s="102"/>
    </row>
    <row r="139" customFormat="false" ht="17.25" hidden="false" customHeight="true" outlineLevel="0" collapsed="false">
      <c r="A139" s="102"/>
      <c r="B139" s="106" t="s">
        <v>5888</v>
      </c>
      <c r="C139" s="106"/>
      <c r="D139" s="106"/>
      <c r="E139" s="106"/>
      <c r="F139" s="106"/>
      <c r="G139" s="106"/>
      <c r="H139" s="106"/>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75" hidden="false" customHeight="true" outlineLevel="0" collapsed="false">
      <c r="A141" s="102"/>
      <c r="B141" s="103" t="s">
        <v>1513</v>
      </c>
      <c r="C141" s="104"/>
      <c r="D141" s="104"/>
      <c r="E141" s="104"/>
      <c r="F141" s="104"/>
      <c r="G141" s="104"/>
      <c r="H141" s="104"/>
      <c r="I141" s="104"/>
      <c r="J141" s="104"/>
      <c r="K141" s="104"/>
      <c r="L141" s="102"/>
      <c r="M141" s="102"/>
      <c r="N141" s="102"/>
      <c r="O141" s="102"/>
    </row>
    <row r="142" customFormat="false" ht="17.25" hidden="false" customHeight="true" outlineLevel="0" collapsed="false">
      <c r="A142" s="102"/>
      <c r="B142" s="118" t="s">
        <v>1514</v>
      </c>
      <c r="C142" s="118"/>
      <c r="D142" s="118"/>
      <c r="E142" s="118"/>
      <c r="F142" s="102"/>
      <c r="G142" s="102"/>
      <c r="H142" s="102"/>
      <c r="I142" s="102"/>
      <c r="J142" s="102"/>
      <c r="K142" s="102"/>
      <c r="L142" s="102"/>
      <c r="M142" s="102"/>
      <c r="N142" s="119" t="s">
        <v>1515</v>
      </c>
      <c r="O142" s="102"/>
    </row>
    <row r="143" customFormat="false" ht="44.25" hidden="false" customHeight="true" outlineLevel="0" collapsed="false">
      <c r="A143" s="102"/>
      <c r="B143" s="106" t="s">
        <v>5889</v>
      </c>
      <c r="C143" s="106"/>
      <c r="D143" s="106"/>
      <c r="E143" s="106"/>
      <c r="F143" s="102"/>
      <c r="G143" s="102"/>
      <c r="H143" s="102"/>
      <c r="I143" s="102"/>
      <c r="J143" s="102"/>
      <c r="K143" s="102"/>
      <c r="L143" s="102"/>
      <c r="M143" s="102"/>
      <c r="N143" s="120" t="s">
        <v>5890</v>
      </c>
      <c r="O143" s="102"/>
    </row>
    <row r="144" customFormat="false" ht="44.25" hidden="false" customHeight="true" outlineLevel="0" collapsed="false">
      <c r="A144" s="102"/>
      <c r="B144" s="106" t="s">
        <v>5891</v>
      </c>
      <c r="C144" s="106"/>
      <c r="D144" s="106"/>
      <c r="E144" s="106"/>
      <c r="F144" s="102"/>
      <c r="G144" s="102"/>
      <c r="H144" s="102"/>
      <c r="I144" s="102"/>
      <c r="J144" s="102"/>
      <c r="K144" s="102"/>
      <c r="L144" s="102"/>
      <c r="M144" s="102"/>
      <c r="N144" s="120" t="s">
        <v>5892</v>
      </c>
      <c r="O144" s="102"/>
    </row>
    <row r="145" customFormat="false" ht="44.25" hidden="false" customHeight="true" outlineLevel="0" collapsed="false">
      <c r="A145" s="102"/>
      <c r="B145" s="106" t="s">
        <v>5893</v>
      </c>
      <c r="C145" s="106"/>
      <c r="D145" s="106"/>
      <c r="E145" s="106"/>
      <c r="F145" s="102"/>
      <c r="G145" s="102"/>
      <c r="H145" s="102"/>
      <c r="I145" s="102"/>
      <c r="J145" s="102"/>
      <c r="K145" s="102"/>
      <c r="L145" s="102"/>
      <c r="M145" s="102"/>
      <c r="N145" s="120" t="s">
        <v>5894</v>
      </c>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75" hidden="false" customHeight="true" outlineLevel="0" collapsed="false">
      <c r="A147" s="102"/>
      <c r="B147" s="103" t="s">
        <v>1522</v>
      </c>
      <c r="C147" s="104"/>
      <c r="D147" s="104"/>
      <c r="E147" s="104"/>
      <c r="F147" s="104"/>
      <c r="G147" s="104"/>
      <c r="H147" s="104"/>
      <c r="I147" s="104"/>
      <c r="J147" s="104"/>
      <c r="K147" s="104"/>
      <c r="L147" s="102"/>
      <c r="M147" s="102"/>
      <c r="N147" s="102"/>
      <c r="O147" s="102"/>
    </row>
    <row r="148" customFormat="false" ht="16.5" hidden="false" customHeight="true" outlineLevel="0" collapsed="false">
      <c r="A148" s="102"/>
      <c r="B148" s="108" t="s">
        <v>1523</v>
      </c>
      <c r="C148" s="108" t="s">
        <v>1524</v>
      </c>
      <c r="D148" s="108" t="s">
        <v>1615</v>
      </c>
      <c r="E148" s="102"/>
      <c r="F148" s="102"/>
      <c r="G148" s="102"/>
      <c r="H148" s="102"/>
      <c r="I148" s="102"/>
      <c r="J148" s="102"/>
      <c r="K148" s="102"/>
      <c r="L148" s="102"/>
      <c r="M148" s="102"/>
      <c r="N148" s="102"/>
      <c r="O148" s="102"/>
    </row>
    <row r="149" customFormat="false" ht="15" hidden="false" customHeight="true" outlineLevel="0" collapsed="false">
      <c r="A149" s="102"/>
      <c r="B149" s="121" t="s">
        <v>1060</v>
      </c>
      <c r="C149" s="121" t="s">
        <v>5895</v>
      </c>
      <c r="D149" s="121" t="s">
        <v>1033</v>
      </c>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29">
    <mergeCell ref="B2:J2"/>
    <mergeCell ref="D3:E3"/>
    <mergeCell ref="C6:G6"/>
    <mergeCell ref="C7:G7"/>
    <mergeCell ref="C8:G8"/>
    <mergeCell ref="B11:H13"/>
    <mergeCell ref="B14:H16"/>
    <mergeCell ref="B17:H19"/>
    <mergeCell ref="B22:D22"/>
    <mergeCell ref="E22:F22"/>
    <mergeCell ref="B23:D23"/>
    <mergeCell ref="E23:F23"/>
    <mergeCell ref="B24:D24"/>
    <mergeCell ref="E24:F24"/>
    <mergeCell ref="B25:D25"/>
    <mergeCell ref="E25:F25"/>
    <mergeCell ref="B33:H35"/>
    <mergeCell ref="B36:H37"/>
    <mergeCell ref="B45:H45"/>
    <mergeCell ref="C46:D46"/>
    <mergeCell ref="C128:G128"/>
    <mergeCell ref="B136:H136"/>
    <mergeCell ref="B137:H137"/>
    <mergeCell ref="B138:H138"/>
    <mergeCell ref="B139:H139"/>
    <mergeCell ref="B142:E142"/>
    <mergeCell ref="B143:E143"/>
    <mergeCell ref="B144:E144"/>
    <mergeCell ref="B145:E145"/>
  </mergeCells>
  <hyperlinks>
    <hyperlink ref="B3" location="'N-03 Index DMAIC'!A1" display="← Back to Index"/>
    <hyperlink ref="E28" location="'E-05 Sampling Subgroups'!A1" display="E-05  Sampling Strategies and Rational Subgrouping"/>
    <hyperlink ref="E29" location="'E-47 Common vs Special Cause'!A1" display="E-47  Common Cause vs Special Cause Variation"/>
    <hyperlink ref="E30" location="'E-20 Sample Size'!A1" display="E-20  Sample Size Determination"/>
    <hyperlink ref="B149" location="'E-49 I-MR Chart'!A1" display="E-49  Individuals and Moving Range Chart"/>
    <hyperlink ref="C149" location="'E-51 Xbar-S Chart'!A1" display="E-51  Xbar-S Chart"/>
    <hyperlink ref="D149" location="'E-57 Process Capability'!A1" display="E-57  Cp, Cpk, Pp, Ppk and Cp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P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5896</v>
      </c>
      <c r="C2" s="3"/>
      <c r="D2" s="3"/>
      <c r="E2" s="3"/>
      <c r="F2" s="3"/>
      <c r="G2" s="3"/>
      <c r="H2" s="3"/>
      <c r="I2" s="3"/>
      <c r="J2" s="3"/>
      <c r="K2" s="141" t="s">
        <v>5631</v>
      </c>
    </row>
    <row r="3" customFormat="false" ht="28.5" hidden="false" customHeight="true" outlineLevel="0" collapsed="false">
      <c r="B3" s="5" t="s">
        <v>3</v>
      </c>
      <c r="D3" s="6" t="s">
        <v>5897</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5898</v>
      </c>
      <c r="D6" s="106"/>
      <c r="E6" s="106"/>
      <c r="F6" s="106"/>
      <c r="G6" s="106"/>
      <c r="H6" s="102"/>
      <c r="I6" s="102"/>
      <c r="J6" s="102"/>
      <c r="K6" s="102"/>
      <c r="L6" s="102"/>
      <c r="M6" s="102"/>
      <c r="N6" s="102"/>
      <c r="O6" s="102"/>
    </row>
    <row r="7" customFormat="false" ht="31.5" hidden="false" customHeight="true" outlineLevel="0" collapsed="false">
      <c r="A7" s="102"/>
      <c r="B7" s="105" t="s">
        <v>1394</v>
      </c>
      <c r="C7" s="106" t="s">
        <v>5899</v>
      </c>
      <c r="D7" s="106"/>
      <c r="E7" s="106"/>
      <c r="F7" s="106"/>
      <c r="G7" s="106"/>
      <c r="H7" s="102"/>
      <c r="I7" s="102"/>
      <c r="J7" s="102"/>
      <c r="K7" s="102"/>
      <c r="L7" s="102"/>
      <c r="M7" s="102"/>
      <c r="N7" s="102"/>
      <c r="O7" s="102"/>
    </row>
    <row r="8" customFormat="false" ht="17.25" hidden="false" customHeight="true" outlineLevel="0" collapsed="false">
      <c r="A8" s="102"/>
      <c r="B8" s="105" t="s">
        <v>1396</v>
      </c>
      <c r="C8" s="106" t="s">
        <v>5900</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0.5" hidden="false" customHeight="true" outlineLevel="0" collapsed="false">
      <c r="A11" s="102"/>
      <c r="B11" s="106" t="s">
        <v>5901</v>
      </c>
      <c r="C11" s="106"/>
      <c r="D11" s="106"/>
      <c r="E11" s="106"/>
      <c r="F11" s="106"/>
      <c r="G11" s="106"/>
      <c r="H11" s="106"/>
      <c r="I11" s="102"/>
      <c r="J11" s="102"/>
      <c r="K11" s="102"/>
      <c r="L11" s="102"/>
      <c r="M11" s="102"/>
      <c r="N11" s="102"/>
      <c r="O11" s="102"/>
    </row>
    <row r="12" customFormat="false" ht="10.5" hidden="false" customHeight="true" outlineLevel="0" collapsed="false">
      <c r="A12" s="102"/>
      <c r="B12" s="106"/>
      <c r="C12" s="106"/>
      <c r="D12" s="106"/>
      <c r="E12" s="106"/>
      <c r="F12" s="106"/>
      <c r="G12" s="106"/>
      <c r="H12" s="106"/>
      <c r="I12" s="102"/>
      <c r="J12" s="102"/>
      <c r="K12" s="102"/>
      <c r="L12" s="102"/>
      <c r="M12" s="102"/>
      <c r="N12" s="102"/>
      <c r="O12" s="102"/>
    </row>
    <row r="13" customFormat="false" ht="10.5" hidden="false" customHeight="true" outlineLevel="0" collapsed="false">
      <c r="A13" s="102"/>
      <c r="B13" s="106"/>
      <c r="C13" s="106"/>
      <c r="D13" s="106"/>
      <c r="E13" s="106"/>
      <c r="F13" s="106"/>
      <c r="G13" s="106"/>
      <c r="H13" s="106"/>
      <c r="I13" s="102"/>
      <c r="J13" s="102"/>
      <c r="K13" s="102"/>
      <c r="L13" s="102"/>
      <c r="M13" s="102"/>
      <c r="N13" s="102"/>
      <c r="O13" s="102"/>
    </row>
    <row r="14" customFormat="false" ht="10.5" hidden="false" customHeight="true" outlineLevel="0" collapsed="false">
      <c r="A14" s="102"/>
      <c r="B14" s="106" t="s">
        <v>5902</v>
      </c>
      <c r="C14" s="106"/>
      <c r="D14" s="106"/>
      <c r="E14" s="106"/>
      <c r="F14" s="106"/>
      <c r="G14" s="106"/>
      <c r="H14" s="106"/>
      <c r="I14" s="102"/>
      <c r="J14" s="102"/>
      <c r="K14" s="102"/>
      <c r="L14" s="102"/>
      <c r="M14" s="102"/>
      <c r="N14" s="102"/>
      <c r="O14" s="102"/>
    </row>
    <row r="15" customFormat="false" ht="10.5" hidden="false" customHeight="true" outlineLevel="0" collapsed="false">
      <c r="A15" s="102"/>
      <c r="B15" s="106"/>
      <c r="C15" s="106"/>
      <c r="D15" s="106"/>
      <c r="E15" s="106"/>
      <c r="F15" s="106"/>
      <c r="G15" s="106"/>
      <c r="H15" s="106"/>
      <c r="I15" s="102"/>
      <c r="J15" s="102"/>
      <c r="K15" s="102"/>
      <c r="L15" s="102"/>
      <c r="M15" s="102"/>
      <c r="N15" s="102"/>
      <c r="O15" s="102"/>
    </row>
    <row r="16" customFormat="false" ht="10.5" hidden="false" customHeight="true" outlineLevel="0" collapsed="false">
      <c r="A16" s="102"/>
      <c r="B16" s="106"/>
      <c r="C16" s="106"/>
      <c r="D16" s="106"/>
      <c r="E16" s="106"/>
      <c r="F16" s="106"/>
      <c r="G16" s="106"/>
      <c r="H16" s="106"/>
      <c r="I16" s="102"/>
      <c r="J16" s="102"/>
      <c r="K16" s="102"/>
      <c r="L16" s="102"/>
      <c r="M16" s="102"/>
      <c r="N16" s="102"/>
      <c r="O16" s="102"/>
    </row>
    <row r="17" customFormat="false" ht="15" hidden="false" customHeight="true" outlineLevel="0" collapsed="false">
      <c r="A17" s="102"/>
      <c r="B17" s="102"/>
      <c r="C17" s="102"/>
      <c r="D17" s="102"/>
      <c r="E17" s="102"/>
      <c r="F17" s="102"/>
      <c r="G17" s="102"/>
      <c r="H17" s="102"/>
      <c r="I17" s="102"/>
      <c r="J17" s="102"/>
      <c r="K17" s="102"/>
      <c r="L17" s="102"/>
      <c r="M17" s="102"/>
      <c r="N17" s="102"/>
      <c r="O17" s="102"/>
    </row>
    <row r="18" customFormat="false" ht="15.75" hidden="false" customHeight="true" outlineLevel="0" collapsed="false">
      <c r="A18" s="102"/>
      <c r="B18" s="103" t="s">
        <v>1406</v>
      </c>
      <c r="C18" s="104"/>
      <c r="D18" s="104"/>
      <c r="E18" s="104"/>
      <c r="F18" s="104"/>
      <c r="G18" s="104"/>
      <c r="H18" s="104"/>
      <c r="I18" s="104"/>
      <c r="J18" s="104"/>
      <c r="K18" s="104"/>
      <c r="L18" s="102"/>
      <c r="M18" s="102"/>
      <c r="N18" s="102"/>
      <c r="O18" s="102"/>
    </row>
    <row r="19" customFormat="false" ht="17.25" hidden="false" customHeight="true" outlineLevel="0" collapsed="false">
      <c r="A19" s="102"/>
      <c r="B19" s="107" t="s">
        <v>1407</v>
      </c>
      <c r="C19" s="107"/>
      <c r="D19" s="107"/>
      <c r="E19" s="107" t="s">
        <v>1408</v>
      </c>
      <c r="F19" s="107"/>
      <c r="G19" s="102"/>
      <c r="H19" s="102"/>
      <c r="I19" s="102"/>
      <c r="J19" s="102"/>
      <c r="K19" s="102"/>
      <c r="L19" s="102"/>
      <c r="M19" s="102"/>
      <c r="N19" s="102"/>
      <c r="O19" s="102"/>
    </row>
    <row r="20" customFormat="false" ht="31.5" hidden="false" customHeight="true" outlineLevel="0" collapsed="false">
      <c r="A20" s="102"/>
      <c r="B20" s="106" t="s">
        <v>5903</v>
      </c>
      <c r="C20" s="106"/>
      <c r="D20" s="106"/>
      <c r="E20" s="106" t="s">
        <v>5904</v>
      </c>
      <c r="F20" s="106"/>
      <c r="G20" s="102"/>
      <c r="H20" s="102"/>
      <c r="I20" s="102"/>
      <c r="J20" s="102"/>
      <c r="K20" s="102"/>
      <c r="L20" s="102"/>
      <c r="M20" s="102"/>
      <c r="N20" s="102"/>
      <c r="O20" s="102"/>
    </row>
    <row r="21" customFormat="false" ht="31.5" hidden="false" customHeight="true" outlineLevel="0" collapsed="false">
      <c r="A21" s="102"/>
      <c r="B21" s="106" t="s">
        <v>5905</v>
      </c>
      <c r="C21" s="106"/>
      <c r="D21" s="106"/>
      <c r="E21" s="106" t="s">
        <v>5906</v>
      </c>
      <c r="F21" s="106"/>
      <c r="G21" s="102"/>
      <c r="H21" s="102"/>
      <c r="I21" s="102"/>
      <c r="J21" s="102"/>
      <c r="K21" s="102"/>
      <c r="L21" s="102"/>
      <c r="M21" s="102"/>
      <c r="N21" s="102"/>
      <c r="O21" s="102"/>
    </row>
    <row r="22" customFormat="false" ht="15" hidden="false" customHeight="true" outlineLevel="0" collapsed="false">
      <c r="A22" s="102"/>
      <c r="B22" s="102"/>
      <c r="C22" s="102"/>
      <c r="D22" s="102"/>
      <c r="E22" s="102"/>
      <c r="F22" s="102"/>
      <c r="G22" s="102"/>
      <c r="H22" s="102"/>
      <c r="I22" s="102"/>
      <c r="J22" s="102"/>
      <c r="K22" s="102"/>
      <c r="L22" s="102"/>
      <c r="M22" s="102"/>
      <c r="N22" s="102"/>
      <c r="O22" s="102"/>
    </row>
    <row r="23" customFormat="false" ht="30.75" hidden="false" customHeight="true" outlineLevel="0" collapsed="false">
      <c r="A23" s="102"/>
      <c r="B23" s="108" t="s">
        <v>1416</v>
      </c>
      <c r="C23" s="108" t="s">
        <v>1417</v>
      </c>
      <c r="D23" s="108" t="s">
        <v>1418</v>
      </c>
      <c r="E23" s="108" t="s">
        <v>1419</v>
      </c>
      <c r="F23" s="102"/>
      <c r="G23" s="102"/>
      <c r="H23" s="102"/>
      <c r="I23" s="102"/>
      <c r="J23" s="102"/>
      <c r="K23" s="102"/>
      <c r="L23" s="102"/>
      <c r="M23" s="102"/>
      <c r="N23" s="102"/>
      <c r="O23" s="102"/>
    </row>
    <row r="24" customFormat="false" ht="44.25" hidden="false" customHeight="true" outlineLevel="0" collapsed="false">
      <c r="A24" s="102"/>
      <c r="B24" s="15" t="s">
        <v>5907</v>
      </c>
      <c r="C24" s="15" t="s">
        <v>5908</v>
      </c>
      <c r="D24" s="15" t="s">
        <v>5653</v>
      </c>
      <c r="E24" s="109" t="s">
        <v>1546</v>
      </c>
      <c r="F24" s="102"/>
      <c r="G24" s="102"/>
      <c r="H24" s="102"/>
      <c r="I24" s="102"/>
      <c r="J24" s="102"/>
      <c r="K24" s="102"/>
      <c r="L24" s="102"/>
      <c r="M24" s="102"/>
      <c r="N24" s="102"/>
      <c r="O24" s="102"/>
    </row>
    <row r="25" customFormat="false" ht="44.25" hidden="false" customHeight="true" outlineLevel="0" collapsed="false">
      <c r="A25" s="102"/>
      <c r="B25" s="15" t="s">
        <v>5909</v>
      </c>
      <c r="C25" s="15" t="s">
        <v>5910</v>
      </c>
      <c r="D25" s="15" t="s">
        <v>5911</v>
      </c>
      <c r="E25" s="109" t="s">
        <v>1645</v>
      </c>
      <c r="F25" s="102"/>
      <c r="G25" s="102"/>
      <c r="H25" s="102"/>
      <c r="I25" s="102"/>
      <c r="J25" s="102"/>
      <c r="K25" s="102"/>
      <c r="L25" s="102"/>
      <c r="M25" s="102"/>
      <c r="N25" s="102"/>
      <c r="O25" s="102"/>
    </row>
    <row r="26" customFormat="false" ht="30.75" hidden="false" customHeight="true" outlineLevel="0" collapsed="false">
      <c r="A26" s="102"/>
      <c r="B26" s="15" t="s">
        <v>5912</v>
      </c>
      <c r="C26" s="15" t="s">
        <v>5852</v>
      </c>
      <c r="D26" s="15" t="s">
        <v>5788</v>
      </c>
      <c r="E26" s="109" t="s">
        <v>973</v>
      </c>
      <c r="F26" s="102"/>
      <c r="G26" s="102"/>
      <c r="H26" s="102"/>
      <c r="I26" s="102"/>
      <c r="J26" s="102"/>
      <c r="K26" s="102"/>
      <c r="L26" s="102"/>
      <c r="M26" s="102"/>
      <c r="N26" s="102"/>
      <c r="O26" s="102"/>
    </row>
    <row r="27" customFormat="false" ht="15" hidden="false" customHeight="true" outlineLevel="0" collapsed="false">
      <c r="A27" s="102"/>
      <c r="B27" s="102"/>
      <c r="C27" s="102"/>
      <c r="D27" s="102"/>
      <c r="E27" s="102"/>
      <c r="F27" s="102"/>
      <c r="G27" s="102"/>
      <c r="H27" s="102"/>
      <c r="I27" s="102"/>
      <c r="J27" s="102"/>
      <c r="K27" s="102"/>
      <c r="L27" s="102"/>
      <c r="M27" s="102"/>
      <c r="N27" s="102"/>
      <c r="O27" s="102"/>
    </row>
    <row r="28" customFormat="false" ht="15.75" hidden="false" customHeight="true" outlineLevel="0" collapsed="false">
      <c r="A28" s="102"/>
      <c r="B28" s="103" t="s">
        <v>1429</v>
      </c>
      <c r="C28" s="104"/>
      <c r="D28" s="104"/>
      <c r="E28" s="104"/>
      <c r="F28" s="104"/>
      <c r="G28" s="104"/>
      <c r="H28" s="104"/>
      <c r="I28" s="104"/>
      <c r="J28" s="104"/>
      <c r="K28" s="104"/>
      <c r="L28" s="102"/>
      <c r="M28" s="102"/>
      <c r="N28" s="102"/>
      <c r="O28" s="102"/>
    </row>
    <row r="29" customFormat="false" ht="10.5" hidden="false" customHeight="true" outlineLevel="0" collapsed="false">
      <c r="A29" s="102"/>
      <c r="B29" s="106" t="s">
        <v>5913</v>
      </c>
      <c r="C29" s="106"/>
      <c r="D29" s="106"/>
      <c r="E29" s="106"/>
      <c r="F29" s="106"/>
      <c r="G29" s="106"/>
      <c r="H29" s="106"/>
      <c r="I29" s="102"/>
      <c r="J29" s="102"/>
      <c r="K29" s="102"/>
      <c r="L29" s="102"/>
      <c r="M29" s="102"/>
      <c r="N29" s="102"/>
      <c r="O29" s="102"/>
    </row>
    <row r="30" customFormat="false" ht="10.5" hidden="false" customHeight="true" outlineLevel="0" collapsed="false">
      <c r="A30" s="102"/>
      <c r="B30" s="106"/>
      <c r="C30" s="106"/>
      <c r="D30" s="106"/>
      <c r="E30" s="106"/>
      <c r="F30" s="106"/>
      <c r="G30" s="106"/>
      <c r="H30" s="106"/>
      <c r="I30" s="102"/>
      <c r="J30" s="102"/>
      <c r="K30" s="102"/>
      <c r="L30" s="102"/>
      <c r="M30" s="102"/>
      <c r="N30" s="102"/>
      <c r="O30" s="102"/>
    </row>
    <row r="31" customFormat="false" ht="10.5" hidden="false" customHeight="true" outlineLevel="0" collapsed="false">
      <c r="A31" s="102"/>
      <c r="B31" s="106"/>
      <c r="C31" s="106"/>
      <c r="D31" s="106"/>
      <c r="E31" s="106"/>
      <c r="F31" s="106"/>
      <c r="G31" s="106"/>
      <c r="H31" s="106"/>
      <c r="I31" s="102"/>
      <c r="J31" s="102"/>
      <c r="K31" s="102"/>
      <c r="L31" s="102"/>
      <c r="M31" s="102"/>
      <c r="N31" s="102"/>
      <c r="O31" s="102"/>
    </row>
    <row r="32" customFormat="false" ht="8.25" hidden="false" customHeight="true" outlineLevel="0" collapsed="false">
      <c r="A32" s="102"/>
      <c r="B32" s="106" t="s">
        <v>5914</v>
      </c>
      <c r="C32" s="106"/>
      <c r="D32" s="106"/>
      <c r="E32" s="106"/>
      <c r="F32" s="106"/>
      <c r="G32" s="106"/>
      <c r="H32" s="106"/>
      <c r="I32" s="102"/>
      <c r="J32" s="102"/>
      <c r="K32" s="102"/>
      <c r="L32" s="102"/>
      <c r="M32" s="102"/>
      <c r="N32" s="102"/>
      <c r="O32" s="102"/>
    </row>
    <row r="33" customFormat="false" ht="8.25" hidden="false" customHeight="true" outlineLevel="0" collapsed="false">
      <c r="A33" s="102"/>
      <c r="B33" s="106"/>
      <c r="C33" s="106"/>
      <c r="D33" s="106"/>
      <c r="E33" s="106"/>
      <c r="F33" s="106"/>
      <c r="G33" s="106"/>
      <c r="H33" s="106"/>
      <c r="I33" s="102"/>
      <c r="J33" s="102"/>
      <c r="K33" s="102"/>
      <c r="L33" s="102"/>
      <c r="M33" s="102"/>
      <c r="N33" s="102"/>
      <c r="O33" s="102"/>
    </row>
    <row r="34" customFormat="false" ht="15" hidden="false" customHeight="true" outlineLevel="0" collapsed="false">
      <c r="A34" s="102"/>
      <c r="B34" s="102"/>
      <c r="C34" s="102"/>
      <c r="D34" s="102"/>
      <c r="E34" s="102"/>
      <c r="F34" s="102"/>
      <c r="G34" s="102"/>
      <c r="H34" s="102"/>
      <c r="I34" s="102"/>
      <c r="J34" s="102"/>
      <c r="K34" s="102"/>
      <c r="L34" s="102"/>
      <c r="M34" s="102"/>
      <c r="N34" s="102"/>
      <c r="O34" s="102"/>
    </row>
    <row r="35" customFormat="false" ht="15.75" hidden="false" customHeight="true" outlineLevel="0" collapsed="false">
      <c r="A35" s="102"/>
      <c r="B35" s="103" t="s">
        <v>1437</v>
      </c>
      <c r="C35" s="104"/>
      <c r="D35" s="104"/>
      <c r="E35" s="104"/>
      <c r="F35" s="104"/>
      <c r="G35" s="104"/>
      <c r="H35" s="104"/>
      <c r="I35" s="104"/>
      <c r="J35" s="104"/>
      <c r="K35" s="104"/>
      <c r="L35" s="102"/>
      <c r="M35" s="102"/>
      <c r="N35" s="102"/>
      <c r="O35" s="102"/>
    </row>
    <row r="36" customFormat="false" ht="16.5" hidden="false" customHeight="true" outlineLevel="0" collapsed="false">
      <c r="A36" s="102"/>
      <c r="B36" s="108" t="s">
        <v>1438</v>
      </c>
      <c r="C36" s="108" t="s">
        <v>1439</v>
      </c>
      <c r="D36" s="108" t="s">
        <v>1440</v>
      </c>
      <c r="E36" s="102"/>
      <c r="F36" s="102"/>
      <c r="G36" s="102"/>
      <c r="H36" s="102"/>
      <c r="I36" s="102"/>
      <c r="J36" s="102"/>
      <c r="K36" s="102"/>
      <c r="L36" s="102"/>
      <c r="M36" s="102"/>
      <c r="N36" s="102"/>
      <c r="O36" s="102"/>
    </row>
    <row r="37" customFormat="false" ht="30.75" hidden="false" customHeight="true" outlineLevel="0" collapsed="false">
      <c r="A37" s="102"/>
      <c r="B37" s="110" t="s">
        <v>3595</v>
      </c>
      <c r="C37" s="111" t="s">
        <v>5915</v>
      </c>
      <c r="D37" s="15" t="s">
        <v>5916</v>
      </c>
      <c r="E37" s="102"/>
      <c r="F37" s="102"/>
      <c r="G37" s="102"/>
      <c r="H37" s="102"/>
      <c r="I37" s="102"/>
      <c r="J37" s="102"/>
      <c r="K37" s="102"/>
      <c r="L37" s="102"/>
      <c r="M37" s="102"/>
      <c r="N37" s="102"/>
      <c r="O37" s="102"/>
    </row>
    <row r="38" customFormat="false" ht="16.5" hidden="false" customHeight="true" outlineLevel="0" collapsed="false">
      <c r="A38" s="102"/>
      <c r="B38" s="110" t="s">
        <v>2127</v>
      </c>
      <c r="C38" s="111" t="s">
        <v>5858</v>
      </c>
      <c r="D38" s="15" t="s">
        <v>5859</v>
      </c>
      <c r="E38" s="102"/>
      <c r="F38" s="102"/>
      <c r="G38" s="102"/>
      <c r="H38" s="102"/>
      <c r="I38" s="102"/>
      <c r="J38" s="102"/>
      <c r="K38" s="102"/>
      <c r="L38" s="102"/>
      <c r="M38" s="102"/>
      <c r="N38" s="102"/>
      <c r="O38" s="102"/>
    </row>
    <row r="39" customFormat="false" ht="15" hidden="false" customHeight="true" outlineLevel="0" collapsed="false">
      <c r="A39" s="102"/>
      <c r="B39" s="102"/>
      <c r="C39" s="102"/>
      <c r="D39" s="102"/>
      <c r="E39" s="102"/>
      <c r="F39" s="102"/>
      <c r="G39" s="102"/>
      <c r="H39" s="102"/>
      <c r="I39" s="102"/>
      <c r="J39" s="102"/>
      <c r="K39" s="102"/>
      <c r="L39" s="102"/>
      <c r="M39" s="102"/>
      <c r="N39" s="102"/>
      <c r="O39" s="102"/>
    </row>
    <row r="40" customFormat="false" ht="15.75" hidden="false" customHeight="true" outlineLevel="0" collapsed="false">
      <c r="A40" s="102"/>
      <c r="B40" s="103" t="s">
        <v>1454</v>
      </c>
      <c r="C40" s="104"/>
      <c r="D40" s="104"/>
      <c r="E40" s="104"/>
      <c r="F40" s="104"/>
      <c r="G40" s="104"/>
      <c r="H40" s="104"/>
      <c r="I40" s="104"/>
      <c r="J40" s="104"/>
      <c r="K40" s="104"/>
      <c r="L40" s="102"/>
      <c r="M40" s="102"/>
      <c r="N40" s="102"/>
      <c r="O40" s="102"/>
    </row>
    <row r="41" customFormat="false" ht="17.25" hidden="false" customHeight="true" outlineLevel="0" collapsed="false">
      <c r="A41" s="102"/>
      <c r="B41" s="106" t="s">
        <v>5917</v>
      </c>
      <c r="C41" s="106"/>
      <c r="D41" s="106"/>
      <c r="E41" s="106"/>
      <c r="F41" s="106"/>
      <c r="G41" s="106"/>
      <c r="H41" s="106"/>
      <c r="I41" s="102"/>
      <c r="J41" s="102"/>
      <c r="K41" s="102"/>
      <c r="L41" s="102"/>
      <c r="M41" s="102"/>
      <c r="N41" s="102"/>
      <c r="O41" s="102"/>
    </row>
    <row r="42" customFormat="false" ht="17.25" hidden="false" customHeight="true" outlineLevel="0" collapsed="false">
      <c r="A42" s="102"/>
      <c r="B42" s="112" t="s">
        <v>85</v>
      </c>
      <c r="C42" s="113" t="s">
        <v>86</v>
      </c>
      <c r="D42" s="113"/>
      <c r="E42" s="102"/>
      <c r="F42" s="102"/>
      <c r="G42" s="102"/>
      <c r="H42" s="102"/>
      <c r="I42" s="102"/>
      <c r="J42" s="102"/>
      <c r="K42" s="102"/>
      <c r="L42" s="102"/>
      <c r="M42" s="102"/>
      <c r="N42" s="102"/>
      <c r="O42" s="102"/>
    </row>
    <row r="43" customFormat="false" ht="15" hidden="false" customHeight="true" outlineLevel="0" collapsed="false">
      <c r="A43" s="102"/>
      <c r="B43" s="102"/>
      <c r="C43" s="102"/>
      <c r="D43" s="102"/>
      <c r="E43" s="102"/>
      <c r="F43" s="102"/>
      <c r="G43" s="102"/>
      <c r="H43" s="102"/>
      <c r="I43" s="102"/>
      <c r="J43" s="102"/>
      <c r="K43" s="102"/>
      <c r="L43" s="102"/>
      <c r="M43" s="102"/>
      <c r="N43" s="102"/>
      <c r="O43" s="102"/>
    </row>
    <row r="44" customFormat="false" ht="16.5" hidden="false" customHeight="true" outlineLevel="0" collapsed="false">
      <c r="A44" s="102"/>
      <c r="B44" s="108" t="s">
        <v>5861</v>
      </c>
      <c r="C44" s="108" t="s">
        <v>5862</v>
      </c>
      <c r="D44" s="108" t="s">
        <v>5863</v>
      </c>
      <c r="E44" s="108" t="s">
        <v>5864</v>
      </c>
      <c r="F44" s="108" t="s">
        <v>5865</v>
      </c>
      <c r="G44" s="108" t="s">
        <v>5866</v>
      </c>
      <c r="H44" s="108" t="s">
        <v>5918</v>
      </c>
      <c r="I44" s="108" t="s">
        <v>5919</v>
      </c>
      <c r="J44" s="108" t="s">
        <v>5920</v>
      </c>
      <c r="K44" s="108" t="s">
        <v>5921</v>
      </c>
      <c r="L44" s="108" t="s">
        <v>5922</v>
      </c>
      <c r="M44" s="108" t="s">
        <v>5867</v>
      </c>
      <c r="N44" s="108" t="s">
        <v>5923</v>
      </c>
      <c r="O44" s="102"/>
    </row>
    <row r="45" customFormat="false" ht="15" hidden="false" customHeight="true" outlineLevel="0" collapsed="false">
      <c r="A45" s="102"/>
      <c r="B45" s="123" t="n">
        <v>1</v>
      </c>
      <c r="C45" s="136" t="n">
        <v>1.402</v>
      </c>
      <c r="D45" s="136" t="n">
        <v>1.441</v>
      </c>
      <c r="E45" s="136" t="n">
        <v>1.434</v>
      </c>
      <c r="F45" s="136" t="n">
        <v>1.455</v>
      </c>
      <c r="G45" s="136" t="n">
        <v>1.405</v>
      </c>
      <c r="H45" s="136" t="n">
        <v>1.444</v>
      </c>
      <c r="I45" s="136" t="n">
        <v>1.432</v>
      </c>
      <c r="J45" s="136" t="n">
        <v>1.384</v>
      </c>
      <c r="K45" s="136" t="n">
        <v>1.456</v>
      </c>
      <c r="L45" s="136" t="n">
        <v>1.389</v>
      </c>
      <c r="M45" s="129" t="n">
        <f aca="false">AVERAGE(C45:L45)</f>
        <v>1.4242</v>
      </c>
      <c r="N45" s="129" t="n">
        <f aca="false">STDEV(C45:L45)</f>
        <v>0.0268898989709271</v>
      </c>
      <c r="O45" s="132" t="str">
        <f aca="false">IF(M45&gt;$C$73,"OOC high",IF(M45&lt;$C$74,"OOC low","OK"))</f>
        <v>OK</v>
      </c>
      <c r="P45" s="132" t="str">
        <f aca="false">IF(N45&gt;$C$75,"OOC high",IF(N45&lt;$C$76,"OOC low","OK"))</f>
        <v>OK</v>
      </c>
    </row>
    <row r="46" customFormat="false" ht="15" hidden="false" customHeight="true" outlineLevel="0" collapsed="false">
      <c r="A46" s="102"/>
      <c r="B46" s="123" t="n">
        <v>2</v>
      </c>
      <c r="C46" s="136" t="n">
        <v>1.353</v>
      </c>
      <c r="D46" s="136" t="n">
        <v>1.385</v>
      </c>
      <c r="E46" s="136" t="n">
        <v>1.372</v>
      </c>
      <c r="F46" s="136" t="n">
        <v>1.383</v>
      </c>
      <c r="G46" s="136" t="n">
        <v>1.436</v>
      </c>
      <c r="H46" s="136" t="n">
        <v>1.399</v>
      </c>
      <c r="I46" s="136" t="n">
        <v>1.468</v>
      </c>
      <c r="J46" s="136" t="n">
        <v>1.393</v>
      </c>
      <c r="K46" s="136" t="n">
        <v>1.427</v>
      </c>
      <c r="L46" s="136" t="n">
        <v>1.405</v>
      </c>
      <c r="M46" s="129" t="n">
        <f aca="false">AVERAGE(C46:L46)</f>
        <v>1.4021</v>
      </c>
      <c r="N46" s="129" t="n">
        <f aca="false">STDEV(C46:L46)</f>
        <v>0.0336433912942464</v>
      </c>
      <c r="O46" s="132" t="str">
        <f aca="false">IF(M46&gt;$C$73,"OOC high",IF(M46&lt;$C$74,"OOC low","OK"))</f>
        <v>OK</v>
      </c>
      <c r="P46" s="132" t="str">
        <f aca="false">IF(N46&gt;$C$75,"OOC high",IF(N46&lt;$C$76,"OOC low","OK"))</f>
        <v>OK</v>
      </c>
    </row>
    <row r="47" customFormat="false" ht="15" hidden="false" customHeight="true" outlineLevel="0" collapsed="false">
      <c r="A47" s="102"/>
      <c r="B47" s="123" t="n">
        <v>3</v>
      </c>
      <c r="C47" s="136" t="n">
        <v>1.336</v>
      </c>
      <c r="D47" s="136" t="n">
        <v>1.409</v>
      </c>
      <c r="E47" s="136" t="n">
        <v>1.421</v>
      </c>
      <c r="F47" s="136" t="n">
        <v>1.443</v>
      </c>
      <c r="G47" s="136" t="n">
        <v>1.359</v>
      </c>
      <c r="H47" s="136" t="n">
        <v>1.446</v>
      </c>
      <c r="I47" s="136" t="n">
        <v>1.453</v>
      </c>
      <c r="J47" s="136" t="n">
        <v>1.374</v>
      </c>
      <c r="K47" s="136" t="n">
        <v>1.421</v>
      </c>
      <c r="L47" s="136" t="n">
        <v>1.455</v>
      </c>
      <c r="M47" s="129" t="n">
        <f aca="false">AVERAGE(C47:L47)</f>
        <v>1.4117</v>
      </c>
      <c r="N47" s="129" t="n">
        <f aca="false">STDEV(C47:L47)</f>
        <v>0.0419604310961861</v>
      </c>
      <c r="O47" s="132" t="str">
        <f aca="false">IF(M47&gt;$C$73,"OOC high",IF(M47&lt;$C$74,"OOC low","OK"))</f>
        <v>OK</v>
      </c>
      <c r="P47" s="132" t="str">
        <f aca="false">IF(N47&gt;$C$75,"OOC high",IF(N47&lt;$C$76,"OOC low","OK"))</f>
        <v>OK</v>
      </c>
    </row>
    <row r="48" customFormat="false" ht="15" hidden="false" customHeight="true" outlineLevel="0" collapsed="false">
      <c r="A48" s="102"/>
      <c r="B48" s="123" t="n">
        <v>4</v>
      </c>
      <c r="C48" s="136" t="n">
        <v>1.338</v>
      </c>
      <c r="D48" s="136" t="n">
        <v>1.425</v>
      </c>
      <c r="E48" s="136" t="n">
        <v>1.325</v>
      </c>
      <c r="F48" s="136" t="n">
        <v>1.414</v>
      </c>
      <c r="G48" s="136" t="n">
        <v>1.465</v>
      </c>
      <c r="H48" s="136" t="n">
        <v>1.394</v>
      </c>
      <c r="I48" s="136" t="n">
        <v>1.43</v>
      </c>
      <c r="J48" s="136" t="n">
        <v>1.343</v>
      </c>
      <c r="K48" s="136" t="n">
        <v>1.382</v>
      </c>
      <c r="L48" s="136" t="n">
        <v>1.388</v>
      </c>
      <c r="M48" s="129" t="n">
        <f aca="false">AVERAGE(C48:L48)</f>
        <v>1.3904</v>
      </c>
      <c r="N48" s="129" t="n">
        <f aca="false">STDEV(C48:L48)</f>
        <v>0.0450264120020436</v>
      </c>
      <c r="O48" s="132" t="str">
        <f aca="false">IF(M48&gt;$C$73,"OOC high",IF(M48&lt;$C$74,"OOC low","OK"))</f>
        <v>OK</v>
      </c>
      <c r="P48" s="132" t="str">
        <f aca="false">IF(N48&gt;$C$75,"OOC high",IF(N48&lt;$C$76,"OOC low","OK"))</f>
        <v>OK</v>
      </c>
    </row>
    <row r="49" customFormat="false" ht="15" hidden="false" customHeight="true" outlineLevel="0" collapsed="false">
      <c r="A49" s="102"/>
      <c r="B49" s="123" t="n">
        <v>5</v>
      </c>
      <c r="C49" s="136" t="n">
        <v>1.439</v>
      </c>
      <c r="D49" s="136" t="n">
        <v>1.397</v>
      </c>
      <c r="E49" s="136" t="n">
        <v>1.437</v>
      </c>
      <c r="F49" s="136" t="n">
        <v>1.404</v>
      </c>
      <c r="G49" s="136" t="n">
        <v>1.38</v>
      </c>
      <c r="H49" s="136" t="n">
        <v>1.412</v>
      </c>
      <c r="I49" s="136" t="n">
        <v>1.417</v>
      </c>
      <c r="J49" s="136" t="n">
        <v>1.396</v>
      </c>
      <c r="K49" s="136" t="n">
        <v>1.436</v>
      </c>
      <c r="L49" s="136" t="n">
        <v>1.375</v>
      </c>
      <c r="M49" s="129" t="n">
        <f aca="false">AVERAGE(C49:L49)</f>
        <v>1.4093</v>
      </c>
      <c r="N49" s="129" t="n">
        <f aca="false">STDEV(C49:L49)</f>
        <v>0.0231423133387021</v>
      </c>
      <c r="O49" s="132" t="str">
        <f aca="false">IF(M49&gt;$C$73,"OOC high",IF(M49&lt;$C$74,"OOC low","OK"))</f>
        <v>OK</v>
      </c>
      <c r="P49" s="132" t="str">
        <f aca="false">IF(N49&gt;$C$75,"OOC high",IF(N49&lt;$C$76,"OOC low","OK"))</f>
        <v>OK</v>
      </c>
    </row>
    <row r="50" customFormat="false" ht="15" hidden="false" customHeight="true" outlineLevel="0" collapsed="false">
      <c r="A50" s="102"/>
      <c r="B50" s="123" t="n">
        <v>6</v>
      </c>
      <c r="C50" s="136" t="n">
        <v>1.414</v>
      </c>
      <c r="D50" s="136" t="n">
        <v>1.43</v>
      </c>
      <c r="E50" s="136" t="n">
        <v>1.383</v>
      </c>
      <c r="F50" s="136" t="n">
        <v>1.405</v>
      </c>
      <c r="G50" s="136" t="n">
        <v>1.404</v>
      </c>
      <c r="H50" s="136" t="n">
        <v>1.349</v>
      </c>
      <c r="I50" s="136" t="n">
        <v>1.465</v>
      </c>
      <c r="J50" s="136" t="n">
        <v>1.393</v>
      </c>
      <c r="K50" s="136" t="n">
        <v>1.427</v>
      </c>
      <c r="L50" s="136" t="n">
        <v>1.284</v>
      </c>
      <c r="M50" s="129" t="n">
        <f aca="false">AVERAGE(C50:L50)</f>
        <v>1.3954</v>
      </c>
      <c r="N50" s="129" t="n">
        <f aca="false">STDEV(C50:L50)</f>
        <v>0.0497487018256088</v>
      </c>
      <c r="O50" s="132" t="str">
        <f aca="false">IF(M50&gt;$C$73,"OOC high",IF(M50&lt;$C$74,"OOC low","OK"))</f>
        <v>OK</v>
      </c>
      <c r="P50" s="132" t="str">
        <f aca="false">IF(N50&gt;$C$75,"OOC high",IF(N50&lt;$C$76,"OOC low","OK"))</f>
        <v>OK</v>
      </c>
    </row>
    <row r="51" customFormat="false" ht="15" hidden="false" customHeight="true" outlineLevel="0" collapsed="false">
      <c r="A51" s="102"/>
      <c r="B51" s="123" t="n">
        <v>7</v>
      </c>
      <c r="C51" s="136" t="n">
        <v>1.446</v>
      </c>
      <c r="D51" s="136" t="n">
        <v>1.379</v>
      </c>
      <c r="E51" s="136" t="n">
        <v>1.359</v>
      </c>
      <c r="F51" s="136" t="n">
        <v>1.39</v>
      </c>
      <c r="G51" s="136" t="n">
        <v>1.431</v>
      </c>
      <c r="H51" s="136" t="n">
        <v>1.327</v>
      </c>
      <c r="I51" s="136" t="n">
        <v>1.432</v>
      </c>
      <c r="J51" s="136" t="n">
        <v>1.341</v>
      </c>
      <c r="K51" s="136" t="n">
        <v>1.436</v>
      </c>
      <c r="L51" s="136" t="n">
        <v>1.406</v>
      </c>
      <c r="M51" s="129" t="n">
        <f aca="false">AVERAGE(C51:L51)</f>
        <v>1.3947</v>
      </c>
      <c r="N51" s="129" t="n">
        <f aca="false">STDEV(C51:L51)</f>
        <v>0.0424055813936483</v>
      </c>
      <c r="O51" s="132" t="str">
        <f aca="false">IF(M51&gt;$C$73,"OOC high",IF(M51&lt;$C$74,"OOC low","OK"))</f>
        <v>OK</v>
      </c>
      <c r="P51" s="132" t="str">
        <f aca="false">IF(N51&gt;$C$75,"OOC high",IF(N51&lt;$C$76,"OOC low","OK"))</f>
        <v>OK</v>
      </c>
    </row>
    <row r="52" customFormat="false" ht="15" hidden="false" customHeight="true" outlineLevel="0" collapsed="false">
      <c r="A52" s="102"/>
      <c r="B52" s="123" t="n">
        <v>8</v>
      </c>
      <c r="C52" s="136" t="n">
        <v>1.44</v>
      </c>
      <c r="D52" s="136" t="n">
        <v>1.424</v>
      </c>
      <c r="E52" s="136" t="n">
        <v>1.361</v>
      </c>
      <c r="F52" s="136" t="n">
        <v>1.378</v>
      </c>
      <c r="G52" s="136" t="n">
        <v>1.416</v>
      </c>
      <c r="H52" s="136" t="n">
        <v>1.381</v>
      </c>
      <c r="I52" s="136" t="n">
        <v>1.394</v>
      </c>
      <c r="J52" s="136" t="n">
        <v>1.354</v>
      </c>
      <c r="K52" s="136" t="n">
        <v>1.422</v>
      </c>
      <c r="L52" s="136" t="n">
        <v>1.494</v>
      </c>
      <c r="M52" s="129" t="n">
        <f aca="false">AVERAGE(C52:L52)</f>
        <v>1.4064</v>
      </c>
      <c r="N52" s="129" t="n">
        <f aca="false">STDEV(C52:L52)</f>
        <v>0.0419793600078261</v>
      </c>
      <c r="O52" s="132" t="str">
        <f aca="false">IF(M52&gt;$C$73,"OOC high",IF(M52&lt;$C$74,"OOC low","OK"))</f>
        <v>OK</v>
      </c>
      <c r="P52" s="132" t="str">
        <f aca="false">IF(N52&gt;$C$75,"OOC high",IF(N52&lt;$C$76,"OOC low","OK"))</f>
        <v>OK</v>
      </c>
    </row>
    <row r="53" customFormat="false" ht="15" hidden="false" customHeight="true" outlineLevel="0" collapsed="false">
      <c r="A53" s="102"/>
      <c r="B53" s="123" t="n">
        <v>9</v>
      </c>
      <c r="C53" s="136" t="n">
        <v>1.437</v>
      </c>
      <c r="D53" s="136" t="n">
        <v>1.413</v>
      </c>
      <c r="E53" s="136" t="n">
        <v>1.354</v>
      </c>
      <c r="F53" s="136" t="n">
        <v>1.39</v>
      </c>
      <c r="G53" s="136" t="n">
        <v>1.444</v>
      </c>
      <c r="H53" s="136" t="n">
        <v>1.395</v>
      </c>
      <c r="I53" s="136" t="n">
        <v>1.422</v>
      </c>
      <c r="J53" s="136" t="n">
        <v>1.381</v>
      </c>
      <c r="K53" s="136" t="n">
        <v>1.38</v>
      </c>
      <c r="L53" s="136" t="n">
        <v>1.402</v>
      </c>
      <c r="M53" s="129" t="n">
        <f aca="false">AVERAGE(C53:L53)</f>
        <v>1.4018</v>
      </c>
      <c r="N53" s="129" t="n">
        <f aca="false">STDEV(C53:L53)</f>
        <v>0.0277520769993487</v>
      </c>
      <c r="O53" s="132" t="str">
        <f aca="false">IF(M53&gt;$C$73,"OOC high",IF(M53&lt;$C$74,"OOC low","OK"))</f>
        <v>OK</v>
      </c>
      <c r="P53" s="132" t="str">
        <f aca="false">IF(N53&gt;$C$75,"OOC high",IF(N53&lt;$C$76,"OOC low","OK"))</f>
        <v>OK</v>
      </c>
    </row>
    <row r="54" customFormat="false" ht="15" hidden="false" customHeight="true" outlineLevel="0" collapsed="false">
      <c r="A54" s="102"/>
      <c r="B54" s="123" t="n">
        <v>10</v>
      </c>
      <c r="C54" s="136" t="n">
        <v>1.377</v>
      </c>
      <c r="D54" s="136" t="n">
        <v>1.372</v>
      </c>
      <c r="E54" s="136" t="n">
        <v>1.404</v>
      </c>
      <c r="F54" s="136" t="n">
        <v>1.383</v>
      </c>
      <c r="G54" s="136" t="n">
        <v>1.314</v>
      </c>
      <c r="H54" s="136" t="n">
        <v>1.42</v>
      </c>
      <c r="I54" s="136" t="n">
        <v>1.451</v>
      </c>
      <c r="J54" s="136" t="n">
        <v>1.404</v>
      </c>
      <c r="K54" s="136" t="n">
        <v>1.375</v>
      </c>
      <c r="L54" s="136" t="n">
        <v>1.349</v>
      </c>
      <c r="M54" s="129" t="n">
        <f aca="false">AVERAGE(C54:L54)</f>
        <v>1.3849</v>
      </c>
      <c r="N54" s="129" t="n">
        <f aca="false">STDEV(C54:L54)</f>
        <v>0.0379720657559972</v>
      </c>
      <c r="O54" s="132" t="str">
        <f aca="false">IF(M54&gt;$C$73,"OOC high",IF(M54&lt;$C$74,"OOC low","OK"))</f>
        <v>OK</v>
      </c>
      <c r="P54" s="132" t="str">
        <f aca="false">IF(N54&gt;$C$75,"OOC high",IF(N54&lt;$C$76,"OOC low","OK"))</f>
        <v>OK</v>
      </c>
    </row>
    <row r="55" customFormat="false" ht="15" hidden="false" customHeight="true" outlineLevel="0" collapsed="false">
      <c r="A55" s="102"/>
      <c r="B55" s="123" t="n">
        <v>11</v>
      </c>
      <c r="C55" s="136" t="n">
        <v>1.361</v>
      </c>
      <c r="D55" s="136" t="n">
        <v>1.385</v>
      </c>
      <c r="E55" s="136" t="n">
        <v>1.428</v>
      </c>
      <c r="F55" s="136" t="n">
        <v>1.393</v>
      </c>
      <c r="G55" s="136" t="n">
        <v>1.385</v>
      </c>
      <c r="H55" s="136" t="n">
        <v>1.35</v>
      </c>
      <c r="I55" s="136" t="n">
        <v>1.395</v>
      </c>
      <c r="J55" s="136" t="n">
        <v>1.36</v>
      </c>
      <c r="K55" s="136" t="n">
        <v>1.46</v>
      </c>
      <c r="L55" s="136" t="n">
        <v>1.406</v>
      </c>
      <c r="M55" s="129" t="n">
        <f aca="false">AVERAGE(C55:L55)</f>
        <v>1.3923</v>
      </c>
      <c r="N55" s="129" t="n">
        <f aca="false">STDEV(C55:L55)</f>
        <v>0.0332868008542592</v>
      </c>
      <c r="O55" s="132" t="str">
        <f aca="false">IF(M55&gt;$C$73,"OOC high",IF(M55&lt;$C$74,"OOC low","OK"))</f>
        <v>OK</v>
      </c>
      <c r="P55" s="132" t="str">
        <f aca="false">IF(N55&gt;$C$75,"OOC high",IF(N55&lt;$C$76,"OOC low","OK"))</f>
        <v>OK</v>
      </c>
    </row>
    <row r="56" customFormat="false" ht="15" hidden="false" customHeight="true" outlineLevel="0" collapsed="false">
      <c r="A56" s="102"/>
      <c r="B56" s="123" t="n">
        <v>12</v>
      </c>
      <c r="C56" s="136" t="n">
        <v>1.389</v>
      </c>
      <c r="D56" s="136" t="n">
        <v>1.46</v>
      </c>
      <c r="E56" s="136" t="n">
        <v>1.46</v>
      </c>
      <c r="F56" s="136" t="n">
        <v>1.395</v>
      </c>
      <c r="G56" s="136" t="n">
        <v>1.343</v>
      </c>
      <c r="H56" s="136" t="n">
        <v>1.44</v>
      </c>
      <c r="I56" s="136" t="n">
        <v>1.377</v>
      </c>
      <c r="J56" s="136" t="n">
        <v>1.42</v>
      </c>
      <c r="K56" s="136" t="n">
        <v>1.354</v>
      </c>
      <c r="L56" s="136" t="n">
        <v>1.378</v>
      </c>
      <c r="M56" s="129" t="n">
        <f aca="false">AVERAGE(C56:L56)</f>
        <v>1.4016</v>
      </c>
      <c r="N56" s="129" t="n">
        <f aca="false">STDEV(C56:L56)</f>
        <v>0.0417644186678884</v>
      </c>
      <c r="O56" s="132" t="str">
        <f aca="false">IF(M56&gt;$C$73,"OOC high",IF(M56&lt;$C$74,"OOC low","OK"))</f>
        <v>OK</v>
      </c>
      <c r="P56" s="132" t="str">
        <f aca="false">IF(N56&gt;$C$75,"OOC high",IF(N56&lt;$C$76,"OOC low","OK"))</f>
        <v>OK</v>
      </c>
    </row>
    <row r="57" customFormat="false" ht="15" hidden="false" customHeight="true" outlineLevel="0" collapsed="false">
      <c r="A57" s="102"/>
      <c r="B57" s="123" t="n">
        <v>13</v>
      </c>
      <c r="C57" s="136" t="n">
        <v>1.383</v>
      </c>
      <c r="D57" s="136" t="n">
        <v>1.359</v>
      </c>
      <c r="E57" s="136" t="n">
        <v>1.352</v>
      </c>
      <c r="F57" s="136" t="n">
        <v>1.431</v>
      </c>
      <c r="G57" s="136" t="n">
        <v>1.378</v>
      </c>
      <c r="H57" s="136" t="n">
        <v>1.443</v>
      </c>
      <c r="I57" s="136" t="n">
        <v>1.419</v>
      </c>
      <c r="J57" s="136" t="n">
        <v>1.401</v>
      </c>
      <c r="K57" s="136" t="n">
        <v>1.416</v>
      </c>
      <c r="L57" s="136" t="n">
        <v>1.382</v>
      </c>
      <c r="M57" s="129" t="n">
        <f aca="false">AVERAGE(C57:L57)</f>
        <v>1.3964</v>
      </c>
      <c r="N57" s="129" t="n">
        <f aca="false">STDEV(C57:L57)</f>
        <v>0.0305148415620261</v>
      </c>
      <c r="O57" s="132" t="str">
        <f aca="false">IF(M57&gt;$C$73,"OOC high",IF(M57&lt;$C$74,"OOC low","OK"))</f>
        <v>OK</v>
      </c>
      <c r="P57" s="132" t="str">
        <f aca="false">IF(N57&gt;$C$75,"OOC high",IF(N57&lt;$C$76,"OOC low","OK"))</f>
        <v>OK</v>
      </c>
    </row>
    <row r="58" customFormat="false" ht="15" hidden="false" customHeight="true" outlineLevel="0" collapsed="false">
      <c r="A58" s="102"/>
      <c r="B58" s="123" t="n">
        <v>14</v>
      </c>
      <c r="C58" s="136" t="n">
        <v>1.39</v>
      </c>
      <c r="D58" s="136" t="n">
        <v>1.406</v>
      </c>
      <c r="E58" s="136" t="n">
        <v>1.403</v>
      </c>
      <c r="F58" s="136" t="n">
        <v>1.369</v>
      </c>
      <c r="G58" s="136" t="n">
        <v>1.427</v>
      </c>
      <c r="H58" s="136" t="n">
        <v>1.408</v>
      </c>
      <c r="I58" s="136" t="n">
        <v>1.453</v>
      </c>
      <c r="J58" s="136" t="n">
        <v>1.375</v>
      </c>
      <c r="K58" s="136" t="n">
        <v>1.487</v>
      </c>
      <c r="L58" s="136" t="n">
        <v>1.402</v>
      </c>
      <c r="M58" s="129" t="n">
        <f aca="false">AVERAGE(C58:L58)</f>
        <v>1.412</v>
      </c>
      <c r="N58" s="129" t="n">
        <f aca="false">STDEV(C58:L58)</f>
        <v>0.0356931365951495</v>
      </c>
      <c r="O58" s="132" t="str">
        <f aca="false">IF(M58&gt;$C$73,"OOC high",IF(M58&lt;$C$74,"OOC low","OK"))</f>
        <v>OK</v>
      </c>
      <c r="P58" s="132" t="str">
        <f aca="false">IF(N58&gt;$C$75,"OOC high",IF(N58&lt;$C$76,"OOC low","OK"))</f>
        <v>OK</v>
      </c>
    </row>
    <row r="59" customFormat="false" ht="15" hidden="false" customHeight="true" outlineLevel="0" collapsed="false">
      <c r="A59" s="102"/>
      <c r="B59" s="123" t="n">
        <v>15</v>
      </c>
      <c r="C59" s="136" t="n">
        <v>1.436</v>
      </c>
      <c r="D59" s="136" t="n">
        <v>1.418</v>
      </c>
      <c r="E59" s="136" t="n">
        <v>1.34</v>
      </c>
      <c r="F59" s="136" t="n">
        <v>1.387</v>
      </c>
      <c r="G59" s="136" t="n">
        <v>1.441</v>
      </c>
      <c r="H59" s="136" t="n">
        <v>1.451</v>
      </c>
      <c r="I59" s="136" t="n">
        <v>1.391</v>
      </c>
      <c r="J59" s="136" t="n">
        <v>1.457</v>
      </c>
      <c r="K59" s="136" t="n">
        <v>1.442</v>
      </c>
      <c r="L59" s="136" t="n">
        <v>1.379</v>
      </c>
      <c r="M59" s="129" t="n">
        <f aca="false">AVERAGE(C59:L59)</f>
        <v>1.4142</v>
      </c>
      <c r="N59" s="129" t="n">
        <f aca="false">STDEV(C59:L59)</f>
        <v>0.0382819946072708</v>
      </c>
      <c r="O59" s="132" t="str">
        <f aca="false">IF(M59&gt;$C$73,"OOC high",IF(M59&lt;$C$74,"OOC low","OK"))</f>
        <v>OK</v>
      </c>
      <c r="P59" s="132" t="str">
        <f aca="false">IF(N59&gt;$C$75,"OOC high",IF(N59&lt;$C$76,"OOC low","OK"))</f>
        <v>OK</v>
      </c>
    </row>
    <row r="60" customFormat="false" ht="15" hidden="false" customHeight="true" outlineLevel="0" collapsed="false">
      <c r="A60" s="102"/>
      <c r="B60" s="123" t="n">
        <v>16</v>
      </c>
      <c r="C60" s="136" t="n">
        <v>1.452</v>
      </c>
      <c r="D60" s="136" t="n">
        <v>1.401</v>
      </c>
      <c r="E60" s="136" t="n">
        <v>1.348</v>
      </c>
      <c r="F60" s="136" t="n">
        <v>1.422</v>
      </c>
      <c r="G60" s="136" t="n">
        <v>1.404</v>
      </c>
      <c r="H60" s="136" t="n">
        <v>1.384</v>
      </c>
      <c r="I60" s="136" t="n">
        <v>1.354</v>
      </c>
      <c r="J60" s="136" t="n">
        <v>1.379</v>
      </c>
      <c r="K60" s="136" t="n">
        <v>1.443</v>
      </c>
      <c r="L60" s="136" t="n">
        <v>1.379</v>
      </c>
      <c r="M60" s="129" t="n">
        <f aca="false">AVERAGE(C60:L60)</f>
        <v>1.3966</v>
      </c>
      <c r="N60" s="129" t="n">
        <f aca="false">STDEV(C60:L60)</f>
        <v>0.0347952742640593</v>
      </c>
      <c r="O60" s="132" t="str">
        <f aca="false">IF(M60&gt;$C$73,"OOC high",IF(M60&lt;$C$74,"OOC low","OK"))</f>
        <v>OK</v>
      </c>
      <c r="P60" s="132" t="str">
        <f aca="false">IF(N60&gt;$C$75,"OOC high",IF(N60&lt;$C$76,"OOC low","OK"))</f>
        <v>OK</v>
      </c>
    </row>
    <row r="61" customFormat="false" ht="15" hidden="false" customHeight="true" outlineLevel="0" collapsed="false">
      <c r="A61" s="102"/>
      <c r="B61" s="123" t="n">
        <v>17</v>
      </c>
      <c r="C61" s="136" t="n">
        <v>1.355</v>
      </c>
      <c r="D61" s="136" t="n">
        <v>1.36</v>
      </c>
      <c r="E61" s="136" t="n">
        <v>1.437</v>
      </c>
      <c r="F61" s="136" t="n">
        <v>1.459</v>
      </c>
      <c r="G61" s="136" t="n">
        <v>1.357</v>
      </c>
      <c r="H61" s="136" t="n">
        <v>1.376</v>
      </c>
      <c r="I61" s="136" t="n">
        <v>1.424</v>
      </c>
      <c r="J61" s="136" t="n">
        <v>1.435</v>
      </c>
      <c r="K61" s="136" t="n">
        <v>1.38</v>
      </c>
      <c r="L61" s="136" t="n">
        <v>1.413</v>
      </c>
      <c r="M61" s="129" t="n">
        <f aca="false">AVERAGE(C61:L61)</f>
        <v>1.3996</v>
      </c>
      <c r="N61" s="129" t="n">
        <f aca="false">STDEV(C61:L61)</f>
        <v>0.0383961803655867</v>
      </c>
      <c r="O61" s="132" t="str">
        <f aca="false">IF(M61&gt;$C$73,"OOC high",IF(M61&lt;$C$74,"OOC low","OK"))</f>
        <v>OK</v>
      </c>
      <c r="P61" s="132" t="str">
        <f aca="false">IF(N61&gt;$C$75,"OOC high",IF(N61&lt;$C$76,"OOC low","OK"))</f>
        <v>OK</v>
      </c>
    </row>
    <row r="62" customFormat="false" ht="15" hidden="false" customHeight="true" outlineLevel="0" collapsed="false">
      <c r="A62" s="102"/>
      <c r="B62" s="123" t="n">
        <v>18</v>
      </c>
      <c r="C62" s="136" t="n">
        <v>1.463</v>
      </c>
      <c r="D62" s="136" t="n">
        <v>1.376</v>
      </c>
      <c r="E62" s="136" t="n">
        <v>1.387</v>
      </c>
      <c r="F62" s="136" t="n">
        <v>1.404</v>
      </c>
      <c r="G62" s="136" t="n">
        <v>1.417</v>
      </c>
      <c r="H62" s="136" t="n">
        <v>1.398</v>
      </c>
      <c r="I62" s="136" t="n">
        <v>1.355</v>
      </c>
      <c r="J62" s="136" t="n">
        <v>1.398</v>
      </c>
      <c r="K62" s="136" t="n">
        <v>1.431</v>
      </c>
      <c r="L62" s="136" t="n">
        <v>1.36</v>
      </c>
      <c r="M62" s="129" t="n">
        <f aca="false">AVERAGE(C62:L62)</f>
        <v>1.3989</v>
      </c>
      <c r="N62" s="129" t="n">
        <f aca="false">STDEV(C62:L62)</f>
        <v>0.0326613941323188</v>
      </c>
      <c r="O62" s="132" t="str">
        <f aca="false">IF(M62&gt;$C$73,"OOC high",IF(M62&lt;$C$74,"OOC low","OK"))</f>
        <v>OK</v>
      </c>
      <c r="P62" s="132" t="str">
        <f aca="false">IF(N62&gt;$C$75,"OOC high",IF(N62&lt;$C$76,"OOC low","OK"))</f>
        <v>OK</v>
      </c>
    </row>
    <row r="63" customFormat="false" ht="15" hidden="false" customHeight="true" outlineLevel="0" collapsed="false">
      <c r="A63" s="102"/>
      <c r="B63" s="123" t="n">
        <v>19</v>
      </c>
      <c r="C63" s="136" t="n">
        <v>1.367</v>
      </c>
      <c r="D63" s="136" t="n">
        <v>1.375</v>
      </c>
      <c r="E63" s="136" t="n">
        <v>1.464</v>
      </c>
      <c r="F63" s="136" t="n">
        <v>1.391</v>
      </c>
      <c r="G63" s="136" t="n">
        <v>1.361</v>
      </c>
      <c r="H63" s="136" t="n">
        <v>1.449</v>
      </c>
      <c r="I63" s="136" t="n">
        <v>1.438</v>
      </c>
      <c r="J63" s="136" t="n">
        <v>1.387</v>
      </c>
      <c r="K63" s="136" t="n">
        <v>1.411</v>
      </c>
      <c r="L63" s="136" t="n">
        <v>1.407</v>
      </c>
      <c r="M63" s="129" t="n">
        <f aca="false">AVERAGE(C63:L63)</f>
        <v>1.405</v>
      </c>
      <c r="N63" s="129" t="n">
        <f aca="false">STDEV(C63:L63)</f>
        <v>0.0355058680596133</v>
      </c>
      <c r="O63" s="132" t="str">
        <f aca="false">IF(M63&gt;$C$73,"OOC high",IF(M63&lt;$C$74,"OOC low","OK"))</f>
        <v>OK</v>
      </c>
      <c r="P63" s="132" t="str">
        <f aca="false">IF(N63&gt;$C$75,"OOC high",IF(N63&lt;$C$76,"OOC low","OK"))</f>
        <v>OK</v>
      </c>
    </row>
    <row r="64" customFormat="false" ht="15" hidden="false" customHeight="true" outlineLevel="0" collapsed="false">
      <c r="A64" s="102"/>
      <c r="B64" s="123" t="n">
        <v>20</v>
      </c>
      <c r="C64" s="136" t="n">
        <v>1.423</v>
      </c>
      <c r="D64" s="136" t="n">
        <v>1.395</v>
      </c>
      <c r="E64" s="136" t="n">
        <v>1.408</v>
      </c>
      <c r="F64" s="136" t="n">
        <v>1.378</v>
      </c>
      <c r="G64" s="136" t="n">
        <v>1.403</v>
      </c>
      <c r="H64" s="136" t="n">
        <v>1.42</v>
      </c>
      <c r="I64" s="136" t="n">
        <v>1.406</v>
      </c>
      <c r="J64" s="136" t="n">
        <v>1.386</v>
      </c>
      <c r="K64" s="136" t="n">
        <v>1.337</v>
      </c>
      <c r="L64" s="136" t="n">
        <v>1.411</v>
      </c>
      <c r="M64" s="129" t="n">
        <f aca="false">AVERAGE(C64:L64)</f>
        <v>1.3967</v>
      </c>
      <c r="N64" s="129" t="n">
        <f aca="false">STDEV(C64:L64)</f>
        <v>0.025219260716982</v>
      </c>
      <c r="O64" s="132" t="str">
        <f aca="false">IF(M64&gt;$C$73,"OOC high",IF(M64&lt;$C$74,"OOC low","OK"))</f>
        <v>OK</v>
      </c>
      <c r="P64" s="132" t="str">
        <f aca="false">IF(N64&gt;$C$75,"OOC high",IF(N64&lt;$C$76,"OOC low","OK"))</f>
        <v>OK</v>
      </c>
    </row>
    <row r="65" customFormat="false" ht="15" hidden="false" customHeight="true" outlineLevel="0" collapsed="false">
      <c r="A65" s="102"/>
      <c r="B65" s="123" t="n">
        <v>21</v>
      </c>
      <c r="C65" s="136" t="n">
        <v>1.395</v>
      </c>
      <c r="D65" s="136" t="n">
        <v>1.399</v>
      </c>
      <c r="E65" s="136" t="n">
        <v>1.466</v>
      </c>
      <c r="F65" s="136" t="n">
        <v>1.407</v>
      </c>
      <c r="G65" s="136" t="n">
        <v>1.395</v>
      </c>
      <c r="H65" s="136" t="n">
        <v>1.414</v>
      </c>
      <c r="I65" s="136" t="n">
        <v>1.339</v>
      </c>
      <c r="J65" s="136" t="n">
        <v>1.39</v>
      </c>
      <c r="K65" s="136" t="n">
        <v>1.394</v>
      </c>
      <c r="L65" s="136" t="n">
        <v>1.418</v>
      </c>
      <c r="M65" s="129" t="n">
        <f aca="false">AVERAGE(C65:L65)</f>
        <v>1.4017</v>
      </c>
      <c r="N65" s="129" t="n">
        <f aca="false">STDEV(C65:L65)</f>
        <v>0.0312767219083671</v>
      </c>
      <c r="O65" s="132" t="str">
        <f aca="false">IF(M65&gt;$C$73,"OOC high",IF(M65&lt;$C$74,"OOC low","OK"))</f>
        <v>OK</v>
      </c>
      <c r="P65" s="132" t="str">
        <f aca="false">IF(N65&gt;$C$75,"OOC high",IF(N65&lt;$C$76,"OOC low","OK"))</f>
        <v>OK</v>
      </c>
    </row>
    <row r="66" customFormat="false" ht="15" hidden="false" customHeight="true" outlineLevel="0" collapsed="false">
      <c r="A66" s="102"/>
      <c r="B66" s="123" t="n">
        <v>22</v>
      </c>
      <c r="C66" s="136" t="n">
        <v>1.476</v>
      </c>
      <c r="D66" s="136" t="n">
        <v>1.496</v>
      </c>
      <c r="E66" s="136" t="n">
        <v>1.463</v>
      </c>
      <c r="F66" s="136" t="n">
        <v>1.446</v>
      </c>
      <c r="G66" s="136" t="n">
        <v>1.464</v>
      </c>
      <c r="H66" s="136" t="n">
        <v>1.407</v>
      </c>
      <c r="I66" s="136" t="n">
        <v>1.428</v>
      </c>
      <c r="J66" s="136" t="n">
        <v>1.448</v>
      </c>
      <c r="K66" s="136" t="n">
        <v>1.501</v>
      </c>
      <c r="L66" s="136" t="n">
        <v>1.468</v>
      </c>
      <c r="M66" s="129" t="n">
        <f aca="false">AVERAGE(C66:L66)</f>
        <v>1.4597</v>
      </c>
      <c r="N66" s="129" t="n">
        <f aca="false">STDEV(C66:L66)</f>
        <v>0.0288561566702459</v>
      </c>
      <c r="O66" s="132" t="str">
        <f aca="false">IF(M66&gt;$C$73,"OOC high",IF(M66&lt;$C$74,"OOC low","OK"))</f>
        <v>OOC high</v>
      </c>
      <c r="P66" s="132" t="str">
        <f aca="false">IF(N66&gt;$C$75,"OOC high",IF(N66&lt;$C$76,"OOC low","OK"))</f>
        <v>OK</v>
      </c>
    </row>
    <row r="67" customFormat="false" ht="15" hidden="false" customHeight="true" outlineLevel="0" collapsed="false">
      <c r="A67" s="102"/>
      <c r="B67" s="123" t="n">
        <v>23</v>
      </c>
      <c r="C67" s="136" t="n">
        <v>1.415</v>
      </c>
      <c r="D67" s="136" t="n">
        <v>1.488</v>
      </c>
      <c r="E67" s="136" t="n">
        <v>1.479</v>
      </c>
      <c r="F67" s="136" t="n">
        <v>1.468</v>
      </c>
      <c r="G67" s="136" t="n">
        <v>1.5</v>
      </c>
      <c r="H67" s="136" t="n">
        <v>1.465</v>
      </c>
      <c r="I67" s="136" t="n">
        <v>1.5</v>
      </c>
      <c r="J67" s="136" t="n">
        <v>1.476</v>
      </c>
      <c r="K67" s="136" t="n">
        <v>1.431</v>
      </c>
      <c r="L67" s="136" t="n">
        <v>1.472</v>
      </c>
      <c r="M67" s="129" t="n">
        <f aca="false">AVERAGE(C67:L67)</f>
        <v>1.4694</v>
      </c>
      <c r="N67" s="129" t="n">
        <f aca="false">STDEV(C67:L67)</f>
        <v>0.0275204974115254</v>
      </c>
      <c r="O67" s="132" t="str">
        <f aca="false">IF(M67&gt;$C$73,"OOC high",IF(M67&lt;$C$74,"OOC low","OK"))</f>
        <v>OOC high</v>
      </c>
      <c r="P67" s="132" t="str">
        <f aca="false">IF(N67&gt;$C$75,"OOC high",IF(N67&lt;$C$76,"OOC low","OK"))</f>
        <v>OK</v>
      </c>
    </row>
    <row r="68" customFormat="false" ht="15" hidden="false" customHeight="true" outlineLevel="0" collapsed="false">
      <c r="A68" s="102"/>
      <c r="B68" s="123" t="n">
        <v>24</v>
      </c>
      <c r="C68" s="136" t="n">
        <v>1.489</v>
      </c>
      <c r="D68" s="136" t="n">
        <v>1.533</v>
      </c>
      <c r="E68" s="136" t="n">
        <v>1.444</v>
      </c>
      <c r="F68" s="136" t="n">
        <v>1.462</v>
      </c>
      <c r="G68" s="136" t="n">
        <v>1.408</v>
      </c>
      <c r="H68" s="136" t="n">
        <v>1.432</v>
      </c>
      <c r="I68" s="136" t="n">
        <v>1.386</v>
      </c>
      <c r="J68" s="136" t="n">
        <v>1.465</v>
      </c>
      <c r="K68" s="136" t="n">
        <v>1.488</v>
      </c>
      <c r="L68" s="136" t="n">
        <v>1.415</v>
      </c>
      <c r="M68" s="129" t="n">
        <f aca="false">AVERAGE(C68:L68)</f>
        <v>1.4522</v>
      </c>
      <c r="N68" s="129" t="n">
        <f aca="false">STDEV(C68:L68)</f>
        <v>0.044246280446308</v>
      </c>
      <c r="O68" s="132" t="str">
        <f aca="false">IF(M68&gt;$C$73,"OOC high",IF(M68&lt;$C$74,"OOC low","OK"))</f>
        <v>OOC high</v>
      </c>
      <c r="P68" s="132" t="str">
        <f aca="false">IF(N68&gt;$C$75,"OOC high",IF(N68&lt;$C$76,"OOC low","OK"))</f>
        <v>OK</v>
      </c>
    </row>
    <row r="69" customFormat="false" ht="15" hidden="false" customHeight="true" outlineLevel="0" collapsed="false">
      <c r="A69" s="102"/>
      <c r="B69" s="123" t="n">
        <v>25</v>
      </c>
      <c r="C69" s="136" t="n">
        <v>1.495</v>
      </c>
      <c r="D69" s="136" t="n">
        <v>1.466</v>
      </c>
      <c r="E69" s="136" t="n">
        <v>1.439</v>
      </c>
      <c r="F69" s="136" t="n">
        <v>1.459</v>
      </c>
      <c r="G69" s="136" t="n">
        <v>1.408</v>
      </c>
      <c r="H69" s="136" t="n">
        <v>1.46</v>
      </c>
      <c r="I69" s="136" t="n">
        <v>1.461</v>
      </c>
      <c r="J69" s="136" t="n">
        <v>1.401</v>
      </c>
      <c r="K69" s="136" t="n">
        <v>1.46</v>
      </c>
      <c r="L69" s="136" t="n">
        <v>1.43</v>
      </c>
      <c r="M69" s="129" t="n">
        <f aca="false">AVERAGE(C69:L69)</f>
        <v>1.4479</v>
      </c>
      <c r="N69" s="129" t="n">
        <f aca="false">STDEV(C69:L69)</f>
        <v>0.0285285432116289</v>
      </c>
      <c r="O69" s="132" t="str">
        <f aca="false">IF(M69&gt;$C$73,"OOC high",IF(M69&lt;$C$74,"OOC low","OK"))</f>
        <v>OOC high</v>
      </c>
      <c r="P69" s="132" t="str">
        <f aca="false">IF(N69&gt;$C$75,"OOC high",IF(N69&lt;$C$76,"OOC low","OK"))</f>
        <v>OK</v>
      </c>
    </row>
    <row r="70" customFormat="false" ht="15" hidden="false" customHeight="true" outlineLevel="0" collapsed="false">
      <c r="A70" s="102"/>
      <c r="B70" s="102"/>
      <c r="C70" s="102"/>
      <c r="D70" s="102"/>
      <c r="E70" s="102"/>
      <c r="F70" s="102"/>
      <c r="G70" s="102"/>
      <c r="H70" s="102"/>
      <c r="I70" s="102"/>
      <c r="J70" s="102"/>
      <c r="K70" s="102"/>
      <c r="L70" s="102"/>
      <c r="M70" s="102"/>
      <c r="N70" s="102"/>
      <c r="O70" s="102"/>
    </row>
    <row r="71" customFormat="false" ht="15" hidden="false" customHeight="true" outlineLevel="0" collapsed="false">
      <c r="A71" s="102"/>
      <c r="B71" s="105" t="s">
        <v>5869</v>
      </c>
      <c r="C71" s="129" t="n">
        <f aca="false">AVERAGE(M45:M69)</f>
        <v>1.410604</v>
      </c>
      <c r="D71" s="102"/>
      <c r="E71" s="102"/>
      <c r="F71" s="102"/>
      <c r="G71" s="102"/>
      <c r="H71" s="102"/>
      <c r="I71" s="102"/>
      <c r="J71" s="102"/>
      <c r="K71" s="102"/>
      <c r="L71" s="102"/>
      <c r="M71" s="102"/>
      <c r="N71" s="102"/>
      <c r="O71" s="102"/>
    </row>
    <row r="72" customFormat="false" ht="15" hidden="false" customHeight="true" outlineLevel="0" collapsed="false">
      <c r="A72" s="102"/>
      <c r="B72" s="105" t="s">
        <v>5924</v>
      </c>
      <c r="C72" s="129" t="n">
        <f aca="false">AVERAGE(N45:N69)</f>
        <v>0.0350827040863106</v>
      </c>
      <c r="D72" s="102"/>
      <c r="E72" s="102"/>
      <c r="F72" s="102"/>
      <c r="G72" s="102"/>
      <c r="H72" s="102"/>
      <c r="I72" s="102"/>
      <c r="J72" s="102"/>
      <c r="K72" s="102"/>
      <c r="L72" s="102"/>
      <c r="M72" s="102"/>
      <c r="N72" s="102"/>
      <c r="O72" s="102"/>
    </row>
    <row r="73" customFormat="false" ht="15" hidden="false" customHeight="true" outlineLevel="0" collapsed="false">
      <c r="A73" s="102"/>
      <c r="B73" s="105" t="s">
        <v>5925</v>
      </c>
      <c r="C73" s="129" t="n">
        <f aca="false">C71+0.975*C72</f>
        <v>1.44480963648415</v>
      </c>
      <c r="D73" s="102"/>
      <c r="E73" s="102"/>
      <c r="F73" s="102"/>
      <c r="G73" s="102"/>
      <c r="H73" s="102"/>
      <c r="I73" s="102"/>
      <c r="J73" s="102"/>
      <c r="K73" s="102"/>
      <c r="L73" s="102"/>
      <c r="M73" s="102"/>
      <c r="N73" s="102"/>
      <c r="O73" s="102"/>
    </row>
    <row r="74" customFormat="false" ht="15" hidden="false" customHeight="true" outlineLevel="0" collapsed="false">
      <c r="A74" s="102"/>
      <c r="B74" s="105" t="s">
        <v>5926</v>
      </c>
      <c r="C74" s="129" t="n">
        <f aca="false">C71-0.975*C72</f>
        <v>1.37639836351585</v>
      </c>
      <c r="D74" s="102"/>
      <c r="E74" s="102"/>
      <c r="F74" s="102"/>
      <c r="G74" s="102"/>
      <c r="H74" s="102"/>
      <c r="I74" s="102"/>
      <c r="J74" s="102"/>
      <c r="K74" s="102"/>
      <c r="L74" s="102"/>
      <c r="M74" s="102"/>
      <c r="N74" s="102"/>
      <c r="O74" s="102"/>
    </row>
    <row r="75" customFormat="false" ht="15" hidden="false" customHeight="true" outlineLevel="0" collapsed="false">
      <c r="A75" s="102"/>
      <c r="B75" s="105" t="s">
        <v>5927</v>
      </c>
      <c r="C75" s="129" t="n">
        <f aca="false">1.716*C72</f>
        <v>0.0602019202121089</v>
      </c>
      <c r="D75" s="102"/>
      <c r="E75" s="102"/>
      <c r="F75" s="102"/>
      <c r="G75" s="102"/>
      <c r="H75" s="102"/>
      <c r="I75" s="102"/>
      <c r="J75" s="102"/>
      <c r="K75" s="102"/>
      <c r="L75" s="102"/>
      <c r="M75" s="102"/>
      <c r="N75" s="102"/>
      <c r="O75" s="102"/>
    </row>
    <row r="76" customFormat="false" ht="15" hidden="false" customHeight="true" outlineLevel="0" collapsed="false">
      <c r="A76" s="102"/>
      <c r="B76" s="105" t="s">
        <v>5928</v>
      </c>
      <c r="C76" s="129" t="n">
        <f aca="false">0.284*C72</f>
        <v>0.0099634879605122</v>
      </c>
      <c r="D76" s="102"/>
      <c r="E76" s="102"/>
      <c r="F76" s="102"/>
      <c r="G76" s="102"/>
      <c r="H76" s="102"/>
      <c r="I76" s="102"/>
      <c r="J76" s="102"/>
      <c r="K76" s="102"/>
      <c r="L76" s="102"/>
      <c r="M76" s="102"/>
      <c r="N76" s="102"/>
      <c r="O76" s="102"/>
    </row>
    <row r="77" customFormat="false" ht="15" hidden="false" customHeight="true" outlineLevel="0" collapsed="false">
      <c r="A77" s="102"/>
      <c r="B77" s="102"/>
      <c r="C77" s="102"/>
      <c r="D77" s="102"/>
      <c r="E77" s="102"/>
      <c r="F77" s="102"/>
      <c r="G77" s="102"/>
      <c r="H77" s="102"/>
      <c r="I77" s="102"/>
      <c r="J77" s="102"/>
      <c r="K77" s="102"/>
      <c r="L77" s="102"/>
      <c r="M77" s="102"/>
      <c r="N77" s="102"/>
      <c r="O77" s="102"/>
    </row>
    <row r="78" customFormat="false" ht="16.5" hidden="false" customHeight="true" outlineLevel="0" collapsed="false">
      <c r="A78" s="102"/>
      <c r="B78" s="108" t="s">
        <v>5861</v>
      </c>
      <c r="C78" s="108" t="s">
        <v>5867</v>
      </c>
      <c r="D78" s="108" t="s">
        <v>5875</v>
      </c>
      <c r="E78" s="108" t="s">
        <v>5809</v>
      </c>
      <c r="F78" s="108" t="s">
        <v>5810</v>
      </c>
      <c r="G78" s="108" t="s">
        <v>5811</v>
      </c>
      <c r="H78" s="102"/>
      <c r="I78" s="102"/>
      <c r="J78" s="102"/>
      <c r="K78" s="102"/>
      <c r="L78" s="102"/>
      <c r="M78" s="102"/>
      <c r="N78" s="102"/>
      <c r="O78" s="102"/>
    </row>
    <row r="79" customFormat="false" ht="15" hidden="false" customHeight="true" outlineLevel="0" collapsed="false">
      <c r="A79" s="102"/>
      <c r="B79" s="123" t="n">
        <v>1</v>
      </c>
      <c r="C79" s="129" t="n">
        <f aca="false">M45</f>
        <v>1.4242</v>
      </c>
      <c r="D79" s="132" t="str">
        <f aca="false">O45</f>
        <v>OK</v>
      </c>
      <c r="E79" s="129" t="n">
        <f aca="false">$C$71</f>
        <v>1.410604</v>
      </c>
      <c r="F79" s="129" t="n">
        <f aca="false">$C$73</f>
        <v>1.44480963648415</v>
      </c>
      <c r="G79" s="129" t="n">
        <f aca="false">$C$74</f>
        <v>1.37639836351585</v>
      </c>
      <c r="H79" s="102"/>
      <c r="I79" s="102"/>
      <c r="J79" s="102"/>
      <c r="K79" s="102"/>
      <c r="L79" s="102"/>
      <c r="M79" s="102"/>
      <c r="N79" s="102"/>
      <c r="O79" s="102"/>
    </row>
    <row r="80" customFormat="false" ht="15" hidden="false" customHeight="true" outlineLevel="0" collapsed="false">
      <c r="A80" s="102"/>
      <c r="B80" s="123" t="n">
        <v>2</v>
      </c>
      <c r="C80" s="129" t="n">
        <f aca="false">M46</f>
        <v>1.4021</v>
      </c>
      <c r="D80" s="132" t="str">
        <f aca="false">O46</f>
        <v>OK</v>
      </c>
      <c r="E80" s="129" t="n">
        <f aca="false">$C$71</f>
        <v>1.410604</v>
      </c>
      <c r="F80" s="129" t="n">
        <f aca="false">$C$73</f>
        <v>1.44480963648415</v>
      </c>
      <c r="G80" s="129" t="n">
        <f aca="false">$C$74</f>
        <v>1.37639836351585</v>
      </c>
      <c r="H80" s="102"/>
      <c r="I80" s="102"/>
      <c r="J80" s="102"/>
      <c r="K80" s="102"/>
      <c r="L80" s="102"/>
      <c r="M80" s="102"/>
      <c r="N80" s="102"/>
      <c r="O80" s="102"/>
    </row>
    <row r="81" customFormat="false" ht="15" hidden="false" customHeight="true" outlineLevel="0" collapsed="false">
      <c r="A81" s="102"/>
      <c r="B81" s="123" t="n">
        <v>3</v>
      </c>
      <c r="C81" s="129" t="n">
        <f aca="false">M47</f>
        <v>1.4117</v>
      </c>
      <c r="D81" s="132" t="str">
        <f aca="false">O47</f>
        <v>OK</v>
      </c>
      <c r="E81" s="129" t="n">
        <f aca="false">$C$71</f>
        <v>1.410604</v>
      </c>
      <c r="F81" s="129" t="n">
        <f aca="false">$C$73</f>
        <v>1.44480963648415</v>
      </c>
      <c r="G81" s="129" t="n">
        <f aca="false">$C$74</f>
        <v>1.37639836351585</v>
      </c>
      <c r="H81" s="102"/>
      <c r="I81" s="102"/>
      <c r="J81" s="102"/>
      <c r="K81" s="102"/>
      <c r="L81" s="102"/>
      <c r="M81" s="102"/>
      <c r="N81" s="102"/>
      <c r="O81" s="102"/>
    </row>
    <row r="82" customFormat="false" ht="15" hidden="false" customHeight="true" outlineLevel="0" collapsed="false">
      <c r="A82" s="102"/>
      <c r="B82" s="123" t="n">
        <v>4</v>
      </c>
      <c r="C82" s="129" t="n">
        <f aca="false">M48</f>
        <v>1.3904</v>
      </c>
      <c r="D82" s="132" t="str">
        <f aca="false">O48</f>
        <v>OK</v>
      </c>
      <c r="E82" s="129" t="n">
        <f aca="false">$C$71</f>
        <v>1.410604</v>
      </c>
      <c r="F82" s="129" t="n">
        <f aca="false">$C$73</f>
        <v>1.44480963648415</v>
      </c>
      <c r="G82" s="129" t="n">
        <f aca="false">$C$74</f>
        <v>1.37639836351585</v>
      </c>
      <c r="H82" s="102"/>
      <c r="I82" s="102"/>
      <c r="J82" s="102"/>
      <c r="K82" s="102"/>
      <c r="L82" s="102"/>
      <c r="M82" s="102"/>
      <c r="N82" s="102"/>
      <c r="O82" s="102"/>
    </row>
    <row r="83" customFormat="false" ht="15" hidden="false" customHeight="true" outlineLevel="0" collapsed="false">
      <c r="A83" s="102"/>
      <c r="B83" s="123" t="n">
        <v>5</v>
      </c>
      <c r="C83" s="129" t="n">
        <f aca="false">M49</f>
        <v>1.4093</v>
      </c>
      <c r="D83" s="132" t="str">
        <f aca="false">O49</f>
        <v>OK</v>
      </c>
      <c r="E83" s="129" t="n">
        <f aca="false">$C$71</f>
        <v>1.410604</v>
      </c>
      <c r="F83" s="129" t="n">
        <f aca="false">$C$73</f>
        <v>1.44480963648415</v>
      </c>
      <c r="G83" s="129" t="n">
        <f aca="false">$C$74</f>
        <v>1.37639836351585</v>
      </c>
      <c r="H83" s="102"/>
      <c r="I83" s="102"/>
      <c r="J83" s="102"/>
      <c r="K83" s="102"/>
      <c r="L83" s="102"/>
      <c r="M83" s="102"/>
      <c r="N83" s="102"/>
      <c r="O83" s="102"/>
    </row>
    <row r="84" customFormat="false" ht="15" hidden="false" customHeight="true" outlineLevel="0" collapsed="false">
      <c r="A84" s="102"/>
      <c r="B84" s="123" t="n">
        <v>6</v>
      </c>
      <c r="C84" s="129" t="n">
        <f aca="false">M50</f>
        <v>1.3954</v>
      </c>
      <c r="D84" s="132" t="str">
        <f aca="false">O50</f>
        <v>OK</v>
      </c>
      <c r="E84" s="129" t="n">
        <f aca="false">$C$71</f>
        <v>1.410604</v>
      </c>
      <c r="F84" s="129" t="n">
        <f aca="false">$C$73</f>
        <v>1.44480963648415</v>
      </c>
      <c r="G84" s="129" t="n">
        <f aca="false">$C$74</f>
        <v>1.37639836351585</v>
      </c>
      <c r="H84" s="102"/>
      <c r="I84" s="102"/>
      <c r="J84" s="102"/>
      <c r="K84" s="102"/>
      <c r="L84" s="102"/>
      <c r="M84" s="102"/>
      <c r="N84" s="102"/>
      <c r="O84" s="102"/>
    </row>
    <row r="85" customFormat="false" ht="15" hidden="false" customHeight="true" outlineLevel="0" collapsed="false">
      <c r="A85" s="102"/>
      <c r="B85" s="123" t="n">
        <v>7</v>
      </c>
      <c r="C85" s="129" t="n">
        <f aca="false">M51</f>
        <v>1.3947</v>
      </c>
      <c r="D85" s="132" t="str">
        <f aca="false">O51</f>
        <v>OK</v>
      </c>
      <c r="E85" s="129" t="n">
        <f aca="false">$C$71</f>
        <v>1.410604</v>
      </c>
      <c r="F85" s="129" t="n">
        <f aca="false">$C$73</f>
        <v>1.44480963648415</v>
      </c>
      <c r="G85" s="129" t="n">
        <f aca="false">$C$74</f>
        <v>1.37639836351585</v>
      </c>
      <c r="H85" s="102"/>
      <c r="I85" s="102"/>
      <c r="J85" s="102"/>
      <c r="K85" s="102"/>
      <c r="L85" s="102"/>
      <c r="M85" s="102"/>
      <c r="N85" s="102"/>
      <c r="O85" s="102"/>
    </row>
    <row r="86" customFormat="false" ht="15" hidden="false" customHeight="true" outlineLevel="0" collapsed="false">
      <c r="A86" s="102"/>
      <c r="B86" s="123" t="n">
        <v>8</v>
      </c>
      <c r="C86" s="129" t="n">
        <f aca="false">M52</f>
        <v>1.4064</v>
      </c>
      <c r="D86" s="132" t="str">
        <f aca="false">O52</f>
        <v>OK</v>
      </c>
      <c r="E86" s="129" t="n">
        <f aca="false">$C$71</f>
        <v>1.410604</v>
      </c>
      <c r="F86" s="129" t="n">
        <f aca="false">$C$73</f>
        <v>1.44480963648415</v>
      </c>
      <c r="G86" s="129" t="n">
        <f aca="false">$C$74</f>
        <v>1.37639836351585</v>
      </c>
      <c r="H86" s="102"/>
      <c r="I86" s="102"/>
      <c r="J86" s="102"/>
      <c r="K86" s="102"/>
      <c r="L86" s="102"/>
      <c r="M86" s="102"/>
      <c r="N86" s="102"/>
      <c r="O86" s="102"/>
    </row>
    <row r="87" customFormat="false" ht="15" hidden="false" customHeight="true" outlineLevel="0" collapsed="false">
      <c r="A87" s="102"/>
      <c r="B87" s="123" t="n">
        <v>9</v>
      </c>
      <c r="C87" s="129" t="n">
        <f aca="false">M53</f>
        <v>1.4018</v>
      </c>
      <c r="D87" s="132" t="str">
        <f aca="false">O53</f>
        <v>OK</v>
      </c>
      <c r="E87" s="129" t="n">
        <f aca="false">$C$71</f>
        <v>1.410604</v>
      </c>
      <c r="F87" s="129" t="n">
        <f aca="false">$C$73</f>
        <v>1.44480963648415</v>
      </c>
      <c r="G87" s="129" t="n">
        <f aca="false">$C$74</f>
        <v>1.37639836351585</v>
      </c>
      <c r="H87" s="102"/>
      <c r="I87" s="102"/>
      <c r="J87" s="102"/>
      <c r="K87" s="102"/>
      <c r="L87" s="102"/>
      <c r="M87" s="102"/>
      <c r="N87" s="102"/>
      <c r="O87" s="102"/>
    </row>
    <row r="88" customFormat="false" ht="15" hidden="false" customHeight="true" outlineLevel="0" collapsed="false">
      <c r="A88" s="102"/>
      <c r="B88" s="123" t="n">
        <v>10</v>
      </c>
      <c r="C88" s="129" t="n">
        <f aca="false">M54</f>
        <v>1.3849</v>
      </c>
      <c r="D88" s="132" t="str">
        <f aca="false">O54</f>
        <v>OK</v>
      </c>
      <c r="E88" s="129" t="n">
        <f aca="false">$C$71</f>
        <v>1.410604</v>
      </c>
      <c r="F88" s="129" t="n">
        <f aca="false">$C$73</f>
        <v>1.44480963648415</v>
      </c>
      <c r="G88" s="129" t="n">
        <f aca="false">$C$74</f>
        <v>1.37639836351585</v>
      </c>
      <c r="H88" s="102"/>
      <c r="I88" s="102"/>
      <c r="J88" s="102"/>
      <c r="K88" s="102"/>
      <c r="L88" s="102"/>
      <c r="M88" s="102"/>
      <c r="N88" s="102"/>
      <c r="O88" s="102"/>
    </row>
    <row r="89" customFormat="false" ht="15" hidden="false" customHeight="true" outlineLevel="0" collapsed="false">
      <c r="A89" s="102"/>
      <c r="B89" s="123" t="n">
        <v>11</v>
      </c>
      <c r="C89" s="129" t="n">
        <f aca="false">M55</f>
        <v>1.3923</v>
      </c>
      <c r="D89" s="132" t="str">
        <f aca="false">O55</f>
        <v>OK</v>
      </c>
      <c r="E89" s="129" t="n">
        <f aca="false">$C$71</f>
        <v>1.410604</v>
      </c>
      <c r="F89" s="129" t="n">
        <f aca="false">$C$73</f>
        <v>1.44480963648415</v>
      </c>
      <c r="G89" s="129" t="n">
        <f aca="false">$C$74</f>
        <v>1.37639836351585</v>
      </c>
      <c r="H89" s="102"/>
      <c r="I89" s="102"/>
      <c r="J89" s="102"/>
      <c r="K89" s="102"/>
      <c r="L89" s="102"/>
      <c r="M89" s="102"/>
      <c r="N89" s="102"/>
      <c r="O89" s="102"/>
    </row>
    <row r="90" customFormat="false" ht="15" hidden="false" customHeight="true" outlineLevel="0" collapsed="false">
      <c r="A90" s="102"/>
      <c r="B90" s="123" t="n">
        <v>12</v>
      </c>
      <c r="C90" s="129" t="n">
        <f aca="false">M56</f>
        <v>1.4016</v>
      </c>
      <c r="D90" s="132" t="str">
        <f aca="false">O56</f>
        <v>OK</v>
      </c>
      <c r="E90" s="129" t="n">
        <f aca="false">$C$71</f>
        <v>1.410604</v>
      </c>
      <c r="F90" s="129" t="n">
        <f aca="false">$C$73</f>
        <v>1.44480963648415</v>
      </c>
      <c r="G90" s="129" t="n">
        <f aca="false">$C$74</f>
        <v>1.37639836351585</v>
      </c>
      <c r="H90" s="102"/>
      <c r="I90" s="102"/>
      <c r="J90" s="102"/>
      <c r="K90" s="102"/>
      <c r="L90" s="102"/>
      <c r="M90" s="102"/>
      <c r="N90" s="102"/>
      <c r="O90" s="102"/>
    </row>
    <row r="91" customFormat="false" ht="15" hidden="false" customHeight="true" outlineLevel="0" collapsed="false">
      <c r="A91" s="102"/>
      <c r="B91" s="123" t="n">
        <v>13</v>
      </c>
      <c r="C91" s="129" t="n">
        <f aca="false">M57</f>
        <v>1.3964</v>
      </c>
      <c r="D91" s="132" t="str">
        <f aca="false">O57</f>
        <v>OK</v>
      </c>
      <c r="E91" s="129" t="n">
        <f aca="false">$C$71</f>
        <v>1.410604</v>
      </c>
      <c r="F91" s="129" t="n">
        <f aca="false">$C$73</f>
        <v>1.44480963648415</v>
      </c>
      <c r="G91" s="129" t="n">
        <f aca="false">$C$74</f>
        <v>1.37639836351585</v>
      </c>
      <c r="H91" s="102"/>
      <c r="I91" s="102"/>
      <c r="J91" s="102"/>
      <c r="K91" s="102"/>
      <c r="L91" s="102"/>
      <c r="M91" s="102"/>
      <c r="N91" s="102"/>
      <c r="O91" s="102"/>
    </row>
    <row r="92" customFormat="false" ht="15" hidden="false" customHeight="true" outlineLevel="0" collapsed="false">
      <c r="A92" s="102"/>
      <c r="B92" s="123" t="n">
        <v>14</v>
      </c>
      <c r="C92" s="129" t="n">
        <f aca="false">M58</f>
        <v>1.412</v>
      </c>
      <c r="D92" s="132" t="str">
        <f aca="false">O58</f>
        <v>OK</v>
      </c>
      <c r="E92" s="129" t="n">
        <f aca="false">$C$71</f>
        <v>1.410604</v>
      </c>
      <c r="F92" s="129" t="n">
        <f aca="false">$C$73</f>
        <v>1.44480963648415</v>
      </c>
      <c r="G92" s="129" t="n">
        <f aca="false">$C$74</f>
        <v>1.37639836351585</v>
      </c>
      <c r="H92" s="102"/>
      <c r="I92" s="102"/>
      <c r="J92" s="102"/>
      <c r="K92" s="102"/>
      <c r="L92" s="102"/>
      <c r="M92" s="102"/>
      <c r="N92" s="102"/>
      <c r="O92" s="102"/>
    </row>
    <row r="93" customFormat="false" ht="15" hidden="false" customHeight="true" outlineLevel="0" collapsed="false">
      <c r="A93" s="102"/>
      <c r="B93" s="123" t="n">
        <v>15</v>
      </c>
      <c r="C93" s="129" t="n">
        <f aca="false">M59</f>
        <v>1.4142</v>
      </c>
      <c r="D93" s="132" t="str">
        <f aca="false">O59</f>
        <v>OK</v>
      </c>
      <c r="E93" s="129" t="n">
        <f aca="false">$C$71</f>
        <v>1.410604</v>
      </c>
      <c r="F93" s="129" t="n">
        <f aca="false">$C$73</f>
        <v>1.44480963648415</v>
      </c>
      <c r="G93" s="129" t="n">
        <f aca="false">$C$74</f>
        <v>1.37639836351585</v>
      </c>
      <c r="H93" s="102"/>
      <c r="I93" s="102"/>
      <c r="J93" s="102"/>
      <c r="K93" s="102"/>
      <c r="L93" s="102"/>
      <c r="M93" s="102"/>
      <c r="N93" s="102"/>
      <c r="O93" s="102"/>
    </row>
    <row r="94" customFormat="false" ht="15" hidden="false" customHeight="true" outlineLevel="0" collapsed="false">
      <c r="A94" s="102"/>
      <c r="B94" s="123" t="n">
        <v>16</v>
      </c>
      <c r="C94" s="129" t="n">
        <f aca="false">M60</f>
        <v>1.3966</v>
      </c>
      <c r="D94" s="132" t="str">
        <f aca="false">O60</f>
        <v>OK</v>
      </c>
      <c r="E94" s="129" t="n">
        <f aca="false">$C$71</f>
        <v>1.410604</v>
      </c>
      <c r="F94" s="129" t="n">
        <f aca="false">$C$73</f>
        <v>1.44480963648415</v>
      </c>
      <c r="G94" s="129" t="n">
        <f aca="false">$C$74</f>
        <v>1.37639836351585</v>
      </c>
      <c r="H94" s="102"/>
      <c r="I94" s="102"/>
      <c r="J94" s="102"/>
      <c r="K94" s="102"/>
      <c r="L94" s="102"/>
      <c r="M94" s="102"/>
      <c r="N94" s="102"/>
      <c r="O94" s="102"/>
    </row>
    <row r="95" customFormat="false" ht="15" hidden="false" customHeight="true" outlineLevel="0" collapsed="false">
      <c r="A95" s="102"/>
      <c r="B95" s="123" t="n">
        <v>17</v>
      </c>
      <c r="C95" s="129" t="n">
        <f aca="false">M61</f>
        <v>1.3996</v>
      </c>
      <c r="D95" s="132" t="str">
        <f aca="false">O61</f>
        <v>OK</v>
      </c>
      <c r="E95" s="129" t="n">
        <f aca="false">$C$71</f>
        <v>1.410604</v>
      </c>
      <c r="F95" s="129" t="n">
        <f aca="false">$C$73</f>
        <v>1.44480963648415</v>
      </c>
      <c r="G95" s="129" t="n">
        <f aca="false">$C$74</f>
        <v>1.37639836351585</v>
      </c>
      <c r="H95" s="102"/>
      <c r="I95" s="102"/>
      <c r="J95" s="102"/>
      <c r="K95" s="102"/>
      <c r="L95" s="102"/>
      <c r="M95" s="102"/>
      <c r="N95" s="102"/>
      <c r="O95" s="102"/>
    </row>
    <row r="96" customFormat="false" ht="15" hidden="false" customHeight="true" outlineLevel="0" collapsed="false">
      <c r="A96" s="102"/>
      <c r="B96" s="123" t="n">
        <v>18</v>
      </c>
      <c r="C96" s="129" t="n">
        <f aca="false">M62</f>
        <v>1.3989</v>
      </c>
      <c r="D96" s="132" t="str">
        <f aca="false">O62</f>
        <v>OK</v>
      </c>
      <c r="E96" s="129" t="n">
        <f aca="false">$C$71</f>
        <v>1.410604</v>
      </c>
      <c r="F96" s="129" t="n">
        <f aca="false">$C$73</f>
        <v>1.44480963648415</v>
      </c>
      <c r="G96" s="129" t="n">
        <f aca="false">$C$74</f>
        <v>1.37639836351585</v>
      </c>
      <c r="H96" s="102"/>
      <c r="I96" s="102"/>
      <c r="J96" s="102"/>
      <c r="K96" s="102"/>
      <c r="L96" s="102"/>
      <c r="M96" s="102"/>
      <c r="N96" s="102"/>
      <c r="O96" s="102"/>
    </row>
    <row r="97" customFormat="false" ht="15" hidden="false" customHeight="true" outlineLevel="0" collapsed="false">
      <c r="A97" s="102"/>
      <c r="B97" s="123" t="n">
        <v>19</v>
      </c>
      <c r="C97" s="129" t="n">
        <f aca="false">M63</f>
        <v>1.405</v>
      </c>
      <c r="D97" s="132" t="str">
        <f aca="false">O63</f>
        <v>OK</v>
      </c>
      <c r="E97" s="129" t="n">
        <f aca="false">$C$71</f>
        <v>1.410604</v>
      </c>
      <c r="F97" s="129" t="n">
        <f aca="false">$C$73</f>
        <v>1.44480963648415</v>
      </c>
      <c r="G97" s="129" t="n">
        <f aca="false">$C$74</f>
        <v>1.37639836351585</v>
      </c>
      <c r="H97" s="102"/>
      <c r="I97" s="102"/>
      <c r="J97" s="102"/>
      <c r="K97" s="102"/>
      <c r="L97" s="102"/>
      <c r="M97" s="102"/>
      <c r="N97" s="102"/>
      <c r="O97" s="102"/>
    </row>
    <row r="98" customFormat="false" ht="15" hidden="false" customHeight="true" outlineLevel="0" collapsed="false">
      <c r="A98" s="102"/>
      <c r="B98" s="123" t="n">
        <v>20</v>
      </c>
      <c r="C98" s="129" t="n">
        <f aca="false">M64</f>
        <v>1.3967</v>
      </c>
      <c r="D98" s="132" t="str">
        <f aca="false">O64</f>
        <v>OK</v>
      </c>
      <c r="E98" s="129" t="n">
        <f aca="false">$C$71</f>
        <v>1.410604</v>
      </c>
      <c r="F98" s="129" t="n">
        <f aca="false">$C$73</f>
        <v>1.44480963648415</v>
      </c>
      <c r="G98" s="129" t="n">
        <f aca="false">$C$74</f>
        <v>1.37639836351585</v>
      </c>
      <c r="H98" s="102"/>
      <c r="I98" s="102"/>
      <c r="J98" s="102"/>
      <c r="K98" s="102"/>
      <c r="L98" s="102"/>
      <c r="M98" s="102"/>
      <c r="N98" s="102"/>
      <c r="O98" s="102"/>
    </row>
    <row r="99" customFormat="false" ht="15" hidden="false" customHeight="true" outlineLevel="0" collapsed="false">
      <c r="A99" s="102"/>
      <c r="B99" s="123" t="n">
        <v>21</v>
      </c>
      <c r="C99" s="129" t="n">
        <f aca="false">M65</f>
        <v>1.4017</v>
      </c>
      <c r="D99" s="132" t="str">
        <f aca="false">O65</f>
        <v>OK</v>
      </c>
      <c r="E99" s="129" t="n">
        <f aca="false">$C$71</f>
        <v>1.410604</v>
      </c>
      <c r="F99" s="129" t="n">
        <f aca="false">$C$73</f>
        <v>1.44480963648415</v>
      </c>
      <c r="G99" s="129" t="n">
        <f aca="false">$C$74</f>
        <v>1.37639836351585</v>
      </c>
      <c r="H99" s="102"/>
      <c r="I99" s="102"/>
      <c r="J99" s="102"/>
      <c r="K99" s="102"/>
      <c r="L99" s="102"/>
      <c r="M99" s="102"/>
      <c r="N99" s="102"/>
      <c r="O99" s="102"/>
    </row>
    <row r="100" customFormat="false" ht="15" hidden="false" customHeight="true" outlineLevel="0" collapsed="false">
      <c r="A100" s="102"/>
      <c r="B100" s="123" t="n">
        <v>22</v>
      </c>
      <c r="C100" s="129" t="n">
        <f aca="false">M66</f>
        <v>1.4597</v>
      </c>
      <c r="D100" s="132" t="str">
        <f aca="false">O66</f>
        <v>OOC high</v>
      </c>
      <c r="E100" s="129" t="n">
        <f aca="false">$C$71</f>
        <v>1.410604</v>
      </c>
      <c r="F100" s="129" t="n">
        <f aca="false">$C$73</f>
        <v>1.44480963648415</v>
      </c>
      <c r="G100" s="129" t="n">
        <f aca="false">$C$74</f>
        <v>1.37639836351585</v>
      </c>
      <c r="H100" s="102"/>
      <c r="I100" s="102"/>
      <c r="J100" s="102"/>
      <c r="K100" s="102"/>
      <c r="L100" s="102"/>
      <c r="M100" s="102"/>
      <c r="N100" s="102"/>
      <c r="O100" s="102"/>
    </row>
    <row r="101" customFormat="false" ht="15" hidden="false" customHeight="true" outlineLevel="0" collapsed="false">
      <c r="A101" s="102"/>
      <c r="B101" s="123" t="n">
        <v>23</v>
      </c>
      <c r="C101" s="129" t="n">
        <f aca="false">M67</f>
        <v>1.4694</v>
      </c>
      <c r="D101" s="132" t="str">
        <f aca="false">O67</f>
        <v>OOC high</v>
      </c>
      <c r="E101" s="129" t="n">
        <f aca="false">$C$71</f>
        <v>1.410604</v>
      </c>
      <c r="F101" s="129" t="n">
        <f aca="false">$C$73</f>
        <v>1.44480963648415</v>
      </c>
      <c r="G101" s="129" t="n">
        <f aca="false">$C$74</f>
        <v>1.37639836351585</v>
      </c>
      <c r="H101" s="102"/>
      <c r="I101" s="102"/>
      <c r="J101" s="102"/>
      <c r="K101" s="102"/>
      <c r="L101" s="102"/>
      <c r="M101" s="102"/>
      <c r="N101" s="102"/>
      <c r="O101" s="102"/>
    </row>
    <row r="102" customFormat="false" ht="15" hidden="false" customHeight="true" outlineLevel="0" collapsed="false">
      <c r="A102" s="102"/>
      <c r="B102" s="123" t="n">
        <v>24</v>
      </c>
      <c r="C102" s="129" t="n">
        <f aca="false">M68</f>
        <v>1.4522</v>
      </c>
      <c r="D102" s="132" t="str">
        <f aca="false">O68</f>
        <v>OOC high</v>
      </c>
      <c r="E102" s="129" t="n">
        <f aca="false">$C$71</f>
        <v>1.410604</v>
      </c>
      <c r="F102" s="129" t="n">
        <f aca="false">$C$73</f>
        <v>1.44480963648415</v>
      </c>
      <c r="G102" s="129" t="n">
        <f aca="false">$C$74</f>
        <v>1.37639836351585</v>
      </c>
      <c r="H102" s="102"/>
      <c r="I102" s="102"/>
      <c r="J102" s="102"/>
      <c r="K102" s="102"/>
      <c r="L102" s="102"/>
      <c r="M102" s="102"/>
      <c r="N102" s="102"/>
      <c r="O102" s="102"/>
    </row>
    <row r="103" customFormat="false" ht="15" hidden="false" customHeight="true" outlineLevel="0" collapsed="false">
      <c r="A103" s="102"/>
      <c r="B103" s="123" t="n">
        <v>25</v>
      </c>
      <c r="C103" s="129" t="n">
        <f aca="false">M69</f>
        <v>1.4479</v>
      </c>
      <c r="D103" s="132" t="str">
        <f aca="false">O69</f>
        <v>OOC high</v>
      </c>
      <c r="E103" s="129" t="n">
        <f aca="false">$C$71</f>
        <v>1.410604</v>
      </c>
      <c r="F103" s="129" t="n">
        <f aca="false">$C$73</f>
        <v>1.44480963648415</v>
      </c>
      <c r="G103" s="129" t="n">
        <f aca="false">$C$74</f>
        <v>1.37639836351585</v>
      </c>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 hidden="false" customHeight="true" outlineLevel="0" collapsed="false">
      <c r="A120" s="102"/>
      <c r="B120" s="102"/>
      <c r="C120" s="102"/>
      <c r="D120" s="102"/>
      <c r="E120" s="102"/>
      <c r="F120" s="102"/>
      <c r="G120" s="102"/>
      <c r="H120" s="102"/>
      <c r="I120" s="102"/>
      <c r="J120" s="102"/>
      <c r="K120" s="102"/>
      <c r="L120" s="102"/>
      <c r="M120" s="102"/>
      <c r="N120" s="102"/>
      <c r="O120" s="102"/>
    </row>
    <row r="121" customFormat="false" ht="15" hidden="false" customHeight="true" outlineLevel="0" collapsed="false">
      <c r="A121" s="102"/>
      <c r="B121" s="102"/>
      <c r="C121" s="102"/>
      <c r="D121" s="102"/>
      <c r="E121" s="102"/>
      <c r="F121" s="102"/>
      <c r="G121" s="102"/>
      <c r="H121" s="102"/>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5.75" hidden="false" customHeight="true" outlineLevel="0" collapsed="false">
      <c r="A123" s="102"/>
      <c r="B123" s="103" t="s">
        <v>1493</v>
      </c>
      <c r="C123" s="104"/>
      <c r="D123" s="104"/>
      <c r="E123" s="104"/>
      <c r="F123" s="104"/>
      <c r="G123" s="104"/>
      <c r="H123" s="104"/>
      <c r="I123" s="104"/>
      <c r="J123" s="104"/>
      <c r="K123" s="104"/>
      <c r="L123" s="102"/>
      <c r="M123" s="102"/>
      <c r="N123" s="102"/>
      <c r="O123" s="102"/>
    </row>
    <row r="124" customFormat="false" ht="33.75" hidden="false" customHeight="true" outlineLevel="0" collapsed="false">
      <c r="A124" s="102"/>
      <c r="B124" s="105" t="s">
        <v>1494</v>
      </c>
      <c r="C124" s="117" t="str">
        <f aca="false">IF(COUNTIF(O45:O69,"OK")=(69-45+1),"All subgroups inside the Xbar limits (Xbarbar = "&amp;TEXT(C71,"0.000")&amp;" Nm) - process mean appears stable.","At least one subgroup outside the Xbar limits. Check the S-chart flags first, then investigate the specific subgroup(s).")</f>
        <v>At least one subgroup outside the Xbar limits. Check the S-chart flags first, then investigate the specific subgroup(s).</v>
      </c>
      <c r="D124" s="117"/>
      <c r="E124" s="117"/>
      <c r="F124" s="117"/>
      <c r="G124" s="117"/>
      <c r="H124" s="102"/>
      <c r="I124" s="102"/>
      <c r="J124" s="102"/>
      <c r="K124" s="102"/>
      <c r="L124" s="102"/>
      <c r="M124" s="102"/>
      <c r="N124" s="102"/>
      <c r="O124" s="102"/>
    </row>
    <row r="125" customFormat="false" ht="15" hidden="false" customHeight="true" outlineLevel="0" collapsed="false">
      <c r="A125" s="102"/>
      <c r="B125" s="102"/>
      <c r="C125" s="102"/>
      <c r="D125" s="102"/>
      <c r="E125" s="102"/>
      <c r="F125" s="102"/>
      <c r="G125" s="102"/>
      <c r="H125" s="102"/>
      <c r="I125" s="102"/>
      <c r="J125" s="102"/>
      <c r="K125" s="102"/>
      <c r="L125" s="102"/>
      <c r="M125" s="102"/>
      <c r="N125" s="102"/>
      <c r="O125" s="102"/>
    </row>
    <row r="126" customFormat="false" ht="16.5" hidden="false" customHeight="true" outlineLevel="0" collapsed="false">
      <c r="A126" s="102"/>
      <c r="B126" s="108" t="s">
        <v>1495</v>
      </c>
      <c r="C126" s="108" t="s">
        <v>1496</v>
      </c>
      <c r="D126" s="108" t="s">
        <v>1497</v>
      </c>
      <c r="E126" s="102"/>
      <c r="F126" s="102"/>
      <c r="G126" s="102"/>
      <c r="H126" s="102"/>
      <c r="I126" s="102"/>
      <c r="J126" s="102"/>
      <c r="K126" s="102"/>
      <c r="L126" s="102"/>
      <c r="M126" s="102"/>
      <c r="N126" s="102"/>
      <c r="O126" s="102"/>
    </row>
    <row r="127" customFormat="false" ht="30.75" hidden="false" customHeight="true" outlineLevel="0" collapsed="false">
      <c r="A127" s="102"/>
      <c r="B127" s="110" t="s">
        <v>5876</v>
      </c>
      <c r="C127" s="111" t="s">
        <v>5929</v>
      </c>
      <c r="D127" s="15" t="s">
        <v>5878</v>
      </c>
      <c r="E127" s="102"/>
      <c r="F127" s="102"/>
      <c r="G127" s="102"/>
      <c r="H127" s="102"/>
      <c r="I127" s="102"/>
      <c r="J127" s="102"/>
      <c r="K127" s="102"/>
      <c r="L127" s="102"/>
      <c r="M127" s="102"/>
      <c r="N127" s="102"/>
      <c r="O127" s="102"/>
    </row>
    <row r="128" customFormat="false" ht="30.75" hidden="false" customHeight="true" outlineLevel="0" collapsed="false">
      <c r="A128" s="102"/>
      <c r="B128" s="110" t="s">
        <v>5930</v>
      </c>
      <c r="C128" s="111" t="s">
        <v>5931</v>
      </c>
      <c r="D128" s="15" t="s">
        <v>5881</v>
      </c>
      <c r="E128" s="102"/>
      <c r="F128" s="102"/>
      <c r="G128" s="102"/>
      <c r="H128" s="102"/>
      <c r="I128" s="102"/>
      <c r="J128" s="102"/>
      <c r="K128" s="102"/>
      <c r="L128" s="102"/>
      <c r="M128" s="102"/>
      <c r="N128" s="102"/>
      <c r="O128" s="102"/>
    </row>
    <row r="129" customFormat="false" ht="44.25" hidden="false" customHeight="true" outlineLevel="0" collapsed="false">
      <c r="A129" s="102"/>
      <c r="B129" s="110" t="s">
        <v>5932</v>
      </c>
      <c r="C129" s="111" t="s">
        <v>5933</v>
      </c>
      <c r="D129" s="15" t="s">
        <v>5934</v>
      </c>
      <c r="E129" s="102"/>
      <c r="F129" s="102"/>
      <c r="G129" s="102"/>
      <c r="H129" s="102"/>
      <c r="I129" s="102"/>
      <c r="J129" s="102"/>
      <c r="K129" s="102"/>
      <c r="L129" s="102"/>
      <c r="M129" s="102"/>
      <c r="N129" s="102"/>
      <c r="O129" s="102"/>
    </row>
    <row r="130" customFormat="false" ht="15" hidden="false" customHeight="true" outlineLevel="0" collapsed="false">
      <c r="A130" s="102"/>
      <c r="B130" s="102"/>
      <c r="C130" s="102"/>
      <c r="D130" s="102"/>
      <c r="E130" s="102"/>
      <c r="F130" s="102"/>
      <c r="G130" s="102"/>
      <c r="H130" s="102"/>
      <c r="I130" s="102"/>
      <c r="J130" s="102"/>
      <c r="K130" s="102"/>
      <c r="L130" s="102"/>
      <c r="M130" s="102"/>
      <c r="N130" s="102"/>
      <c r="O130" s="102"/>
    </row>
    <row r="131" customFormat="false" ht="15" hidden="false" customHeight="true" outlineLevel="0" collapsed="false">
      <c r="A131" s="102"/>
      <c r="B131" s="105" t="s">
        <v>1507</v>
      </c>
      <c r="C131" s="102"/>
      <c r="D131" s="102"/>
      <c r="E131" s="102"/>
      <c r="F131" s="102"/>
      <c r="G131" s="102"/>
      <c r="H131" s="102"/>
      <c r="I131" s="102"/>
      <c r="J131" s="102"/>
      <c r="K131" s="102"/>
      <c r="L131" s="102"/>
      <c r="M131" s="102"/>
      <c r="N131" s="102"/>
      <c r="O131" s="102"/>
    </row>
    <row r="132" customFormat="false" ht="17.25" hidden="false" customHeight="true" outlineLevel="0" collapsed="false">
      <c r="A132" s="102"/>
      <c r="B132" s="106" t="s">
        <v>5935</v>
      </c>
      <c r="C132" s="106"/>
      <c r="D132" s="106"/>
      <c r="E132" s="106"/>
      <c r="F132" s="106"/>
      <c r="G132" s="106"/>
      <c r="H132" s="106"/>
      <c r="I132" s="102"/>
      <c r="J132" s="102"/>
      <c r="K132" s="102"/>
      <c r="L132" s="102"/>
      <c r="M132" s="102"/>
      <c r="N132" s="102"/>
      <c r="O132" s="102"/>
    </row>
    <row r="133" customFormat="false" ht="17.25" hidden="false" customHeight="true" outlineLevel="0" collapsed="false">
      <c r="A133" s="102"/>
      <c r="B133" s="106" t="s">
        <v>5936</v>
      </c>
      <c r="C133" s="106"/>
      <c r="D133" s="106"/>
      <c r="E133" s="106"/>
      <c r="F133" s="106"/>
      <c r="G133" s="106"/>
      <c r="H133" s="106"/>
      <c r="I133" s="102"/>
      <c r="J133" s="102"/>
      <c r="K133" s="102"/>
      <c r="L133" s="102"/>
      <c r="M133" s="102"/>
      <c r="N133" s="102"/>
      <c r="O133" s="102"/>
    </row>
    <row r="134" customFormat="false" ht="17.25" hidden="false" customHeight="true" outlineLevel="0" collapsed="false">
      <c r="A134" s="102"/>
      <c r="B134" s="106" t="s">
        <v>5937</v>
      </c>
      <c r="C134" s="106"/>
      <c r="D134" s="106"/>
      <c r="E134" s="106"/>
      <c r="F134" s="106"/>
      <c r="G134" s="106"/>
      <c r="H134" s="106"/>
      <c r="I134" s="102"/>
      <c r="J134" s="102"/>
      <c r="K134" s="102"/>
      <c r="L134" s="102"/>
      <c r="M134" s="102"/>
      <c r="N134" s="102"/>
      <c r="O134" s="102"/>
    </row>
    <row r="135" customFormat="false" ht="17.25" hidden="false" customHeight="true" outlineLevel="0" collapsed="false">
      <c r="A135" s="102"/>
      <c r="B135" s="106" t="s">
        <v>5938</v>
      </c>
      <c r="C135" s="106"/>
      <c r="D135" s="106"/>
      <c r="E135" s="106"/>
      <c r="F135" s="106"/>
      <c r="G135" s="106"/>
      <c r="H135" s="106"/>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75" hidden="false" customHeight="true" outlineLevel="0" collapsed="false">
      <c r="A137" s="102"/>
      <c r="B137" s="103" t="s">
        <v>1513</v>
      </c>
      <c r="C137" s="104"/>
      <c r="D137" s="104"/>
      <c r="E137" s="104"/>
      <c r="F137" s="104"/>
      <c r="G137" s="104"/>
      <c r="H137" s="104"/>
      <c r="I137" s="104"/>
      <c r="J137" s="104"/>
      <c r="K137" s="104"/>
      <c r="L137" s="102"/>
      <c r="M137" s="102"/>
      <c r="N137" s="102"/>
      <c r="O137" s="102"/>
    </row>
    <row r="138" customFormat="false" ht="17.25" hidden="false" customHeight="true" outlineLevel="0" collapsed="false">
      <c r="A138" s="102"/>
      <c r="B138" s="118" t="s">
        <v>1514</v>
      </c>
      <c r="C138" s="118"/>
      <c r="D138" s="118"/>
      <c r="E138" s="118"/>
      <c r="F138" s="102"/>
      <c r="G138" s="102"/>
      <c r="H138" s="102"/>
      <c r="I138" s="102"/>
      <c r="J138" s="102"/>
      <c r="K138" s="102"/>
      <c r="L138" s="102"/>
      <c r="M138" s="102"/>
      <c r="N138" s="119" t="s">
        <v>1515</v>
      </c>
      <c r="O138" s="102"/>
    </row>
    <row r="139" customFormat="false" ht="44.25" hidden="false" customHeight="true" outlineLevel="0" collapsed="false">
      <c r="A139" s="102"/>
      <c r="B139" s="106" t="s">
        <v>5939</v>
      </c>
      <c r="C139" s="106"/>
      <c r="D139" s="106"/>
      <c r="E139" s="106"/>
      <c r="F139" s="102"/>
      <c r="G139" s="102"/>
      <c r="H139" s="102"/>
      <c r="I139" s="102"/>
      <c r="J139" s="102"/>
      <c r="K139" s="102"/>
      <c r="L139" s="102"/>
      <c r="M139" s="102"/>
      <c r="N139" s="120" t="s">
        <v>5940</v>
      </c>
      <c r="O139" s="102"/>
    </row>
    <row r="140" customFormat="false" ht="44.25" hidden="false" customHeight="true" outlineLevel="0" collapsed="false">
      <c r="A140" s="102"/>
      <c r="B140" s="106" t="s">
        <v>5941</v>
      </c>
      <c r="C140" s="106"/>
      <c r="D140" s="106"/>
      <c r="E140" s="106"/>
      <c r="F140" s="102"/>
      <c r="G140" s="102"/>
      <c r="H140" s="102"/>
      <c r="I140" s="102"/>
      <c r="J140" s="102"/>
      <c r="K140" s="102"/>
      <c r="L140" s="102"/>
      <c r="M140" s="102"/>
      <c r="N140" s="120" t="s">
        <v>5942</v>
      </c>
      <c r="O140" s="102"/>
    </row>
    <row r="141" customFormat="false" ht="44.25" hidden="false" customHeight="true" outlineLevel="0" collapsed="false">
      <c r="A141" s="102"/>
      <c r="B141" s="106" t="s">
        <v>5943</v>
      </c>
      <c r="C141" s="106"/>
      <c r="D141" s="106"/>
      <c r="E141" s="106"/>
      <c r="F141" s="102"/>
      <c r="G141" s="102"/>
      <c r="H141" s="102"/>
      <c r="I141" s="102"/>
      <c r="J141" s="102"/>
      <c r="K141" s="102"/>
      <c r="L141" s="102"/>
      <c r="M141" s="102"/>
      <c r="N141" s="120" t="s">
        <v>5944</v>
      </c>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75" hidden="false" customHeight="true" outlineLevel="0" collapsed="false">
      <c r="A143" s="102"/>
      <c r="B143" s="103" t="s">
        <v>1522</v>
      </c>
      <c r="C143" s="104"/>
      <c r="D143" s="104"/>
      <c r="E143" s="104"/>
      <c r="F143" s="104"/>
      <c r="G143" s="104"/>
      <c r="H143" s="104"/>
      <c r="I143" s="104"/>
      <c r="J143" s="104"/>
      <c r="K143" s="104"/>
      <c r="L143" s="102"/>
      <c r="M143" s="102"/>
      <c r="N143" s="102"/>
      <c r="O143" s="102"/>
    </row>
    <row r="144" customFormat="false" ht="16.5" hidden="false" customHeight="true" outlineLevel="0" collapsed="false">
      <c r="A144" s="102"/>
      <c r="B144" s="108" t="s">
        <v>1523</v>
      </c>
      <c r="C144" s="108" t="s">
        <v>1524</v>
      </c>
      <c r="D144" s="108" t="s">
        <v>1615</v>
      </c>
      <c r="E144" s="102"/>
      <c r="F144" s="102"/>
      <c r="G144" s="102"/>
      <c r="H144" s="102"/>
      <c r="I144" s="102"/>
      <c r="J144" s="102"/>
      <c r="K144" s="102"/>
      <c r="L144" s="102"/>
      <c r="M144" s="102"/>
      <c r="N144" s="102"/>
      <c r="O144" s="102"/>
    </row>
    <row r="145" customFormat="false" ht="15" hidden="false" customHeight="true" outlineLevel="0" collapsed="false">
      <c r="A145" s="102"/>
      <c r="B145" s="121" t="s">
        <v>1031</v>
      </c>
      <c r="C145" s="121" t="s">
        <v>1072</v>
      </c>
      <c r="D145" s="121" t="s">
        <v>1033</v>
      </c>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26">
    <mergeCell ref="B2:J2"/>
    <mergeCell ref="D3:E3"/>
    <mergeCell ref="C6:G6"/>
    <mergeCell ref="C7:G7"/>
    <mergeCell ref="C8:G8"/>
    <mergeCell ref="B11:H13"/>
    <mergeCell ref="B14:H16"/>
    <mergeCell ref="B19:D19"/>
    <mergeCell ref="E19:F19"/>
    <mergeCell ref="B20:D20"/>
    <mergeCell ref="E20:F20"/>
    <mergeCell ref="B21:D21"/>
    <mergeCell ref="E21:F21"/>
    <mergeCell ref="B29:H31"/>
    <mergeCell ref="B32:H33"/>
    <mergeCell ref="B41:H41"/>
    <mergeCell ref="C42:D42"/>
    <mergeCell ref="C124:G124"/>
    <mergeCell ref="B132:H132"/>
    <mergeCell ref="B133:H133"/>
    <mergeCell ref="B134:H134"/>
    <mergeCell ref="B135:H135"/>
    <mergeCell ref="B138:E138"/>
    <mergeCell ref="B139:E139"/>
    <mergeCell ref="B140:E140"/>
    <mergeCell ref="B141:E141"/>
  </mergeCells>
  <hyperlinks>
    <hyperlink ref="B3" location="'N-03 Index DMAIC'!A1" display="← Back to Index"/>
    <hyperlink ref="E24" location="'E-05 Sampling Subgroups'!A1" display="E-05  Sampling Strategies and Rational Subgrouping"/>
    <hyperlink ref="E25" location="'E-47 Common vs Special Cause'!A1" display="E-47  Common Cause vs Special Cause Variation"/>
    <hyperlink ref="E26" location="'E-20 Sample Size'!A1" display="E-20  Sample Size Determination"/>
    <hyperlink ref="B145" location="'E-50 Xbar-R Chart'!A1" display="E-50  Xbar-R Chart"/>
    <hyperlink ref="C145" location="'E-52 p and np Charts'!A1" display="E-52  p and np Charts"/>
    <hyperlink ref="D145" location="'E-57 Process Capability'!A1" display="E-57  Cp, Cpk, Pp, Ppk and Cp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5945</v>
      </c>
      <c r="C2" s="3"/>
      <c r="D2" s="3"/>
      <c r="E2" s="3"/>
      <c r="F2" s="3"/>
      <c r="G2" s="3"/>
      <c r="H2" s="3"/>
      <c r="I2" s="3"/>
      <c r="J2" s="3"/>
      <c r="K2" s="141" t="s">
        <v>5631</v>
      </c>
    </row>
    <row r="3" customFormat="false" ht="42" hidden="false" customHeight="true" outlineLevel="0" collapsed="false">
      <c r="B3" s="5" t="s">
        <v>3</v>
      </c>
      <c r="D3" s="6" t="s">
        <v>5946</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5947</v>
      </c>
      <c r="D6" s="106"/>
      <c r="E6" s="106"/>
      <c r="F6" s="106"/>
      <c r="G6" s="106"/>
      <c r="H6" s="102"/>
      <c r="I6" s="102"/>
      <c r="J6" s="102"/>
      <c r="K6" s="102"/>
      <c r="L6" s="102"/>
      <c r="M6" s="102"/>
      <c r="N6" s="102"/>
      <c r="O6" s="102"/>
    </row>
    <row r="7" customFormat="false" ht="31.5" hidden="false" customHeight="true" outlineLevel="0" collapsed="false">
      <c r="A7" s="102"/>
      <c r="B7" s="105" t="s">
        <v>1394</v>
      </c>
      <c r="C7" s="106" t="s">
        <v>5948</v>
      </c>
      <c r="D7" s="106"/>
      <c r="E7" s="106"/>
      <c r="F7" s="106"/>
      <c r="G7" s="106"/>
      <c r="H7" s="102"/>
      <c r="I7" s="102"/>
      <c r="J7" s="102"/>
      <c r="K7" s="102"/>
      <c r="L7" s="102"/>
      <c r="M7" s="102"/>
      <c r="N7" s="102"/>
      <c r="O7" s="102"/>
    </row>
    <row r="8" customFormat="false" ht="31.5" hidden="false" customHeight="true" outlineLevel="0" collapsed="false">
      <c r="A8" s="102"/>
      <c r="B8" s="105" t="s">
        <v>1396</v>
      </c>
      <c r="C8" s="106" t="s">
        <v>5949</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1.25" hidden="false" customHeight="true" outlineLevel="0" collapsed="false">
      <c r="A11" s="102"/>
      <c r="B11" s="106" t="s">
        <v>5950</v>
      </c>
      <c r="C11" s="106"/>
      <c r="D11" s="106"/>
      <c r="E11" s="106"/>
      <c r="F11" s="106"/>
      <c r="G11" s="106"/>
      <c r="H11" s="106"/>
      <c r="I11" s="102"/>
      <c r="J11" s="102"/>
      <c r="K11" s="102"/>
      <c r="L11" s="102"/>
      <c r="M11" s="102"/>
      <c r="N11" s="102"/>
      <c r="O11" s="102"/>
    </row>
    <row r="12" customFormat="false" ht="11.25" hidden="false" customHeight="true" outlineLevel="0" collapsed="false">
      <c r="A12" s="102"/>
      <c r="B12" s="106"/>
      <c r="C12" s="106"/>
      <c r="D12" s="106"/>
      <c r="E12" s="106"/>
      <c r="F12" s="106"/>
      <c r="G12" s="106"/>
      <c r="H12" s="106"/>
      <c r="I12" s="102"/>
      <c r="J12" s="102"/>
      <c r="K12" s="102"/>
      <c r="L12" s="102"/>
      <c r="M12" s="102"/>
      <c r="N12" s="102"/>
      <c r="O12" s="102"/>
    </row>
    <row r="13" customFormat="false" ht="11.25" hidden="false" customHeight="true" outlineLevel="0" collapsed="false">
      <c r="A13" s="102"/>
      <c r="B13" s="106"/>
      <c r="C13" s="106"/>
      <c r="D13" s="106"/>
      <c r="E13" s="106"/>
      <c r="F13" s="106"/>
      <c r="G13" s="106"/>
      <c r="H13" s="106"/>
      <c r="I13" s="102"/>
      <c r="J13" s="102"/>
      <c r="K13" s="102"/>
      <c r="L13" s="102"/>
      <c r="M13" s="102"/>
      <c r="N13" s="102"/>
      <c r="O13" s="102"/>
    </row>
    <row r="14" customFormat="false" ht="11.25" hidden="false" customHeight="true" outlineLevel="0" collapsed="false">
      <c r="A14" s="102"/>
      <c r="B14" s="106"/>
      <c r="C14" s="106"/>
      <c r="D14" s="106"/>
      <c r="E14" s="106"/>
      <c r="F14" s="106"/>
      <c r="G14" s="106"/>
      <c r="H14" s="106"/>
      <c r="I14" s="102"/>
      <c r="J14" s="102"/>
      <c r="K14" s="102"/>
      <c r="L14" s="102"/>
      <c r="M14" s="102"/>
      <c r="N14" s="102"/>
      <c r="O14" s="102"/>
    </row>
    <row r="15" customFormat="false" ht="10.5" hidden="false" customHeight="true" outlineLevel="0" collapsed="false">
      <c r="A15" s="102"/>
      <c r="B15" s="106" t="s">
        <v>5951</v>
      </c>
      <c r="C15" s="106"/>
      <c r="D15" s="106"/>
      <c r="E15" s="106"/>
      <c r="F15" s="106"/>
      <c r="G15" s="106"/>
      <c r="H15" s="106"/>
      <c r="I15" s="102"/>
      <c r="J15" s="102"/>
      <c r="K15" s="102"/>
      <c r="L15" s="102"/>
      <c r="M15" s="102"/>
      <c r="N15" s="102"/>
      <c r="O15" s="102"/>
    </row>
    <row r="16" customFormat="false" ht="10.5" hidden="false" customHeight="true" outlineLevel="0" collapsed="false">
      <c r="A16" s="102"/>
      <c r="B16" s="106"/>
      <c r="C16" s="106"/>
      <c r="D16" s="106"/>
      <c r="E16" s="106"/>
      <c r="F16" s="106"/>
      <c r="G16" s="106"/>
      <c r="H16" s="106"/>
      <c r="I16" s="102"/>
      <c r="J16" s="102"/>
      <c r="K16" s="102"/>
      <c r="L16" s="102"/>
      <c r="M16" s="102"/>
      <c r="N16" s="102"/>
      <c r="O16" s="102"/>
    </row>
    <row r="17" customFormat="false" ht="10.5" hidden="false" customHeight="true" outlineLevel="0" collapsed="false">
      <c r="A17" s="102"/>
      <c r="B17" s="106"/>
      <c r="C17" s="106"/>
      <c r="D17" s="106"/>
      <c r="E17" s="106"/>
      <c r="F17" s="106"/>
      <c r="G17" s="106"/>
      <c r="H17" s="106"/>
      <c r="I17" s="102"/>
      <c r="J17" s="102"/>
      <c r="K17" s="102"/>
      <c r="L17" s="102"/>
      <c r="M17" s="102"/>
      <c r="N17" s="102"/>
      <c r="O17" s="102"/>
    </row>
    <row r="18" customFormat="false" ht="15" hidden="false" customHeight="true" outlineLevel="0" collapsed="false">
      <c r="A18" s="102"/>
      <c r="B18" s="102"/>
      <c r="C18" s="102"/>
      <c r="D18" s="102"/>
      <c r="E18" s="102"/>
      <c r="F18" s="102"/>
      <c r="G18" s="102"/>
      <c r="H18" s="102"/>
      <c r="I18" s="102"/>
      <c r="J18" s="102"/>
      <c r="K18" s="102"/>
      <c r="L18" s="102"/>
      <c r="M18" s="102"/>
      <c r="N18" s="102"/>
      <c r="O18" s="102"/>
    </row>
    <row r="19" customFormat="false" ht="15.75" hidden="false" customHeight="true" outlineLevel="0" collapsed="false">
      <c r="A19" s="102"/>
      <c r="B19" s="103" t="s">
        <v>1406</v>
      </c>
      <c r="C19" s="104"/>
      <c r="D19" s="104"/>
      <c r="E19" s="104"/>
      <c r="F19" s="104"/>
      <c r="G19" s="104"/>
      <c r="H19" s="104"/>
      <c r="I19" s="104"/>
      <c r="J19" s="104"/>
      <c r="K19" s="104"/>
      <c r="L19" s="102"/>
      <c r="M19" s="102"/>
      <c r="N19" s="102"/>
      <c r="O19" s="102"/>
    </row>
    <row r="20" customFormat="false" ht="17.25" hidden="false" customHeight="true" outlineLevel="0" collapsed="false">
      <c r="A20" s="102"/>
      <c r="B20" s="107" t="s">
        <v>1407</v>
      </c>
      <c r="C20" s="107"/>
      <c r="D20" s="107"/>
      <c r="E20" s="107" t="s">
        <v>1408</v>
      </c>
      <c r="F20" s="107"/>
      <c r="G20" s="107"/>
      <c r="H20" s="107"/>
      <c r="I20" s="102"/>
      <c r="J20" s="102"/>
      <c r="K20" s="102"/>
      <c r="L20" s="102"/>
      <c r="M20" s="102"/>
      <c r="N20" s="102"/>
      <c r="O20" s="102"/>
    </row>
    <row r="21" customFormat="false" ht="31.5" hidden="false" customHeight="true" outlineLevel="0" collapsed="false">
      <c r="A21" s="102"/>
      <c r="B21" s="106" t="s">
        <v>5952</v>
      </c>
      <c r="C21" s="106"/>
      <c r="D21" s="106"/>
      <c r="E21" s="106" t="s">
        <v>5953</v>
      </c>
      <c r="F21" s="106"/>
      <c r="G21" s="106"/>
      <c r="H21" s="106"/>
      <c r="I21" s="102"/>
      <c r="J21" s="102"/>
      <c r="K21" s="102"/>
      <c r="L21" s="102"/>
      <c r="M21" s="102"/>
      <c r="N21" s="102"/>
      <c r="O21" s="102"/>
    </row>
    <row r="22" customFormat="false" ht="31.5" hidden="false" customHeight="true" outlineLevel="0" collapsed="false">
      <c r="A22" s="102"/>
      <c r="B22" s="106" t="s">
        <v>5954</v>
      </c>
      <c r="C22" s="106"/>
      <c r="D22" s="106"/>
      <c r="E22" s="106" t="s">
        <v>5955</v>
      </c>
      <c r="F22" s="106"/>
      <c r="G22" s="106"/>
      <c r="H22" s="106"/>
      <c r="I22" s="102"/>
      <c r="J22" s="102"/>
      <c r="K22" s="102"/>
      <c r="L22" s="102"/>
      <c r="M22" s="102"/>
      <c r="N22" s="102"/>
      <c r="O22" s="102"/>
    </row>
    <row r="23" customFormat="false" ht="31.5" hidden="false" customHeight="true" outlineLevel="0" collapsed="false">
      <c r="A23" s="102"/>
      <c r="B23" s="106" t="s">
        <v>5956</v>
      </c>
      <c r="C23" s="106"/>
      <c r="D23" s="106"/>
      <c r="E23" s="106" t="s">
        <v>5957</v>
      </c>
      <c r="F23" s="106"/>
      <c r="G23" s="106"/>
      <c r="H23" s="106"/>
      <c r="I23" s="102"/>
      <c r="J23" s="102"/>
      <c r="K23" s="102"/>
      <c r="L23" s="102"/>
      <c r="M23" s="102"/>
      <c r="N23" s="102"/>
      <c r="O23" s="102"/>
    </row>
    <row r="24" customFormat="false" ht="15" hidden="false" customHeight="true" outlineLevel="0" collapsed="false">
      <c r="A24" s="102"/>
      <c r="B24" s="102"/>
      <c r="C24" s="102"/>
      <c r="D24" s="102"/>
      <c r="E24" s="102"/>
      <c r="F24" s="102"/>
      <c r="G24" s="102"/>
      <c r="H24" s="102"/>
      <c r="I24" s="102"/>
      <c r="J24" s="102"/>
      <c r="K24" s="102"/>
      <c r="L24" s="102"/>
      <c r="M24" s="102"/>
      <c r="N24" s="102"/>
      <c r="O24" s="102"/>
    </row>
    <row r="25" customFormat="false" ht="30.75" hidden="false" customHeight="true" outlineLevel="0" collapsed="false">
      <c r="A25" s="102"/>
      <c r="B25" s="108" t="s">
        <v>1416</v>
      </c>
      <c r="C25" s="108" t="s">
        <v>1417</v>
      </c>
      <c r="D25" s="108" t="s">
        <v>1418</v>
      </c>
      <c r="E25" s="108" t="s">
        <v>1419</v>
      </c>
      <c r="F25" s="102"/>
      <c r="G25" s="102"/>
      <c r="H25" s="102"/>
      <c r="I25" s="102"/>
      <c r="J25" s="102"/>
      <c r="K25" s="102"/>
      <c r="L25" s="102"/>
      <c r="M25" s="102"/>
      <c r="N25" s="102"/>
      <c r="O25" s="102"/>
    </row>
    <row r="26" customFormat="false" ht="58.5" hidden="false" customHeight="true" outlineLevel="0" collapsed="false">
      <c r="A26" s="102"/>
      <c r="B26" s="15" t="s">
        <v>5958</v>
      </c>
      <c r="C26" s="15" t="s">
        <v>5959</v>
      </c>
      <c r="D26" s="15" t="s">
        <v>5960</v>
      </c>
      <c r="E26" s="109" t="s">
        <v>1025</v>
      </c>
      <c r="F26" s="102"/>
      <c r="G26" s="102"/>
      <c r="H26" s="102"/>
      <c r="I26" s="102"/>
      <c r="J26" s="102"/>
      <c r="K26" s="102"/>
      <c r="L26" s="102"/>
      <c r="M26" s="102"/>
      <c r="N26" s="102"/>
      <c r="O26" s="102"/>
    </row>
    <row r="27" customFormat="false" ht="44.25" hidden="false" customHeight="true" outlineLevel="0" collapsed="false">
      <c r="A27" s="102"/>
      <c r="B27" s="15" t="s">
        <v>5961</v>
      </c>
      <c r="C27" s="15" t="s">
        <v>5962</v>
      </c>
      <c r="D27" s="15" t="s">
        <v>5963</v>
      </c>
      <c r="E27" s="109" t="s">
        <v>1546</v>
      </c>
      <c r="F27" s="102"/>
      <c r="G27" s="102"/>
      <c r="H27" s="102"/>
      <c r="I27" s="102"/>
      <c r="J27" s="102"/>
      <c r="K27" s="102"/>
      <c r="L27" s="102"/>
      <c r="M27" s="102"/>
      <c r="N27" s="102"/>
      <c r="O27" s="102"/>
    </row>
    <row r="28" customFormat="false" ht="58.5" hidden="false" customHeight="true" outlineLevel="0" collapsed="false">
      <c r="A28" s="102"/>
      <c r="B28" s="15" t="s">
        <v>5964</v>
      </c>
      <c r="C28" s="15" t="s">
        <v>5965</v>
      </c>
      <c r="D28" s="15" t="s">
        <v>5966</v>
      </c>
      <c r="E28" s="109" t="s">
        <v>2272</v>
      </c>
      <c r="F28" s="102"/>
      <c r="G28" s="102"/>
      <c r="H28" s="102"/>
      <c r="I28" s="102"/>
      <c r="J28" s="102"/>
      <c r="K28" s="102"/>
      <c r="L28" s="102"/>
      <c r="M28" s="102"/>
      <c r="N28" s="102"/>
      <c r="O28" s="102"/>
    </row>
    <row r="29" customFormat="false" ht="15" hidden="false" customHeight="true" outlineLevel="0" collapsed="false">
      <c r="A29" s="102"/>
      <c r="B29" s="102"/>
      <c r="C29" s="102"/>
      <c r="D29" s="102"/>
      <c r="E29" s="102"/>
      <c r="F29" s="102"/>
      <c r="G29" s="102"/>
      <c r="H29" s="102"/>
      <c r="I29" s="102"/>
      <c r="J29" s="102"/>
      <c r="K29" s="102"/>
      <c r="L29" s="102"/>
      <c r="M29" s="102"/>
      <c r="N29" s="102"/>
      <c r="O29" s="102"/>
    </row>
    <row r="30" customFormat="false" ht="15.75" hidden="false" customHeight="true" outlineLevel="0" collapsed="false">
      <c r="A30" s="102"/>
      <c r="B30" s="103" t="s">
        <v>1429</v>
      </c>
      <c r="C30" s="104"/>
      <c r="D30" s="104"/>
      <c r="E30" s="104"/>
      <c r="F30" s="104"/>
      <c r="G30" s="104"/>
      <c r="H30" s="104"/>
      <c r="I30" s="104"/>
      <c r="J30" s="104"/>
      <c r="K30" s="104"/>
      <c r="L30" s="102"/>
      <c r="M30" s="102"/>
      <c r="N30" s="102"/>
      <c r="O30" s="102"/>
    </row>
    <row r="31" customFormat="false" ht="17.25" hidden="false" customHeight="true" outlineLevel="0" collapsed="false">
      <c r="A31" s="102"/>
      <c r="B31" s="106" t="s">
        <v>5967</v>
      </c>
      <c r="C31" s="106"/>
      <c r="D31" s="106"/>
      <c r="E31" s="106"/>
      <c r="F31" s="106"/>
      <c r="G31" s="106"/>
      <c r="H31" s="106"/>
      <c r="I31" s="102"/>
      <c r="J31" s="102"/>
      <c r="K31" s="102"/>
      <c r="L31" s="102"/>
      <c r="M31" s="102"/>
      <c r="N31" s="102"/>
      <c r="O31" s="102"/>
    </row>
    <row r="32" customFormat="false" ht="17.25" hidden="false" customHeight="true" outlineLevel="0" collapsed="false">
      <c r="A32" s="102"/>
      <c r="B32" s="106" t="s">
        <v>5968</v>
      </c>
      <c r="C32" s="106"/>
      <c r="D32" s="106"/>
      <c r="E32" s="106"/>
      <c r="F32" s="106"/>
      <c r="G32" s="106"/>
      <c r="H32" s="106"/>
      <c r="I32" s="102"/>
      <c r="J32" s="102"/>
      <c r="K32" s="102"/>
      <c r="L32" s="102"/>
      <c r="M32" s="102"/>
      <c r="N32" s="102"/>
      <c r="O32" s="102"/>
    </row>
    <row r="33" customFormat="false" ht="17.25" hidden="false" customHeight="true" outlineLevel="0" collapsed="false">
      <c r="A33" s="102"/>
      <c r="B33" s="106" t="s">
        <v>5969</v>
      </c>
      <c r="C33" s="106"/>
      <c r="D33" s="106"/>
      <c r="E33" s="106"/>
      <c r="F33" s="106"/>
      <c r="G33" s="106"/>
      <c r="H33" s="106"/>
      <c r="I33" s="102"/>
      <c r="J33" s="102"/>
      <c r="K33" s="102"/>
      <c r="L33" s="102"/>
      <c r="M33" s="102"/>
      <c r="N33" s="102"/>
      <c r="O33" s="102"/>
    </row>
    <row r="34" customFormat="false" ht="15.75" hidden="false" customHeight="true" outlineLevel="0" collapsed="false">
      <c r="A34" s="102"/>
      <c r="B34" s="106" t="s">
        <v>5970</v>
      </c>
      <c r="C34" s="106"/>
      <c r="D34" s="106"/>
      <c r="E34" s="106"/>
      <c r="F34" s="106"/>
      <c r="G34" s="106"/>
      <c r="H34" s="106"/>
      <c r="I34" s="102"/>
      <c r="J34" s="102"/>
      <c r="K34" s="102"/>
      <c r="L34" s="102"/>
      <c r="M34" s="102"/>
      <c r="N34" s="102"/>
      <c r="O34" s="102"/>
    </row>
    <row r="35" customFormat="false" ht="15.75" hidden="false" customHeight="true" outlineLevel="0" collapsed="false">
      <c r="A35" s="102"/>
      <c r="B35" s="106"/>
      <c r="C35" s="106"/>
      <c r="D35" s="106"/>
      <c r="E35" s="106"/>
      <c r="F35" s="106"/>
      <c r="G35" s="106"/>
      <c r="H35" s="106"/>
      <c r="I35" s="102"/>
      <c r="J35" s="102"/>
      <c r="K35" s="102"/>
      <c r="L35" s="102"/>
      <c r="M35" s="102"/>
      <c r="N35" s="102"/>
      <c r="O35" s="102"/>
    </row>
    <row r="36" customFormat="false" ht="17.25" hidden="false" customHeight="true" outlineLevel="0" collapsed="false">
      <c r="A36" s="102"/>
      <c r="B36" s="106" t="s">
        <v>5971</v>
      </c>
      <c r="C36" s="106"/>
      <c r="D36" s="106"/>
      <c r="E36" s="106"/>
      <c r="F36" s="106"/>
      <c r="G36" s="106"/>
      <c r="H36" s="106"/>
      <c r="I36" s="102"/>
      <c r="J36" s="102"/>
      <c r="K36" s="102"/>
      <c r="L36" s="102"/>
      <c r="M36" s="102"/>
      <c r="N36" s="102"/>
      <c r="O36" s="102"/>
    </row>
    <row r="37" customFormat="false" ht="15" hidden="false" customHeight="true" outlineLevel="0" collapsed="false">
      <c r="A37" s="102"/>
      <c r="B37" s="102"/>
      <c r="C37" s="102"/>
      <c r="D37" s="102"/>
      <c r="E37" s="102"/>
      <c r="F37" s="102"/>
      <c r="G37" s="102"/>
      <c r="H37" s="102"/>
      <c r="I37" s="102"/>
      <c r="J37" s="102"/>
      <c r="K37" s="102"/>
      <c r="L37" s="102"/>
      <c r="M37" s="102"/>
      <c r="N37" s="102"/>
      <c r="O37" s="102"/>
    </row>
    <row r="38" customFormat="false" ht="15.75" hidden="false" customHeight="true" outlineLevel="0" collapsed="false">
      <c r="A38" s="102"/>
      <c r="B38" s="103" t="s">
        <v>1437</v>
      </c>
      <c r="C38" s="104"/>
      <c r="D38" s="104"/>
      <c r="E38" s="104"/>
      <c r="F38" s="104"/>
      <c r="G38" s="104"/>
      <c r="H38" s="104"/>
      <c r="I38" s="104"/>
      <c r="J38" s="104"/>
      <c r="K38" s="104"/>
      <c r="L38" s="102"/>
      <c r="M38" s="102"/>
      <c r="N38" s="102"/>
      <c r="O38" s="102"/>
    </row>
    <row r="39" customFormat="false" ht="17.25" hidden="false" customHeight="true" outlineLevel="0" collapsed="false">
      <c r="A39" s="102"/>
      <c r="B39" s="108" t="s">
        <v>1438</v>
      </c>
      <c r="C39" s="108" t="s">
        <v>1439</v>
      </c>
      <c r="D39" s="108" t="s">
        <v>1440</v>
      </c>
      <c r="E39" s="108"/>
      <c r="F39" s="102"/>
      <c r="G39" s="102"/>
      <c r="H39" s="102"/>
      <c r="I39" s="102"/>
      <c r="J39" s="102"/>
      <c r="K39" s="102"/>
      <c r="L39" s="102"/>
      <c r="M39" s="102"/>
      <c r="N39" s="102"/>
      <c r="O39" s="102"/>
    </row>
    <row r="40" customFormat="false" ht="17.25" hidden="false" customHeight="true" outlineLevel="0" collapsed="false">
      <c r="A40" s="102"/>
      <c r="B40" s="110" t="s">
        <v>5972</v>
      </c>
      <c r="C40" s="111" t="s">
        <v>5973</v>
      </c>
      <c r="D40" s="15" t="s">
        <v>5974</v>
      </c>
      <c r="E40" s="15"/>
      <c r="F40" s="102"/>
      <c r="G40" s="102"/>
      <c r="H40" s="102"/>
      <c r="I40" s="102"/>
      <c r="J40" s="102"/>
      <c r="K40" s="102"/>
      <c r="L40" s="102"/>
      <c r="M40" s="102"/>
      <c r="N40" s="102"/>
      <c r="O40" s="102"/>
    </row>
    <row r="41" customFormat="false" ht="31.5" hidden="false" customHeight="true" outlineLevel="0" collapsed="false">
      <c r="A41" s="102"/>
      <c r="B41" s="110" t="s">
        <v>2588</v>
      </c>
      <c r="C41" s="111" t="s">
        <v>5975</v>
      </c>
      <c r="D41" s="15" t="s">
        <v>5976</v>
      </c>
      <c r="E41" s="15"/>
      <c r="F41" s="102"/>
      <c r="G41" s="102"/>
      <c r="H41" s="102"/>
      <c r="I41" s="102"/>
      <c r="J41" s="102"/>
      <c r="K41" s="102"/>
      <c r="L41" s="102"/>
      <c r="M41" s="102"/>
      <c r="N41" s="102"/>
      <c r="O41" s="102"/>
    </row>
    <row r="42" customFormat="false" ht="17.25" hidden="false" customHeight="true" outlineLevel="0" collapsed="false">
      <c r="A42" s="102"/>
      <c r="B42" s="110" t="s">
        <v>2127</v>
      </c>
      <c r="C42" s="111" t="s">
        <v>5977</v>
      </c>
      <c r="D42" s="15" t="s">
        <v>5978</v>
      </c>
      <c r="E42" s="15"/>
      <c r="F42" s="102"/>
      <c r="G42" s="102"/>
      <c r="H42" s="102"/>
      <c r="I42" s="102"/>
      <c r="J42" s="102"/>
      <c r="K42" s="102"/>
      <c r="L42" s="102"/>
      <c r="M42" s="102"/>
      <c r="N42" s="102"/>
      <c r="O42" s="102"/>
    </row>
    <row r="43" customFormat="false" ht="15" hidden="false" customHeight="true" outlineLevel="0" collapsed="false">
      <c r="A43" s="102"/>
      <c r="B43" s="102"/>
      <c r="C43" s="102"/>
      <c r="D43" s="102"/>
      <c r="E43" s="102"/>
      <c r="F43" s="102"/>
      <c r="G43" s="102"/>
      <c r="H43" s="102"/>
      <c r="I43" s="102"/>
      <c r="J43" s="102"/>
      <c r="K43" s="102"/>
      <c r="L43" s="102"/>
      <c r="M43" s="102"/>
      <c r="N43" s="102"/>
      <c r="O43" s="102"/>
    </row>
    <row r="44" customFormat="false" ht="15.75" hidden="false" customHeight="true" outlineLevel="0" collapsed="false">
      <c r="A44" s="102"/>
      <c r="B44" s="103" t="s">
        <v>1454</v>
      </c>
      <c r="C44" s="104"/>
      <c r="D44" s="104"/>
      <c r="E44" s="104"/>
      <c r="F44" s="104"/>
      <c r="G44" s="104"/>
      <c r="H44" s="104"/>
      <c r="I44" s="104"/>
      <c r="J44" s="104"/>
      <c r="K44" s="104"/>
      <c r="L44" s="102"/>
      <c r="M44" s="102"/>
      <c r="N44" s="102"/>
      <c r="O44" s="102"/>
    </row>
    <row r="45" customFormat="false" ht="17.25" hidden="false" customHeight="true" outlineLevel="0" collapsed="false">
      <c r="A45" s="102"/>
      <c r="B45" s="106" t="s">
        <v>5979</v>
      </c>
      <c r="C45" s="106"/>
      <c r="D45" s="106"/>
      <c r="E45" s="106"/>
      <c r="F45" s="106"/>
      <c r="G45" s="106"/>
      <c r="H45" s="106"/>
      <c r="I45" s="102"/>
      <c r="J45" s="102"/>
      <c r="K45" s="102"/>
      <c r="L45" s="102"/>
      <c r="M45" s="102"/>
      <c r="N45" s="102"/>
      <c r="O45" s="102"/>
    </row>
    <row r="46" customFormat="false" ht="17.25" hidden="false" customHeight="true" outlineLevel="0" collapsed="false">
      <c r="A46" s="102"/>
      <c r="B46" s="112" t="s">
        <v>85</v>
      </c>
      <c r="C46" s="113" t="s">
        <v>86</v>
      </c>
      <c r="D46" s="113"/>
      <c r="E46" s="102"/>
      <c r="F46" s="102"/>
      <c r="G46" s="102"/>
      <c r="H46" s="102"/>
      <c r="I46" s="102"/>
      <c r="J46" s="102"/>
      <c r="K46" s="102"/>
      <c r="L46" s="102"/>
      <c r="M46" s="102"/>
      <c r="N46" s="102"/>
      <c r="O46" s="102"/>
    </row>
    <row r="47" customFormat="false" ht="15" hidden="false" customHeight="true" outlineLevel="0" collapsed="false">
      <c r="A47" s="102"/>
      <c r="B47" s="102"/>
      <c r="C47" s="102"/>
      <c r="D47" s="102"/>
      <c r="E47" s="102"/>
      <c r="F47" s="102"/>
      <c r="G47" s="102"/>
      <c r="H47" s="102"/>
      <c r="I47" s="102"/>
      <c r="J47" s="102"/>
      <c r="K47" s="102"/>
      <c r="L47" s="102"/>
      <c r="M47" s="102"/>
      <c r="N47" s="102"/>
      <c r="O47" s="102"/>
    </row>
    <row r="48" customFormat="false" ht="16.5" hidden="false" customHeight="true" outlineLevel="0" collapsed="false">
      <c r="A48" s="102"/>
      <c r="B48" s="108" t="s">
        <v>5980</v>
      </c>
      <c r="C48" s="108" t="s">
        <v>5981</v>
      </c>
      <c r="D48" s="108" t="s">
        <v>5982</v>
      </c>
      <c r="E48" s="108" t="s">
        <v>5983</v>
      </c>
      <c r="F48" s="108" t="s">
        <v>5810</v>
      </c>
      <c r="G48" s="108" t="s">
        <v>5811</v>
      </c>
      <c r="H48" s="108" t="s">
        <v>5984</v>
      </c>
      <c r="I48" s="102"/>
      <c r="J48" s="102"/>
      <c r="K48" s="102"/>
      <c r="L48" s="102"/>
      <c r="M48" s="102"/>
      <c r="N48" s="102"/>
      <c r="O48" s="102"/>
    </row>
    <row r="49" customFormat="false" ht="15" hidden="false" customHeight="true" outlineLevel="0" collapsed="false">
      <c r="A49" s="102"/>
      <c r="B49" s="123" t="n">
        <v>1</v>
      </c>
      <c r="C49" s="114" t="n">
        <v>300</v>
      </c>
      <c r="D49" s="114" t="n">
        <v>7</v>
      </c>
      <c r="E49" s="129" t="n">
        <f aca="false">D49/C49</f>
        <v>0.0233333333333333</v>
      </c>
      <c r="F49" s="129" t="n">
        <f aca="false">$C$74+3*SQRT($C$74*(1-$C$74)/C49)</f>
        <v>0.0427044862694356</v>
      </c>
      <c r="G49" s="129" t="n">
        <f aca="false">MAX(0,$C$74-3*SQRT($C$74*(1-$C$74)/C49))</f>
        <v>0</v>
      </c>
      <c r="H49" s="132" t="str">
        <f aca="false">IF(E49&gt;F49,"OOC high",IF(E49&lt;G49,"OOC low","OK"))</f>
        <v>OK</v>
      </c>
      <c r="I49" s="102"/>
      <c r="J49" s="102"/>
      <c r="K49" s="102"/>
      <c r="L49" s="102"/>
      <c r="M49" s="102"/>
      <c r="N49" s="102"/>
      <c r="O49" s="102"/>
    </row>
    <row r="50" customFormat="false" ht="15" hidden="false" customHeight="true" outlineLevel="0" collapsed="false">
      <c r="A50" s="102"/>
      <c r="B50" s="123" t="n">
        <v>2</v>
      </c>
      <c r="C50" s="114" t="n">
        <v>450</v>
      </c>
      <c r="D50" s="114" t="n">
        <v>9</v>
      </c>
      <c r="E50" s="129" t="n">
        <f aca="false">D50/C50</f>
        <v>0.02</v>
      </c>
      <c r="F50" s="129" t="n">
        <f aca="false">$C$74+3*SQRT($C$74*(1-$C$74)/C50)</f>
        <v>0.0383612099881234</v>
      </c>
      <c r="G50" s="129" t="n">
        <f aca="false">MAX(0,$C$74-3*SQRT($C$74*(1-$C$74)/C50))</f>
        <v>0</v>
      </c>
      <c r="H50" s="132" t="str">
        <f aca="false">IF(E50&gt;F50,"OOC high",IF(E50&lt;G50,"OOC low","OK"))</f>
        <v>OK</v>
      </c>
      <c r="I50" s="102"/>
      <c r="J50" s="102"/>
      <c r="K50" s="102"/>
      <c r="L50" s="102"/>
      <c r="M50" s="102"/>
      <c r="N50" s="102"/>
      <c r="O50" s="102"/>
    </row>
    <row r="51" customFormat="false" ht="15" hidden="false" customHeight="true" outlineLevel="0" collapsed="false">
      <c r="A51" s="102"/>
      <c r="B51" s="123" t="n">
        <v>3</v>
      </c>
      <c r="C51" s="114" t="n">
        <v>260</v>
      </c>
      <c r="D51" s="114" t="n">
        <v>2</v>
      </c>
      <c r="E51" s="129" t="n">
        <f aca="false">D51/C51</f>
        <v>0.00769230769230769</v>
      </c>
      <c r="F51" s="129" t="n">
        <f aca="false">$C$74+3*SQRT($C$74*(1-$C$74)/C51)</f>
        <v>0.0444600439641205</v>
      </c>
      <c r="G51" s="129" t="n">
        <f aca="false">MAX(0,$C$74-3*SQRT($C$74*(1-$C$74)/C51))</f>
        <v>0</v>
      </c>
      <c r="H51" s="132" t="str">
        <f aca="false">IF(E51&gt;F51,"OOC high",IF(E51&lt;G51,"OOC low","OK"))</f>
        <v>OK</v>
      </c>
      <c r="I51" s="102"/>
      <c r="J51" s="102"/>
      <c r="K51" s="102"/>
      <c r="L51" s="102"/>
      <c r="M51" s="102"/>
      <c r="N51" s="102"/>
      <c r="O51" s="102"/>
    </row>
    <row r="52" customFormat="false" ht="15" hidden="false" customHeight="true" outlineLevel="0" collapsed="false">
      <c r="A52" s="102"/>
      <c r="B52" s="123" t="n">
        <v>4</v>
      </c>
      <c r="C52" s="114" t="n">
        <v>340</v>
      </c>
      <c r="D52" s="114" t="n">
        <v>8</v>
      </c>
      <c r="E52" s="129" t="n">
        <f aca="false">D52/C52</f>
        <v>0.0235294117647059</v>
      </c>
      <c r="F52" s="129" t="n">
        <f aca="false">$C$74+3*SQRT($C$74*(1-$C$74)/C52)</f>
        <v>0.0412686622544568</v>
      </c>
      <c r="G52" s="129" t="n">
        <f aca="false">MAX(0,$C$74-3*SQRT($C$74*(1-$C$74)/C52))</f>
        <v>0</v>
      </c>
      <c r="H52" s="132" t="str">
        <f aca="false">IF(E52&gt;F52,"OOC high",IF(E52&lt;G52,"OOC low","OK"))</f>
        <v>OK</v>
      </c>
      <c r="I52" s="102"/>
      <c r="J52" s="102"/>
      <c r="K52" s="102"/>
      <c r="L52" s="102"/>
      <c r="M52" s="102"/>
      <c r="N52" s="102"/>
      <c r="O52" s="102"/>
    </row>
    <row r="53" customFormat="false" ht="15" hidden="false" customHeight="true" outlineLevel="0" collapsed="false">
      <c r="A53" s="102"/>
      <c r="B53" s="123" t="n">
        <v>5</v>
      </c>
      <c r="C53" s="114" t="n">
        <v>380</v>
      </c>
      <c r="D53" s="114" t="n">
        <v>9</v>
      </c>
      <c r="E53" s="129" t="n">
        <f aca="false">D53/C53</f>
        <v>0.0236842105263158</v>
      </c>
      <c r="F53" s="129" t="n">
        <f aca="false">$C$74+3*SQRT($C$74*(1-$C$74)/C53)</f>
        <v>0.040065984833274</v>
      </c>
      <c r="G53" s="129" t="n">
        <f aca="false">MAX(0,$C$74-3*SQRT($C$74*(1-$C$74)/C53))</f>
        <v>0</v>
      </c>
      <c r="H53" s="132" t="str">
        <f aca="false">IF(E53&gt;F53,"OOC high",IF(E53&lt;G53,"OOC low","OK"))</f>
        <v>OK</v>
      </c>
      <c r="I53" s="102"/>
      <c r="J53" s="102"/>
      <c r="K53" s="102"/>
      <c r="L53" s="102"/>
      <c r="M53" s="102"/>
      <c r="N53" s="102"/>
      <c r="O53" s="102"/>
    </row>
    <row r="54" customFormat="false" ht="15" hidden="false" customHeight="true" outlineLevel="0" collapsed="false">
      <c r="A54" s="102"/>
      <c r="B54" s="123" t="n">
        <v>6</v>
      </c>
      <c r="C54" s="114" t="n">
        <v>450</v>
      </c>
      <c r="D54" s="114" t="n">
        <v>5</v>
      </c>
      <c r="E54" s="129" t="n">
        <f aca="false">D54/C54</f>
        <v>0.0111111111111111</v>
      </c>
      <c r="F54" s="129" t="n">
        <f aca="false">$C$74+3*SQRT($C$74*(1-$C$74)/C54)</f>
        <v>0.0383612099881234</v>
      </c>
      <c r="G54" s="129" t="n">
        <f aca="false">MAX(0,$C$74-3*SQRT($C$74*(1-$C$74)/C54))</f>
        <v>0</v>
      </c>
      <c r="H54" s="132" t="str">
        <f aca="false">IF(E54&gt;F54,"OOC high",IF(E54&lt;G54,"OOC low","OK"))</f>
        <v>OK</v>
      </c>
      <c r="I54" s="102"/>
      <c r="J54" s="102"/>
      <c r="K54" s="102"/>
      <c r="L54" s="102"/>
      <c r="M54" s="102"/>
      <c r="N54" s="102"/>
      <c r="O54" s="102"/>
    </row>
    <row r="55" customFormat="false" ht="15" hidden="false" customHeight="true" outlineLevel="0" collapsed="false">
      <c r="A55" s="102"/>
      <c r="B55" s="123" t="n">
        <v>7</v>
      </c>
      <c r="C55" s="114" t="n">
        <v>220</v>
      </c>
      <c r="D55" s="114" t="n">
        <v>5</v>
      </c>
      <c r="E55" s="129" t="n">
        <f aca="false">D55/C55</f>
        <v>0.0227272727272727</v>
      </c>
      <c r="F55" s="129" t="n">
        <f aca="false">$C$74+3*SQRT($C$74*(1-$C$74)/C55)</f>
        <v>0.0466748630677331</v>
      </c>
      <c r="G55" s="129" t="n">
        <f aca="false">MAX(0,$C$74-3*SQRT($C$74*(1-$C$74)/C55))</f>
        <v>0</v>
      </c>
      <c r="H55" s="132" t="str">
        <f aca="false">IF(E55&gt;F55,"OOC high",IF(E55&lt;G55,"OOC low","OK"))</f>
        <v>OK</v>
      </c>
      <c r="I55" s="102"/>
      <c r="J55" s="102"/>
      <c r="K55" s="102"/>
      <c r="L55" s="102"/>
      <c r="M55" s="102"/>
      <c r="N55" s="102"/>
      <c r="O55" s="102"/>
    </row>
    <row r="56" customFormat="false" ht="15" hidden="false" customHeight="true" outlineLevel="0" collapsed="false">
      <c r="A56" s="102"/>
      <c r="B56" s="123" t="n">
        <v>8</v>
      </c>
      <c r="C56" s="114" t="n">
        <v>220</v>
      </c>
      <c r="D56" s="114" t="n">
        <v>4</v>
      </c>
      <c r="E56" s="129" t="n">
        <f aca="false">D56/C56</f>
        <v>0.0181818181818182</v>
      </c>
      <c r="F56" s="129" t="n">
        <f aca="false">$C$74+3*SQRT($C$74*(1-$C$74)/C56)</f>
        <v>0.0466748630677331</v>
      </c>
      <c r="G56" s="129" t="n">
        <f aca="false">MAX(0,$C$74-3*SQRT($C$74*(1-$C$74)/C56))</f>
        <v>0</v>
      </c>
      <c r="H56" s="132" t="str">
        <f aca="false">IF(E56&gt;F56,"OOC high",IF(E56&lt;G56,"OOC low","OK"))</f>
        <v>OK</v>
      </c>
      <c r="I56" s="102"/>
      <c r="J56" s="102"/>
      <c r="K56" s="102"/>
      <c r="L56" s="102"/>
      <c r="M56" s="102"/>
      <c r="N56" s="102"/>
      <c r="O56" s="102"/>
    </row>
    <row r="57" customFormat="false" ht="15" hidden="false" customHeight="true" outlineLevel="0" collapsed="false">
      <c r="A57" s="102"/>
      <c r="B57" s="123" t="n">
        <v>9</v>
      </c>
      <c r="C57" s="114" t="n">
        <v>400</v>
      </c>
      <c r="D57" s="114" t="n">
        <v>8</v>
      </c>
      <c r="E57" s="129" t="n">
        <f aca="false">D57/C57</f>
        <v>0.02</v>
      </c>
      <c r="F57" s="129" t="n">
        <f aca="false">$C$74+3*SQRT($C$74*(1-$C$74)/C57)</f>
        <v>0.0395334898434113</v>
      </c>
      <c r="G57" s="129" t="n">
        <f aca="false">MAX(0,$C$74-3*SQRT($C$74*(1-$C$74)/C57))</f>
        <v>0</v>
      </c>
      <c r="H57" s="132" t="str">
        <f aca="false">IF(E57&gt;F57,"OOC high",IF(E57&lt;G57,"OOC low","OK"))</f>
        <v>OK</v>
      </c>
      <c r="I57" s="102"/>
      <c r="J57" s="102"/>
      <c r="K57" s="102"/>
      <c r="L57" s="102"/>
      <c r="M57" s="102"/>
      <c r="N57" s="102"/>
      <c r="O57" s="102"/>
    </row>
    <row r="58" customFormat="false" ht="15" hidden="false" customHeight="true" outlineLevel="0" collapsed="false">
      <c r="A58" s="102"/>
      <c r="B58" s="123" t="n">
        <v>10</v>
      </c>
      <c r="C58" s="114" t="n">
        <v>400</v>
      </c>
      <c r="D58" s="114" t="n">
        <v>8</v>
      </c>
      <c r="E58" s="129" t="n">
        <f aca="false">D58/C58</f>
        <v>0.02</v>
      </c>
      <c r="F58" s="129" t="n">
        <f aca="false">$C$74+3*SQRT($C$74*(1-$C$74)/C58)</f>
        <v>0.0395334898434113</v>
      </c>
      <c r="G58" s="129" t="n">
        <f aca="false">MAX(0,$C$74-3*SQRT($C$74*(1-$C$74)/C58))</f>
        <v>0</v>
      </c>
      <c r="H58" s="132" t="str">
        <f aca="false">IF(E58&gt;F58,"OOC high",IF(E58&lt;G58,"OOC low","OK"))</f>
        <v>OK</v>
      </c>
      <c r="I58" s="102"/>
      <c r="J58" s="102"/>
      <c r="K58" s="102"/>
      <c r="L58" s="102"/>
      <c r="M58" s="102"/>
      <c r="N58" s="102"/>
      <c r="O58" s="102"/>
    </row>
    <row r="59" customFormat="false" ht="15" hidden="false" customHeight="true" outlineLevel="0" collapsed="false">
      <c r="A59" s="102"/>
      <c r="B59" s="123" t="n">
        <v>11</v>
      </c>
      <c r="C59" s="114" t="n">
        <v>300</v>
      </c>
      <c r="D59" s="114" t="n">
        <v>4</v>
      </c>
      <c r="E59" s="129" t="n">
        <f aca="false">D59/C59</f>
        <v>0.0133333333333333</v>
      </c>
      <c r="F59" s="129" t="n">
        <f aca="false">$C$74+3*SQRT($C$74*(1-$C$74)/C59)</f>
        <v>0.0427044862694356</v>
      </c>
      <c r="G59" s="129" t="n">
        <f aca="false">MAX(0,$C$74-3*SQRT($C$74*(1-$C$74)/C59))</f>
        <v>0</v>
      </c>
      <c r="H59" s="132" t="str">
        <f aca="false">IF(E59&gt;F59,"OOC high",IF(E59&lt;G59,"OOC low","OK"))</f>
        <v>OK</v>
      </c>
      <c r="I59" s="102"/>
      <c r="J59" s="102"/>
      <c r="K59" s="102"/>
      <c r="L59" s="102"/>
      <c r="M59" s="102"/>
      <c r="N59" s="102"/>
      <c r="O59" s="102"/>
    </row>
    <row r="60" customFormat="false" ht="15" hidden="false" customHeight="true" outlineLevel="0" collapsed="false">
      <c r="A60" s="102"/>
      <c r="B60" s="123" t="n">
        <v>12</v>
      </c>
      <c r="C60" s="114" t="n">
        <v>280</v>
      </c>
      <c r="D60" s="114" t="n">
        <v>5</v>
      </c>
      <c r="E60" s="129" t="n">
        <f aca="false">D60/C60</f>
        <v>0.0178571428571429</v>
      </c>
      <c r="F60" s="129" t="n">
        <f aca="false">$C$74+3*SQRT($C$74*(1-$C$74)/C60)</f>
        <v>0.0435352162041781</v>
      </c>
      <c r="G60" s="129" t="n">
        <f aca="false">MAX(0,$C$74-3*SQRT($C$74*(1-$C$74)/C60))</f>
        <v>0</v>
      </c>
      <c r="H60" s="132" t="str">
        <f aca="false">IF(E60&gt;F60,"OOC high",IF(E60&lt;G60,"OOC low","OK"))</f>
        <v>OK</v>
      </c>
      <c r="I60" s="102"/>
      <c r="J60" s="102"/>
      <c r="K60" s="102"/>
      <c r="L60" s="102"/>
      <c r="M60" s="102"/>
      <c r="N60" s="102"/>
      <c r="O60" s="102"/>
    </row>
    <row r="61" customFormat="false" ht="15" hidden="false" customHeight="true" outlineLevel="0" collapsed="false">
      <c r="A61" s="102"/>
      <c r="B61" s="123" t="n">
        <v>13</v>
      </c>
      <c r="C61" s="114" t="n">
        <v>220</v>
      </c>
      <c r="D61" s="114" t="n">
        <v>6</v>
      </c>
      <c r="E61" s="129" t="n">
        <f aca="false">D61/C61</f>
        <v>0.0272727272727273</v>
      </c>
      <c r="F61" s="129" t="n">
        <f aca="false">$C$74+3*SQRT($C$74*(1-$C$74)/C61)</f>
        <v>0.0466748630677331</v>
      </c>
      <c r="G61" s="129" t="n">
        <f aca="false">MAX(0,$C$74-3*SQRT($C$74*(1-$C$74)/C61))</f>
        <v>0</v>
      </c>
      <c r="H61" s="132" t="str">
        <f aca="false">IF(E61&gt;F61,"OOC high",IF(E61&lt;G61,"OOC low","OK"))</f>
        <v>OK</v>
      </c>
      <c r="I61" s="102"/>
      <c r="J61" s="102"/>
      <c r="K61" s="102"/>
      <c r="L61" s="102"/>
      <c r="M61" s="102"/>
      <c r="N61" s="102"/>
      <c r="O61" s="102"/>
    </row>
    <row r="62" customFormat="false" ht="15" hidden="false" customHeight="true" outlineLevel="0" collapsed="false">
      <c r="A62" s="102"/>
      <c r="B62" s="123" t="n">
        <v>14</v>
      </c>
      <c r="C62" s="114" t="n">
        <v>280</v>
      </c>
      <c r="D62" s="114" t="n">
        <v>3</v>
      </c>
      <c r="E62" s="129" t="n">
        <f aca="false">D62/C62</f>
        <v>0.0107142857142857</v>
      </c>
      <c r="F62" s="129" t="n">
        <f aca="false">$C$74+3*SQRT($C$74*(1-$C$74)/C62)</f>
        <v>0.0435352162041781</v>
      </c>
      <c r="G62" s="129" t="n">
        <f aca="false">MAX(0,$C$74-3*SQRT($C$74*(1-$C$74)/C62))</f>
        <v>0</v>
      </c>
      <c r="H62" s="132" t="str">
        <f aca="false">IF(E62&gt;F62,"OOC high",IF(E62&lt;G62,"OOC low","OK"))</f>
        <v>OK</v>
      </c>
      <c r="I62" s="102"/>
      <c r="J62" s="102"/>
      <c r="K62" s="102"/>
      <c r="L62" s="102"/>
      <c r="M62" s="102"/>
      <c r="N62" s="102"/>
      <c r="O62" s="102"/>
    </row>
    <row r="63" customFormat="false" ht="15" hidden="false" customHeight="true" outlineLevel="0" collapsed="false">
      <c r="A63" s="102"/>
      <c r="B63" s="123" t="n">
        <v>15</v>
      </c>
      <c r="C63" s="114" t="n">
        <v>380</v>
      </c>
      <c r="D63" s="114" t="n">
        <v>5</v>
      </c>
      <c r="E63" s="129" t="n">
        <f aca="false">D63/C63</f>
        <v>0.0131578947368421</v>
      </c>
      <c r="F63" s="129" t="n">
        <f aca="false">$C$74+3*SQRT($C$74*(1-$C$74)/C63)</f>
        <v>0.040065984833274</v>
      </c>
      <c r="G63" s="129" t="n">
        <f aca="false">MAX(0,$C$74-3*SQRT($C$74*(1-$C$74)/C63))</f>
        <v>0</v>
      </c>
      <c r="H63" s="132" t="str">
        <f aca="false">IF(E63&gt;F63,"OOC high",IF(E63&lt;G63,"OOC low","OK"))</f>
        <v>OK</v>
      </c>
      <c r="I63" s="102"/>
      <c r="J63" s="102"/>
      <c r="K63" s="102"/>
      <c r="L63" s="102"/>
      <c r="M63" s="102"/>
      <c r="N63" s="102"/>
      <c r="O63" s="102"/>
    </row>
    <row r="64" customFormat="false" ht="15" hidden="false" customHeight="true" outlineLevel="0" collapsed="false">
      <c r="A64" s="102"/>
      <c r="B64" s="123" t="n">
        <v>16</v>
      </c>
      <c r="C64" s="114" t="n">
        <v>340</v>
      </c>
      <c r="D64" s="114" t="n">
        <v>16</v>
      </c>
      <c r="E64" s="129" t="n">
        <f aca="false">D64/C64</f>
        <v>0.0470588235294118</v>
      </c>
      <c r="F64" s="129" t="n">
        <f aca="false">$C$74+3*SQRT($C$74*(1-$C$74)/C64)</f>
        <v>0.0412686622544568</v>
      </c>
      <c r="G64" s="129" t="n">
        <f aca="false">MAX(0,$C$74-3*SQRT($C$74*(1-$C$74)/C64))</f>
        <v>0</v>
      </c>
      <c r="H64" s="132" t="str">
        <f aca="false">IF(E64&gt;F64,"OOC high",IF(E64&lt;G64,"OOC low","OK"))</f>
        <v>OOC high</v>
      </c>
      <c r="I64" s="102"/>
      <c r="J64" s="102"/>
      <c r="K64" s="102"/>
      <c r="L64" s="102"/>
      <c r="M64" s="102"/>
      <c r="N64" s="102"/>
      <c r="O64" s="102"/>
    </row>
    <row r="65" customFormat="false" ht="15" hidden="false" customHeight="true" outlineLevel="0" collapsed="false">
      <c r="A65" s="102"/>
      <c r="B65" s="123" t="n">
        <v>17</v>
      </c>
      <c r="C65" s="114" t="n">
        <v>340</v>
      </c>
      <c r="D65" s="114" t="n">
        <v>5</v>
      </c>
      <c r="E65" s="129" t="n">
        <f aca="false">D65/C65</f>
        <v>0.0147058823529412</v>
      </c>
      <c r="F65" s="129" t="n">
        <f aca="false">$C$74+3*SQRT($C$74*(1-$C$74)/C65)</f>
        <v>0.0412686622544568</v>
      </c>
      <c r="G65" s="129" t="n">
        <f aca="false">MAX(0,$C$74-3*SQRT($C$74*(1-$C$74)/C65))</f>
        <v>0</v>
      </c>
      <c r="H65" s="132" t="str">
        <f aca="false">IF(E65&gt;F65,"OOC high",IF(E65&lt;G65,"OOC low","OK"))</f>
        <v>OK</v>
      </c>
      <c r="I65" s="102"/>
      <c r="J65" s="102"/>
      <c r="K65" s="102"/>
      <c r="L65" s="102"/>
      <c r="M65" s="102"/>
      <c r="N65" s="102"/>
      <c r="O65" s="102"/>
    </row>
    <row r="66" customFormat="false" ht="15" hidden="false" customHeight="true" outlineLevel="0" collapsed="false">
      <c r="A66" s="102"/>
      <c r="B66" s="123" t="n">
        <v>18</v>
      </c>
      <c r="C66" s="114" t="n">
        <v>340</v>
      </c>
      <c r="D66" s="114" t="n">
        <v>7</v>
      </c>
      <c r="E66" s="129" t="n">
        <f aca="false">D66/C66</f>
        <v>0.0205882352941176</v>
      </c>
      <c r="F66" s="129" t="n">
        <f aca="false">$C$74+3*SQRT($C$74*(1-$C$74)/C66)</f>
        <v>0.0412686622544568</v>
      </c>
      <c r="G66" s="129" t="n">
        <f aca="false">MAX(0,$C$74-3*SQRT($C$74*(1-$C$74)/C66))</f>
        <v>0</v>
      </c>
      <c r="H66" s="132" t="str">
        <f aca="false">IF(E66&gt;F66,"OOC high",IF(E66&lt;G66,"OOC low","OK"))</f>
        <v>OK</v>
      </c>
      <c r="I66" s="102"/>
      <c r="J66" s="102"/>
      <c r="K66" s="102"/>
      <c r="L66" s="102"/>
      <c r="M66" s="102"/>
      <c r="N66" s="102"/>
      <c r="O66" s="102"/>
    </row>
    <row r="67" customFormat="false" ht="15" hidden="false" customHeight="true" outlineLevel="0" collapsed="false">
      <c r="A67" s="102"/>
      <c r="B67" s="123" t="n">
        <v>19</v>
      </c>
      <c r="C67" s="114" t="n">
        <v>300</v>
      </c>
      <c r="D67" s="114" t="n">
        <v>6</v>
      </c>
      <c r="E67" s="129" t="n">
        <f aca="false">D67/C67</f>
        <v>0.02</v>
      </c>
      <c r="F67" s="129" t="n">
        <f aca="false">$C$74+3*SQRT($C$74*(1-$C$74)/C67)</f>
        <v>0.0427044862694356</v>
      </c>
      <c r="G67" s="129" t="n">
        <f aca="false">MAX(0,$C$74-3*SQRT($C$74*(1-$C$74)/C67))</f>
        <v>0</v>
      </c>
      <c r="H67" s="132" t="str">
        <f aca="false">IF(E67&gt;F67,"OOC high",IF(E67&lt;G67,"OOC low","OK"))</f>
        <v>OK</v>
      </c>
      <c r="I67" s="102"/>
      <c r="J67" s="102"/>
      <c r="K67" s="102"/>
      <c r="L67" s="102"/>
      <c r="M67" s="102"/>
      <c r="N67" s="102"/>
      <c r="O67" s="102"/>
    </row>
    <row r="68" customFormat="false" ht="15" hidden="false" customHeight="true" outlineLevel="0" collapsed="false">
      <c r="A68" s="102"/>
      <c r="B68" s="123" t="n">
        <v>20</v>
      </c>
      <c r="C68" s="114" t="n">
        <v>380</v>
      </c>
      <c r="D68" s="114" t="n">
        <v>7</v>
      </c>
      <c r="E68" s="129" t="n">
        <f aca="false">D68/C68</f>
        <v>0.0184210526315789</v>
      </c>
      <c r="F68" s="129" t="n">
        <f aca="false">$C$74+3*SQRT($C$74*(1-$C$74)/C68)</f>
        <v>0.040065984833274</v>
      </c>
      <c r="G68" s="129" t="n">
        <f aca="false">MAX(0,$C$74-3*SQRT($C$74*(1-$C$74)/C68))</f>
        <v>0</v>
      </c>
      <c r="H68" s="132" t="str">
        <f aca="false">IF(E68&gt;F68,"OOC high",IF(E68&lt;G68,"OOC low","OK"))</f>
        <v>OK</v>
      </c>
      <c r="I68" s="102"/>
      <c r="J68" s="102"/>
      <c r="K68" s="102"/>
      <c r="L68" s="102"/>
      <c r="M68" s="102"/>
      <c r="N68" s="102"/>
      <c r="O68" s="102"/>
    </row>
    <row r="69" customFormat="false" ht="15" hidden="false" customHeight="true" outlineLevel="0" collapsed="false">
      <c r="A69" s="102"/>
      <c r="B69" s="123" t="n">
        <v>21</v>
      </c>
      <c r="C69" s="114" t="n">
        <v>380</v>
      </c>
      <c r="D69" s="114" t="n">
        <v>6</v>
      </c>
      <c r="E69" s="129" t="n">
        <f aca="false">D69/C69</f>
        <v>0.0157894736842105</v>
      </c>
      <c r="F69" s="129" t="n">
        <f aca="false">$C$74+3*SQRT($C$74*(1-$C$74)/C69)</f>
        <v>0.040065984833274</v>
      </c>
      <c r="G69" s="129" t="n">
        <f aca="false">MAX(0,$C$74-3*SQRT($C$74*(1-$C$74)/C69))</f>
        <v>0</v>
      </c>
      <c r="H69" s="132" t="str">
        <f aca="false">IF(E69&gt;F69,"OOC high",IF(E69&lt;G69,"OOC low","OK"))</f>
        <v>OK</v>
      </c>
      <c r="I69" s="102"/>
      <c r="J69" s="102"/>
      <c r="K69" s="102"/>
      <c r="L69" s="102"/>
      <c r="M69" s="102"/>
      <c r="N69" s="102"/>
      <c r="O69" s="102"/>
    </row>
    <row r="70" customFormat="false" ht="15" hidden="false" customHeight="true" outlineLevel="0" collapsed="false">
      <c r="A70" s="102"/>
      <c r="B70" s="123" t="n">
        <v>22</v>
      </c>
      <c r="C70" s="114" t="n">
        <v>400</v>
      </c>
      <c r="D70" s="114" t="n">
        <v>7</v>
      </c>
      <c r="E70" s="129" t="n">
        <f aca="false">D70/C70</f>
        <v>0.0175</v>
      </c>
      <c r="F70" s="129" t="n">
        <f aca="false">$C$74+3*SQRT($C$74*(1-$C$74)/C70)</f>
        <v>0.0395334898434113</v>
      </c>
      <c r="G70" s="129" t="n">
        <f aca="false">MAX(0,$C$74-3*SQRT($C$74*(1-$C$74)/C70))</f>
        <v>0</v>
      </c>
      <c r="H70" s="132" t="str">
        <f aca="false">IF(E70&gt;F70,"OOC high",IF(E70&lt;G70,"OOC low","OK"))</f>
        <v>OK</v>
      </c>
      <c r="I70" s="102"/>
      <c r="J70" s="102"/>
      <c r="K70" s="102"/>
      <c r="L70" s="102"/>
      <c r="M70" s="102"/>
      <c r="N70" s="102"/>
      <c r="O70" s="102"/>
    </row>
    <row r="71" customFormat="false" ht="15" hidden="false" customHeight="true" outlineLevel="0" collapsed="false">
      <c r="A71" s="102"/>
      <c r="B71" s="123" t="n">
        <v>23</v>
      </c>
      <c r="C71" s="114" t="n">
        <v>450</v>
      </c>
      <c r="D71" s="114" t="n">
        <v>7</v>
      </c>
      <c r="E71" s="129" t="n">
        <f aca="false">D71/C71</f>
        <v>0.0155555555555556</v>
      </c>
      <c r="F71" s="129" t="n">
        <f aca="false">$C$74+3*SQRT($C$74*(1-$C$74)/C71)</f>
        <v>0.0383612099881234</v>
      </c>
      <c r="G71" s="129" t="n">
        <f aca="false">MAX(0,$C$74-3*SQRT($C$74*(1-$C$74)/C71))</f>
        <v>0</v>
      </c>
      <c r="H71" s="132" t="str">
        <f aca="false">IF(E71&gt;F71,"OOC high",IF(E71&lt;G71,"OOC low","OK"))</f>
        <v>OK</v>
      </c>
      <c r="I71" s="102"/>
      <c r="J71" s="102"/>
      <c r="K71" s="102"/>
      <c r="L71" s="102"/>
      <c r="M71" s="102"/>
      <c r="N71" s="102"/>
      <c r="O71" s="102"/>
    </row>
    <row r="72" customFormat="false" ht="15" hidden="false" customHeight="true" outlineLevel="0" collapsed="false">
      <c r="A72" s="102"/>
      <c r="B72" s="123" t="n">
        <v>24</v>
      </c>
      <c r="C72" s="114" t="n">
        <v>280</v>
      </c>
      <c r="D72" s="114" t="n">
        <v>5</v>
      </c>
      <c r="E72" s="129" t="n">
        <f aca="false">D72/C72</f>
        <v>0.0178571428571429</v>
      </c>
      <c r="F72" s="129" t="n">
        <f aca="false">$C$74+3*SQRT($C$74*(1-$C$74)/C72)</f>
        <v>0.0435352162041781</v>
      </c>
      <c r="G72" s="129" t="n">
        <f aca="false">MAX(0,$C$74-3*SQRT($C$74*(1-$C$74)/C72))</f>
        <v>0</v>
      </c>
      <c r="H72" s="132" t="str">
        <f aca="false">IF(E72&gt;F72,"OOC high",IF(E72&lt;G72,"OOC low","OK"))</f>
        <v>OK</v>
      </c>
      <c r="I72" s="102"/>
      <c r="J72" s="102"/>
      <c r="K72" s="102"/>
      <c r="L72" s="102"/>
      <c r="M72" s="102"/>
      <c r="N72" s="102"/>
      <c r="O72" s="102"/>
    </row>
    <row r="73" customFormat="false" ht="15" hidden="false" customHeight="true" outlineLevel="0" collapsed="false">
      <c r="A73" s="102"/>
      <c r="B73" s="102"/>
      <c r="C73" s="102"/>
      <c r="D73" s="102"/>
      <c r="E73" s="102"/>
      <c r="F73" s="102"/>
      <c r="G73" s="102"/>
      <c r="H73" s="102"/>
      <c r="I73" s="102"/>
      <c r="J73" s="102"/>
      <c r="K73" s="102"/>
      <c r="L73" s="102"/>
      <c r="M73" s="102"/>
      <c r="N73" s="102"/>
      <c r="O73" s="102"/>
    </row>
    <row r="74" customFormat="false" ht="15" hidden="false" customHeight="true" outlineLevel="0" collapsed="false">
      <c r="A74" s="102"/>
      <c r="B74" s="105" t="s">
        <v>5985</v>
      </c>
      <c r="C74" s="126" t="n">
        <f aca="false">SUM(D49:D72)/SUM(C49:C72)</f>
        <v>0.0190358467243511</v>
      </c>
      <c r="D74" s="102"/>
      <c r="E74" s="102"/>
      <c r="F74" s="102"/>
      <c r="G74" s="102"/>
      <c r="H74" s="102"/>
      <c r="I74" s="102"/>
      <c r="J74" s="102"/>
      <c r="K74" s="102"/>
      <c r="L74" s="102"/>
      <c r="M74" s="102"/>
      <c r="N74" s="102"/>
      <c r="O74" s="102"/>
    </row>
    <row r="75" customFormat="false" ht="15" hidden="false" customHeight="true" outlineLevel="0" collapsed="false">
      <c r="A75" s="102"/>
      <c r="B75" s="102"/>
      <c r="C75" s="102"/>
      <c r="D75" s="102"/>
      <c r="E75" s="102"/>
      <c r="F75" s="102"/>
      <c r="G75" s="102"/>
      <c r="H75" s="102"/>
      <c r="I75" s="102"/>
      <c r="J75" s="102"/>
      <c r="K75" s="102"/>
      <c r="L75" s="102"/>
      <c r="M75" s="102"/>
      <c r="N75" s="102"/>
      <c r="O75" s="102"/>
    </row>
    <row r="76" customFormat="false" ht="16.5" hidden="false" customHeight="true" outlineLevel="0" collapsed="false">
      <c r="A76" s="102"/>
      <c r="B76" s="108" t="s">
        <v>5980</v>
      </c>
      <c r="C76" s="108" t="s">
        <v>5983</v>
      </c>
      <c r="D76" s="108" t="s">
        <v>5809</v>
      </c>
      <c r="E76" s="108" t="s">
        <v>5810</v>
      </c>
      <c r="F76" s="108" t="s">
        <v>5811</v>
      </c>
      <c r="G76" s="102"/>
      <c r="H76" s="102"/>
      <c r="I76" s="102"/>
      <c r="J76" s="102"/>
      <c r="K76" s="102"/>
      <c r="L76" s="102"/>
      <c r="M76" s="102"/>
      <c r="N76" s="102"/>
      <c r="O76" s="102"/>
    </row>
    <row r="77" customFormat="false" ht="15" hidden="false" customHeight="true" outlineLevel="0" collapsed="false">
      <c r="A77" s="102"/>
      <c r="B77" s="123" t="n">
        <v>1</v>
      </c>
      <c r="C77" s="129" t="n">
        <f aca="false">E49</f>
        <v>0.0233333333333333</v>
      </c>
      <c r="D77" s="129" t="n">
        <f aca="false">$C$74</f>
        <v>0.0190358467243511</v>
      </c>
      <c r="E77" s="129" t="n">
        <f aca="false">F49</f>
        <v>0.0427044862694356</v>
      </c>
      <c r="F77" s="129" t="n">
        <f aca="false">G49</f>
        <v>0</v>
      </c>
      <c r="G77" s="102"/>
      <c r="H77" s="102"/>
      <c r="I77" s="102"/>
      <c r="J77" s="102"/>
      <c r="K77" s="102"/>
      <c r="L77" s="102"/>
      <c r="M77" s="102"/>
      <c r="N77" s="102"/>
      <c r="O77" s="102"/>
    </row>
    <row r="78" customFormat="false" ht="15" hidden="false" customHeight="true" outlineLevel="0" collapsed="false">
      <c r="A78" s="102"/>
      <c r="B78" s="123" t="n">
        <v>2</v>
      </c>
      <c r="C78" s="129" t="n">
        <f aca="false">E50</f>
        <v>0.02</v>
      </c>
      <c r="D78" s="129" t="n">
        <f aca="false">$C$74</f>
        <v>0.0190358467243511</v>
      </c>
      <c r="E78" s="129" t="n">
        <f aca="false">F50</f>
        <v>0.0383612099881234</v>
      </c>
      <c r="F78" s="129" t="n">
        <f aca="false">G50</f>
        <v>0</v>
      </c>
      <c r="G78" s="102"/>
      <c r="H78" s="102"/>
      <c r="I78" s="102"/>
      <c r="J78" s="102"/>
      <c r="K78" s="102"/>
      <c r="L78" s="102"/>
      <c r="M78" s="102"/>
      <c r="N78" s="102"/>
      <c r="O78" s="102"/>
    </row>
    <row r="79" customFormat="false" ht="15" hidden="false" customHeight="true" outlineLevel="0" collapsed="false">
      <c r="A79" s="102"/>
      <c r="B79" s="123" t="n">
        <v>3</v>
      </c>
      <c r="C79" s="129" t="n">
        <f aca="false">E51</f>
        <v>0.00769230769230769</v>
      </c>
      <c r="D79" s="129" t="n">
        <f aca="false">$C$74</f>
        <v>0.0190358467243511</v>
      </c>
      <c r="E79" s="129" t="n">
        <f aca="false">F51</f>
        <v>0.0444600439641205</v>
      </c>
      <c r="F79" s="129" t="n">
        <f aca="false">G51</f>
        <v>0</v>
      </c>
      <c r="G79" s="102"/>
      <c r="H79" s="102"/>
      <c r="I79" s="102"/>
      <c r="J79" s="102"/>
      <c r="K79" s="102"/>
      <c r="L79" s="102"/>
      <c r="M79" s="102"/>
      <c r="N79" s="102"/>
      <c r="O79" s="102"/>
    </row>
    <row r="80" customFormat="false" ht="15" hidden="false" customHeight="true" outlineLevel="0" collapsed="false">
      <c r="A80" s="102"/>
      <c r="B80" s="123" t="n">
        <v>4</v>
      </c>
      <c r="C80" s="129" t="n">
        <f aca="false">E52</f>
        <v>0.0235294117647059</v>
      </c>
      <c r="D80" s="129" t="n">
        <f aca="false">$C$74</f>
        <v>0.0190358467243511</v>
      </c>
      <c r="E80" s="129" t="n">
        <f aca="false">F52</f>
        <v>0.0412686622544568</v>
      </c>
      <c r="F80" s="129" t="n">
        <f aca="false">G52</f>
        <v>0</v>
      </c>
      <c r="G80" s="102"/>
      <c r="H80" s="102"/>
      <c r="I80" s="102"/>
      <c r="J80" s="102"/>
      <c r="K80" s="102"/>
      <c r="L80" s="102"/>
      <c r="M80" s="102"/>
      <c r="N80" s="102"/>
      <c r="O80" s="102"/>
    </row>
    <row r="81" customFormat="false" ht="15" hidden="false" customHeight="true" outlineLevel="0" collapsed="false">
      <c r="A81" s="102"/>
      <c r="B81" s="123" t="n">
        <v>5</v>
      </c>
      <c r="C81" s="129" t="n">
        <f aca="false">E53</f>
        <v>0.0236842105263158</v>
      </c>
      <c r="D81" s="129" t="n">
        <f aca="false">$C$74</f>
        <v>0.0190358467243511</v>
      </c>
      <c r="E81" s="129" t="n">
        <f aca="false">F53</f>
        <v>0.040065984833274</v>
      </c>
      <c r="F81" s="129" t="n">
        <f aca="false">G53</f>
        <v>0</v>
      </c>
      <c r="G81" s="102"/>
      <c r="H81" s="102"/>
      <c r="I81" s="102"/>
      <c r="J81" s="102"/>
      <c r="K81" s="102"/>
      <c r="L81" s="102"/>
      <c r="M81" s="102"/>
      <c r="N81" s="102"/>
      <c r="O81" s="102"/>
    </row>
    <row r="82" customFormat="false" ht="15" hidden="false" customHeight="true" outlineLevel="0" collapsed="false">
      <c r="A82" s="102"/>
      <c r="B82" s="123" t="n">
        <v>6</v>
      </c>
      <c r="C82" s="129" t="n">
        <f aca="false">E54</f>
        <v>0.0111111111111111</v>
      </c>
      <c r="D82" s="129" t="n">
        <f aca="false">$C$74</f>
        <v>0.0190358467243511</v>
      </c>
      <c r="E82" s="129" t="n">
        <f aca="false">F54</f>
        <v>0.0383612099881234</v>
      </c>
      <c r="F82" s="129" t="n">
        <f aca="false">G54</f>
        <v>0</v>
      </c>
      <c r="G82" s="102"/>
      <c r="H82" s="102"/>
      <c r="I82" s="102"/>
      <c r="J82" s="102"/>
      <c r="K82" s="102"/>
      <c r="L82" s="102"/>
      <c r="M82" s="102"/>
      <c r="N82" s="102"/>
      <c r="O82" s="102"/>
    </row>
    <row r="83" customFormat="false" ht="15" hidden="false" customHeight="true" outlineLevel="0" collapsed="false">
      <c r="A83" s="102"/>
      <c r="B83" s="123" t="n">
        <v>7</v>
      </c>
      <c r="C83" s="129" t="n">
        <f aca="false">E55</f>
        <v>0.0227272727272727</v>
      </c>
      <c r="D83" s="129" t="n">
        <f aca="false">$C$74</f>
        <v>0.0190358467243511</v>
      </c>
      <c r="E83" s="129" t="n">
        <f aca="false">F55</f>
        <v>0.0466748630677331</v>
      </c>
      <c r="F83" s="129" t="n">
        <f aca="false">G55</f>
        <v>0</v>
      </c>
      <c r="G83" s="102"/>
      <c r="H83" s="102"/>
      <c r="I83" s="102"/>
      <c r="J83" s="102"/>
      <c r="K83" s="102"/>
      <c r="L83" s="102"/>
      <c r="M83" s="102"/>
      <c r="N83" s="102"/>
      <c r="O83" s="102"/>
    </row>
    <row r="84" customFormat="false" ht="15" hidden="false" customHeight="true" outlineLevel="0" collapsed="false">
      <c r="A84" s="102"/>
      <c r="B84" s="123" t="n">
        <v>8</v>
      </c>
      <c r="C84" s="129" t="n">
        <f aca="false">E56</f>
        <v>0.0181818181818182</v>
      </c>
      <c r="D84" s="129" t="n">
        <f aca="false">$C$74</f>
        <v>0.0190358467243511</v>
      </c>
      <c r="E84" s="129" t="n">
        <f aca="false">F56</f>
        <v>0.0466748630677331</v>
      </c>
      <c r="F84" s="129" t="n">
        <f aca="false">G56</f>
        <v>0</v>
      </c>
      <c r="G84" s="102"/>
      <c r="H84" s="102"/>
      <c r="I84" s="102"/>
      <c r="J84" s="102"/>
      <c r="K84" s="102"/>
      <c r="L84" s="102"/>
      <c r="M84" s="102"/>
      <c r="N84" s="102"/>
      <c r="O84" s="102"/>
    </row>
    <row r="85" customFormat="false" ht="15" hidden="false" customHeight="true" outlineLevel="0" collapsed="false">
      <c r="A85" s="102"/>
      <c r="B85" s="123" t="n">
        <v>9</v>
      </c>
      <c r="C85" s="129" t="n">
        <f aca="false">E57</f>
        <v>0.02</v>
      </c>
      <c r="D85" s="129" t="n">
        <f aca="false">$C$74</f>
        <v>0.0190358467243511</v>
      </c>
      <c r="E85" s="129" t="n">
        <f aca="false">F57</f>
        <v>0.0395334898434113</v>
      </c>
      <c r="F85" s="129" t="n">
        <f aca="false">G57</f>
        <v>0</v>
      </c>
      <c r="G85" s="102"/>
      <c r="H85" s="102"/>
      <c r="I85" s="102"/>
      <c r="J85" s="102"/>
      <c r="K85" s="102"/>
      <c r="L85" s="102"/>
      <c r="M85" s="102"/>
      <c r="N85" s="102"/>
      <c r="O85" s="102"/>
    </row>
    <row r="86" customFormat="false" ht="15" hidden="false" customHeight="true" outlineLevel="0" collapsed="false">
      <c r="A86" s="102"/>
      <c r="B86" s="123" t="n">
        <v>10</v>
      </c>
      <c r="C86" s="129" t="n">
        <f aca="false">E58</f>
        <v>0.02</v>
      </c>
      <c r="D86" s="129" t="n">
        <f aca="false">$C$74</f>
        <v>0.0190358467243511</v>
      </c>
      <c r="E86" s="129" t="n">
        <f aca="false">F58</f>
        <v>0.0395334898434113</v>
      </c>
      <c r="F86" s="129" t="n">
        <f aca="false">G58</f>
        <v>0</v>
      </c>
      <c r="G86" s="102"/>
      <c r="H86" s="102"/>
      <c r="I86" s="102"/>
      <c r="J86" s="102"/>
      <c r="K86" s="102"/>
      <c r="L86" s="102"/>
      <c r="M86" s="102"/>
      <c r="N86" s="102"/>
      <c r="O86" s="102"/>
    </row>
    <row r="87" customFormat="false" ht="15" hidden="false" customHeight="true" outlineLevel="0" collapsed="false">
      <c r="A87" s="102"/>
      <c r="B87" s="123" t="n">
        <v>11</v>
      </c>
      <c r="C87" s="129" t="n">
        <f aca="false">E59</f>
        <v>0.0133333333333333</v>
      </c>
      <c r="D87" s="129" t="n">
        <f aca="false">$C$74</f>
        <v>0.0190358467243511</v>
      </c>
      <c r="E87" s="129" t="n">
        <f aca="false">F59</f>
        <v>0.0427044862694356</v>
      </c>
      <c r="F87" s="129" t="n">
        <f aca="false">G59</f>
        <v>0</v>
      </c>
      <c r="G87" s="102"/>
      <c r="H87" s="102"/>
      <c r="I87" s="102"/>
      <c r="J87" s="102"/>
      <c r="K87" s="102"/>
      <c r="L87" s="102"/>
      <c r="M87" s="102"/>
      <c r="N87" s="102"/>
      <c r="O87" s="102"/>
    </row>
    <row r="88" customFormat="false" ht="15" hidden="false" customHeight="true" outlineLevel="0" collapsed="false">
      <c r="A88" s="102"/>
      <c r="B88" s="123" t="n">
        <v>12</v>
      </c>
      <c r="C88" s="129" t="n">
        <f aca="false">E60</f>
        <v>0.0178571428571429</v>
      </c>
      <c r="D88" s="129" t="n">
        <f aca="false">$C$74</f>
        <v>0.0190358467243511</v>
      </c>
      <c r="E88" s="129" t="n">
        <f aca="false">F60</f>
        <v>0.0435352162041781</v>
      </c>
      <c r="F88" s="129" t="n">
        <f aca="false">G60</f>
        <v>0</v>
      </c>
      <c r="G88" s="102"/>
      <c r="H88" s="102"/>
      <c r="I88" s="102"/>
      <c r="J88" s="102"/>
      <c r="K88" s="102"/>
      <c r="L88" s="102"/>
      <c r="M88" s="102"/>
      <c r="N88" s="102"/>
      <c r="O88" s="102"/>
    </row>
    <row r="89" customFormat="false" ht="15" hidden="false" customHeight="true" outlineLevel="0" collapsed="false">
      <c r="A89" s="102"/>
      <c r="B89" s="123" t="n">
        <v>13</v>
      </c>
      <c r="C89" s="129" t="n">
        <f aca="false">E61</f>
        <v>0.0272727272727273</v>
      </c>
      <c r="D89" s="129" t="n">
        <f aca="false">$C$74</f>
        <v>0.0190358467243511</v>
      </c>
      <c r="E89" s="129" t="n">
        <f aca="false">F61</f>
        <v>0.0466748630677331</v>
      </c>
      <c r="F89" s="129" t="n">
        <f aca="false">G61</f>
        <v>0</v>
      </c>
      <c r="G89" s="102"/>
      <c r="H89" s="102"/>
      <c r="I89" s="102"/>
      <c r="J89" s="102"/>
      <c r="K89" s="102"/>
      <c r="L89" s="102"/>
      <c r="M89" s="102"/>
      <c r="N89" s="102"/>
      <c r="O89" s="102"/>
    </row>
    <row r="90" customFormat="false" ht="15" hidden="false" customHeight="true" outlineLevel="0" collapsed="false">
      <c r="A90" s="102"/>
      <c r="B90" s="123" t="n">
        <v>14</v>
      </c>
      <c r="C90" s="129" t="n">
        <f aca="false">E62</f>
        <v>0.0107142857142857</v>
      </c>
      <c r="D90" s="129" t="n">
        <f aca="false">$C$74</f>
        <v>0.0190358467243511</v>
      </c>
      <c r="E90" s="129" t="n">
        <f aca="false">F62</f>
        <v>0.0435352162041781</v>
      </c>
      <c r="F90" s="129" t="n">
        <f aca="false">G62</f>
        <v>0</v>
      </c>
      <c r="G90" s="102"/>
      <c r="H90" s="102"/>
      <c r="I90" s="102"/>
      <c r="J90" s="102"/>
      <c r="K90" s="102"/>
      <c r="L90" s="102"/>
      <c r="M90" s="102"/>
      <c r="N90" s="102"/>
      <c r="O90" s="102"/>
    </row>
    <row r="91" customFormat="false" ht="15" hidden="false" customHeight="true" outlineLevel="0" collapsed="false">
      <c r="A91" s="102"/>
      <c r="B91" s="123" t="n">
        <v>15</v>
      </c>
      <c r="C91" s="129" t="n">
        <f aca="false">E63</f>
        <v>0.0131578947368421</v>
      </c>
      <c r="D91" s="129" t="n">
        <f aca="false">$C$74</f>
        <v>0.0190358467243511</v>
      </c>
      <c r="E91" s="129" t="n">
        <f aca="false">F63</f>
        <v>0.040065984833274</v>
      </c>
      <c r="F91" s="129" t="n">
        <f aca="false">G63</f>
        <v>0</v>
      </c>
      <c r="G91" s="102"/>
      <c r="H91" s="102"/>
      <c r="I91" s="102"/>
      <c r="J91" s="102"/>
      <c r="K91" s="102"/>
      <c r="L91" s="102"/>
      <c r="M91" s="102"/>
      <c r="N91" s="102"/>
      <c r="O91" s="102"/>
    </row>
    <row r="92" customFormat="false" ht="15" hidden="false" customHeight="true" outlineLevel="0" collapsed="false">
      <c r="A92" s="102"/>
      <c r="B92" s="123" t="n">
        <v>16</v>
      </c>
      <c r="C92" s="129" t="n">
        <f aca="false">E64</f>
        <v>0.0470588235294118</v>
      </c>
      <c r="D92" s="129" t="n">
        <f aca="false">$C$74</f>
        <v>0.0190358467243511</v>
      </c>
      <c r="E92" s="129" t="n">
        <f aca="false">F64</f>
        <v>0.0412686622544568</v>
      </c>
      <c r="F92" s="129" t="n">
        <f aca="false">G64</f>
        <v>0</v>
      </c>
      <c r="G92" s="102"/>
      <c r="H92" s="102"/>
      <c r="I92" s="102"/>
      <c r="J92" s="102"/>
      <c r="K92" s="102"/>
      <c r="L92" s="102"/>
      <c r="M92" s="102"/>
      <c r="N92" s="102"/>
      <c r="O92" s="102"/>
    </row>
    <row r="93" customFormat="false" ht="15" hidden="false" customHeight="true" outlineLevel="0" collapsed="false">
      <c r="A93" s="102"/>
      <c r="B93" s="123" t="n">
        <v>17</v>
      </c>
      <c r="C93" s="129" t="n">
        <f aca="false">E65</f>
        <v>0.0147058823529412</v>
      </c>
      <c r="D93" s="129" t="n">
        <f aca="false">$C$74</f>
        <v>0.0190358467243511</v>
      </c>
      <c r="E93" s="129" t="n">
        <f aca="false">F65</f>
        <v>0.0412686622544568</v>
      </c>
      <c r="F93" s="129" t="n">
        <f aca="false">G65</f>
        <v>0</v>
      </c>
      <c r="G93" s="102"/>
      <c r="H93" s="102"/>
      <c r="I93" s="102"/>
      <c r="J93" s="102"/>
      <c r="K93" s="102"/>
      <c r="L93" s="102"/>
      <c r="M93" s="102"/>
      <c r="N93" s="102"/>
      <c r="O93" s="102"/>
    </row>
    <row r="94" customFormat="false" ht="15" hidden="false" customHeight="true" outlineLevel="0" collapsed="false">
      <c r="A94" s="102"/>
      <c r="B94" s="123" t="n">
        <v>18</v>
      </c>
      <c r="C94" s="129" t="n">
        <f aca="false">E66</f>
        <v>0.0205882352941176</v>
      </c>
      <c r="D94" s="129" t="n">
        <f aca="false">$C$74</f>
        <v>0.0190358467243511</v>
      </c>
      <c r="E94" s="129" t="n">
        <f aca="false">F66</f>
        <v>0.0412686622544568</v>
      </c>
      <c r="F94" s="129" t="n">
        <f aca="false">G66</f>
        <v>0</v>
      </c>
      <c r="G94" s="102"/>
      <c r="H94" s="102"/>
      <c r="I94" s="102"/>
      <c r="J94" s="102"/>
      <c r="K94" s="102"/>
      <c r="L94" s="102"/>
      <c r="M94" s="102"/>
      <c r="N94" s="102"/>
      <c r="O94" s="102"/>
    </row>
    <row r="95" customFormat="false" ht="15" hidden="false" customHeight="true" outlineLevel="0" collapsed="false">
      <c r="A95" s="102"/>
      <c r="B95" s="123" t="n">
        <v>19</v>
      </c>
      <c r="C95" s="129" t="n">
        <f aca="false">E67</f>
        <v>0.02</v>
      </c>
      <c r="D95" s="129" t="n">
        <f aca="false">$C$74</f>
        <v>0.0190358467243511</v>
      </c>
      <c r="E95" s="129" t="n">
        <f aca="false">F67</f>
        <v>0.0427044862694356</v>
      </c>
      <c r="F95" s="129" t="n">
        <f aca="false">G67</f>
        <v>0</v>
      </c>
      <c r="G95" s="102"/>
      <c r="H95" s="102"/>
      <c r="I95" s="102"/>
      <c r="J95" s="102"/>
      <c r="K95" s="102"/>
      <c r="L95" s="102"/>
      <c r="M95" s="102"/>
      <c r="N95" s="102"/>
      <c r="O95" s="102"/>
    </row>
    <row r="96" customFormat="false" ht="15" hidden="false" customHeight="true" outlineLevel="0" collapsed="false">
      <c r="A96" s="102"/>
      <c r="B96" s="123" t="n">
        <v>20</v>
      </c>
      <c r="C96" s="129" t="n">
        <f aca="false">E68</f>
        <v>0.0184210526315789</v>
      </c>
      <c r="D96" s="129" t="n">
        <f aca="false">$C$74</f>
        <v>0.0190358467243511</v>
      </c>
      <c r="E96" s="129" t="n">
        <f aca="false">F68</f>
        <v>0.040065984833274</v>
      </c>
      <c r="F96" s="129" t="n">
        <f aca="false">G68</f>
        <v>0</v>
      </c>
      <c r="G96" s="102"/>
      <c r="H96" s="102"/>
      <c r="I96" s="102"/>
      <c r="J96" s="102"/>
      <c r="K96" s="102"/>
      <c r="L96" s="102"/>
      <c r="M96" s="102"/>
      <c r="N96" s="102"/>
      <c r="O96" s="102"/>
    </row>
    <row r="97" customFormat="false" ht="15" hidden="false" customHeight="true" outlineLevel="0" collapsed="false">
      <c r="A97" s="102"/>
      <c r="B97" s="123" t="n">
        <v>21</v>
      </c>
      <c r="C97" s="129" t="n">
        <f aca="false">E69</f>
        <v>0.0157894736842105</v>
      </c>
      <c r="D97" s="129" t="n">
        <f aca="false">$C$74</f>
        <v>0.0190358467243511</v>
      </c>
      <c r="E97" s="129" t="n">
        <f aca="false">F69</f>
        <v>0.040065984833274</v>
      </c>
      <c r="F97" s="129" t="n">
        <f aca="false">G69</f>
        <v>0</v>
      </c>
      <c r="G97" s="102"/>
      <c r="H97" s="102"/>
      <c r="I97" s="102"/>
      <c r="J97" s="102"/>
      <c r="K97" s="102"/>
      <c r="L97" s="102"/>
      <c r="M97" s="102"/>
      <c r="N97" s="102"/>
      <c r="O97" s="102"/>
    </row>
    <row r="98" customFormat="false" ht="15" hidden="false" customHeight="true" outlineLevel="0" collapsed="false">
      <c r="A98" s="102"/>
      <c r="B98" s="123" t="n">
        <v>22</v>
      </c>
      <c r="C98" s="129" t="n">
        <f aca="false">E70</f>
        <v>0.0175</v>
      </c>
      <c r="D98" s="129" t="n">
        <f aca="false">$C$74</f>
        <v>0.0190358467243511</v>
      </c>
      <c r="E98" s="129" t="n">
        <f aca="false">F70</f>
        <v>0.0395334898434113</v>
      </c>
      <c r="F98" s="129" t="n">
        <f aca="false">G70</f>
        <v>0</v>
      </c>
      <c r="G98" s="102"/>
      <c r="H98" s="102"/>
      <c r="I98" s="102"/>
      <c r="J98" s="102"/>
      <c r="K98" s="102"/>
      <c r="L98" s="102"/>
      <c r="M98" s="102"/>
      <c r="N98" s="102"/>
      <c r="O98" s="102"/>
    </row>
    <row r="99" customFormat="false" ht="15" hidden="false" customHeight="true" outlineLevel="0" collapsed="false">
      <c r="A99" s="102"/>
      <c r="B99" s="123" t="n">
        <v>23</v>
      </c>
      <c r="C99" s="129" t="n">
        <f aca="false">E71</f>
        <v>0.0155555555555556</v>
      </c>
      <c r="D99" s="129" t="n">
        <f aca="false">$C$74</f>
        <v>0.0190358467243511</v>
      </c>
      <c r="E99" s="129" t="n">
        <f aca="false">F71</f>
        <v>0.0383612099881234</v>
      </c>
      <c r="F99" s="129" t="n">
        <f aca="false">G71</f>
        <v>0</v>
      </c>
      <c r="G99" s="102"/>
      <c r="H99" s="102"/>
      <c r="I99" s="102"/>
      <c r="J99" s="102"/>
      <c r="K99" s="102"/>
      <c r="L99" s="102"/>
      <c r="M99" s="102"/>
      <c r="N99" s="102"/>
      <c r="O99" s="102"/>
    </row>
    <row r="100" customFormat="false" ht="15" hidden="false" customHeight="true" outlineLevel="0" collapsed="false">
      <c r="A100" s="102"/>
      <c r="B100" s="123" t="n">
        <v>24</v>
      </c>
      <c r="C100" s="129" t="n">
        <f aca="false">E72</f>
        <v>0.0178571428571429</v>
      </c>
      <c r="D100" s="129" t="n">
        <f aca="false">$C$74</f>
        <v>0.0190358467243511</v>
      </c>
      <c r="E100" s="129" t="n">
        <f aca="false">F72</f>
        <v>0.0435352162041781</v>
      </c>
      <c r="F100" s="129" t="n">
        <f aca="false">G72</f>
        <v>0</v>
      </c>
      <c r="G100" s="102"/>
      <c r="H100" s="102"/>
      <c r="I100" s="102"/>
      <c r="J100" s="102"/>
      <c r="K100" s="102"/>
      <c r="L100" s="102"/>
      <c r="M100" s="102"/>
      <c r="N100" s="102"/>
      <c r="O100" s="102"/>
    </row>
    <row r="101" customFormat="false" ht="15" hidden="false" customHeight="true" outlineLevel="0" collapsed="false">
      <c r="A101" s="102"/>
      <c r="B101" s="102"/>
      <c r="C101" s="102"/>
      <c r="D101" s="102"/>
      <c r="E101" s="102"/>
      <c r="F101" s="102"/>
      <c r="G101" s="102"/>
      <c r="H101" s="102"/>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7.25" hidden="false" customHeight="true" outlineLevel="0" collapsed="false">
      <c r="A120" s="102"/>
      <c r="B120" s="107" t="s">
        <v>5986</v>
      </c>
      <c r="C120" s="107"/>
      <c r="D120" s="107"/>
      <c r="E120" s="107"/>
      <c r="F120" s="107"/>
      <c r="G120" s="107"/>
      <c r="H120" s="107"/>
      <c r="I120" s="102"/>
      <c r="J120" s="102"/>
      <c r="K120" s="102"/>
      <c r="L120" s="102"/>
      <c r="M120" s="102"/>
      <c r="N120" s="102"/>
      <c r="O120" s="102"/>
    </row>
    <row r="121" customFormat="false" ht="15" hidden="false" customHeight="true" outlineLevel="0" collapsed="false">
      <c r="A121" s="102"/>
      <c r="B121" s="105" t="s">
        <v>5987</v>
      </c>
      <c r="C121" s="142" t="n">
        <f aca="false">AVERAGE(C49:C72)</f>
        <v>337.083333333333</v>
      </c>
      <c r="D121" s="102"/>
      <c r="E121" s="102"/>
      <c r="F121" s="102"/>
      <c r="G121" s="102"/>
      <c r="H121" s="102"/>
      <c r="I121" s="102"/>
      <c r="J121" s="102"/>
      <c r="K121" s="102"/>
      <c r="L121" s="102"/>
      <c r="M121" s="102"/>
      <c r="N121" s="102"/>
      <c r="O121" s="102"/>
    </row>
    <row r="122" customFormat="false" ht="15" hidden="false" customHeight="true" outlineLevel="0" collapsed="false">
      <c r="A122" s="102"/>
      <c r="B122" s="105" t="s">
        <v>5988</v>
      </c>
      <c r="C122" s="133" t="n">
        <f aca="false">C121*C74</f>
        <v>6.41666666666667</v>
      </c>
      <c r="D122" s="102"/>
      <c r="E122" s="102"/>
      <c r="F122" s="102"/>
      <c r="G122" s="102"/>
      <c r="H122" s="102"/>
      <c r="I122" s="102"/>
      <c r="J122" s="102"/>
      <c r="K122" s="102"/>
      <c r="L122" s="102"/>
      <c r="M122" s="102"/>
      <c r="N122" s="102"/>
      <c r="O122" s="102"/>
    </row>
    <row r="123" customFormat="false" ht="15" hidden="false" customHeight="true" outlineLevel="0" collapsed="false">
      <c r="A123" s="102"/>
      <c r="B123" s="105" t="s">
        <v>5989</v>
      </c>
      <c r="C123" s="133" t="n">
        <f aca="false">C121*C74+3*SQRT(C121*C74*(1-C74))</f>
        <v>13.9433312567536</v>
      </c>
      <c r="D123" s="102"/>
      <c r="E123" s="102"/>
      <c r="F123" s="102"/>
      <c r="G123" s="102"/>
      <c r="H123" s="102"/>
      <c r="I123" s="102"/>
      <c r="J123" s="102"/>
      <c r="K123" s="102"/>
      <c r="L123" s="102"/>
      <c r="M123" s="102"/>
      <c r="N123" s="102"/>
      <c r="O123" s="102"/>
    </row>
    <row r="124" customFormat="false" ht="15" hidden="false" customHeight="true" outlineLevel="0" collapsed="false">
      <c r="A124" s="102"/>
      <c r="B124" s="105" t="s">
        <v>5990</v>
      </c>
      <c r="C124" s="133" t="n">
        <f aca="false">MAX(0,C121*C74-3*SQRT(C121*C74*(1-C74)))</f>
        <v>0</v>
      </c>
      <c r="D124" s="102"/>
      <c r="E124" s="102"/>
      <c r="F124" s="102"/>
      <c r="G124" s="102"/>
      <c r="H124" s="102"/>
      <c r="I124" s="102"/>
      <c r="J124" s="102"/>
      <c r="K124" s="102"/>
      <c r="L124" s="102"/>
      <c r="M124" s="102"/>
      <c r="N124" s="102"/>
      <c r="O124" s="102"/>
    </row>
    <row r="125" customFormat="false" ht="15" hidden="false" customHeight="true" outlineLevel="0" collapsed="false">
      <c r="A125" s="102"/>
      <c r="B125" s="102"/>
      <c r="C125" s="102"/>
      <c r="D125" s="102"/>
      <c r="E125" s="102"/>
      <c r="F125" s="102"/>
      <c r="G125" s="102"/>
      <c r="H125" s="102"/>
      <c r="I125" s="102"/>
      <c r="J125" s="102"/>
      <c r="K125" s="102"/>
      <c r="L125" s="102"/>
      <c r="M125" s="102"/>
      <c r="N125" s="102"/>
      <c r="O125" s="102"/>
    </row>
    <row r="126" customFormat="false" ht="15.75" hidden="false" customHeight="true" outlineLevel="0" collapsed="false">
      <c r="A126" s="102"/>
      <c r="B126" s="103" t="s">
        <v>1493</v>
      </c>
      <c r="C126" s="104"/>
      <c r="D126" s="104"/>
      <c r="E126" s="104"/>
      <c r="F126" s="104"/>
      <c r="G126" s="104"/>
      <c r="H126" s="104"/>
      <c r="I126" s="104"/>
      <c r="J126" s="104"/>
      <c r="K126" s="104"/>
      <c r="L126" s="102"/>
      <c r="M126" s="102"/>
      <c r="N126" s="102"/>
      <c r="O126" s="102"/>
    </row>
    <row r="127" customFormat="false" ht="33.75" hidden="false" customHeight="true" outlineLevel="0" collapsed="false">
      <c r="A127" s="102"/>
      <c r="B127" s="105" t="s">
        <v>1494</v>
      </c>
      <c r="C127" s="117" t="str">
        <f aca="false">IF(COUNTIF(H49:H72,"OK")=(72-49+1),"All lots inside the p-chart limits (pbar = "&amp;TEXT(C74,"0.00%")&amp;") - defect rate appears stable.","At least one lot outside the p-chart limits (pbar = "&amp;TEXT(C74,"0.00%")&amp;"). Investigate the flagged lot(s) before adjusting the process.")</f>
        <v>At least one lot outside the p-chart limits (pbar = 1.90%). Investigate the flagged lot(s) before adjusting the process.</v>
      </c>
      <c r="D127" s="117"/>
      <c r="E127" s="117"/>
      <c r="F127" s="117"/>
      <c r="G127" s="117"/>
      <c r="H127" s="102"/>
      <c r="I127" s="102"/>
      <c r="J127" s="102"/>
      <c r="K127" s="102"/>
      <c r="L127" s="102"/>
      <c r="M127" s="102"/>
      <c r="N127" s="102"/>
      <c r="O127" s="102"/>
    </row>
    <row r="128" customFormat="false" ht="15" hidden="false" customHeight="true" outlineLevel="0" collapsed="false">
      <c r="A128" s="102"/>
      <c r="B128" s="102"/>
      <c r="C128" s="102"/>
      <c r="D128" s="102"/>
      <c r="E128" s="102"/>
      <c r="F128" s="102"/>
      <c r="G128" s="102"/>
      <c r="H128" s="102"/>
      <c r="I128" s="102"/>
      <c r="J128" s="102"/>
      <c r="K128" s="102"/>
      <c r="L128" s="102"/>
      <c r="M128" s="102"/>
      <c r="N128" s="102"/>
      <c r="O128" s="102"/>
    </row>
    <row r="129" customFormat="false" ht="16.5" hidden="false" customHeight="true" outlineLevel="0" collapsed="false">
      <c r="A129" s="102"/>
      <c r="B129" s="108" t="s">
        <v>1495</v>
      </c>
      <c r="C129" s="108" t="s">
        <v>1496</v>
      </c>
      <c r="D129" s="108" t="s">
        <v>1497</v>
      </c>
      <c r="E129" s="102"/>
      <c r="F129" s="102"/>
      <c r="G129" s="102"/>
      <c r="H129" s="102"/>
      <c r="I129" s="102"/>
      <c r="J129" s="102"/>
      <c r="K129" s="102"/>
      <c r="L129" s="102"/>
      <c r="M129" s="102"/>
      <c r="N129" s="102"/>
      <c r="O129" s="102"/>
    </row>
    <row r="130" customFormat="false" ht="30.75" hidden="false" customHeight="true" outlineLevel="0" collapsed="false">
      <c r="A130" s="102"/>
      <c r="B130" s="110" t="s">
        <v>5991</v>
      </c>
      <c r="C130" s="111" t="s">
        <v>5992</v>
      </c>
      <c r="D130" s="15" t="s">
        <v>5993</v>
      </c>
      <c r="E130" s="102"/>
      <c r="F130" s="102"/>
      <c r="G130" s="102"/>
      <c r="H130" s="102"/>
      <c r="I130" s="102"/>
      <c r="J130" s="102"/>
      <c r="K130" s="102"/>
      <c r="L130" s="102"/>
      <c r="M130" s="102"/>
      <c r="N130" s="102"/>
      <c r="O130" s="102"/>
    </row>
    <row r="131" customFormat="false" ht="30.75" hidden="false" customHeight="true" outlineLevel="0" collapsed="false">
      <c r="A131" s="102"/>
      <c r="B131" s="110" t="s">
        <v>5994</v>
      </c>
      <c r="C131" s="111" t="s">
        <v>5995</v>
      </c>
      <c r="D131" s="15" t="s">
        <v>5996</v>
      </c>
      <c r="E131" s="102"/>
      <c r="F131" s="102"/>
      <c r="G131" s="102"/>
      <c r="H131" s="102"/>
      <c r="I131" s="102"/>
      <c r="J131" s="102"/>
      <c r="K131" s="102"/>
      <c r="L131" s="102"/>
      <c r="M131" s="102"/>
      <c r="N131" s="102"/>
      <c r="O131" s="102"/>
    </row>
    <row r="132" customFormat="false" ht="30.75" hidden="false" customHeight="true" outlineLevel="0" collapsed="false">
      <c r="A132" s="102"/>
      <c r="B132" s="110" t="s">
        <v>2343</v>
      </c>
      <c r="C132" s="111" t="s">
        <v>5997</v>
      </c>
      <c r="D132" s="15" t="s">
        <v>5998</v>
      </c>
      <c r="E132" s="102"/>
      <c r="F132" s="102"/>
      <c r="G132" s="102"/>
      <c r="H132" s="102"/>
      <c r="I132" s="102"/>
      <c r="J132" s="102"/>
      <c r="K132" s="102"/>
      <c r="L132" s="102"/>
      <c r="M132" s="102"/>
      <c r="N132" s="102"/>
      <c r="O132" s="102"/>
    </row>
    <row r="133" customFormat="false" ht="15" hidden="false" customHeight="true" outlineLevel="0" collapsed="false">
      <c r="A133" s="102"/>
      <c r="B133" s="102"/>
      <c r="C133" s="102"/>
      <c r="D133" s="102"/>
      <c r="E133" s="102"/>
      <c r="F133" s="102"/>
      <c r="G133" s="102"/>
      <c r="H133" s="102"/>
      <c r="I133" s="102"/>
      <c r="J133" s="102"/>
      <c r="K133" s="102"/>
      <c r="L133" s="102"/>
      <c r="M133" s="102"/>
      <c r="N133" s="102"/>
      <c r="O133" s="102"/>
    </row>
    <row r="134" customFormat="false" ht="15" hidden="false" customHeight="true" outlineLevel="0" collapsed="false">
      <c r="A134" s="102"/>
      <c r="B134" s="105" t="s">
        <v>1507</v>
      </c>
      <c r="C134" s="102"/>
      <c r="D134" s="102"/>
      <c r="E134" s="102"/>
      <c r="F134" s="102"/>
      <c r="G134" s="102"/>
      <c r="H134" s="102"/>
      <c r="I134" s="102"/>
      <c r="J134" s="102"/>
      <c r="K134" s="102"/>
      <c r="L134" s="102"/>
      <c r="M134" s="102"/>
      <c r="N134" s="102"/>
      <c r="O134" s="102"/>
    </row>
    <row r="135" customFormat="false" ht="17.25" hidden="false" customHeight="true" outlineLevel="0" collapsed="false">
      <c r="A135" s="102"/>
      <c r="B135" s="106" t="s">
        <v>5999</v>
      </c>
      <c r="C135" s="106"/>
      <c r="D135" s="106"/>
      <c r="E135" s="106"/>
      <c r="F135" s="106"/>
      <c r="G135" s="106"/>
      <c r="H135" s="106"/>
      <c r="I135" s="102"/>
      <c r="J135" s="102"/>
      <c r="K135" s="102"/>
      <c r="L135" s="102"/>
      <c r="M135" s="102"/>
      <c r="N135" s="102"/>
      <c r="O135" s="102"/>
    </row>
    <row r="136" customFormat="false" ht="17.25" hidden="false" customHeight="true" outlineLevel="0" collapsed="false">
      <c r="A136" s="102"/>
      <c r="B136" s="106" t="s">
        <v>6000</v>
      </c>
      <c r="C136" s="106"/>
      <c r="D136" s="106"/>
      <c r="E136" s="106"/>
      <c r="F136" s="106"/>
      <c r="G136" s="106"/>
      <c r="H136" s="106"/>
      <c r="I136" s="102"/>
      <c r="J136" s="102"/>
      <c r="K136" s="102"/>
      <c r="L136" s="102"/>
      <c r="M136" s="102"/>
      <c r="N136" s="102"/>
      <c r="O136" s="102"/>
    </row>
    <row r="137" customFormat="false" ht="17.25" hidden="false" customHeight="true" outlineLevel="0" collapsed="false">
      <c r="A137" s="102"/>
      <c r="B137" s="106" t="s">
        <v>6001</v>
      </c>
      <c r="C137" s="106"/>
      <c r="D137" s="106"/>
      <c r="E137" s="106"/>
      <c r="F137" s="106"/>
      <c r="G137" s="106"/>
      <c r="H137" s="106"/>
      <c r="I137" s="102"/>
      <c r="J137" s="102"/>
      <c r="K137" s="102"/>
      <c r="L137" s="102"/>
      <c r="M137" s="102"/>
      <c r="N137" s="102"/>
      <c r="O137" s="102"/>
    </row>
    <row r="138" customFormat="false" ht="17.25" hidden="false" customHeight="true" outlineLevel="0" collapsed="false">
      <c r="A138" s="102"/>
      <c r="B138" s="106" t="s">
        <v>6002</v>
      </c>
      <c r="C138" s="106"/>
      <c r="D138" s="106"/>
      <c r="E138" s="106"/>
      <c r="F138" s="106"/>
      <c r="G138" s="106"/>
      <c r="H138" s="106"/>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75" hidden="false" customHeight="true" outlineLevel="0" collapsed="false">
      <c r="A140" s="102"/>
      <c r="B140" s="103" t="s">
        <v>1513</v>
      </c>
      <c r="C140" s="104"/>
      <c r="D140" s="104"/>
      <c r="E140" s="104"/>
      <c r="F140" s="104"/>
      <c r="G140" s="104"/>
      <c r="H140" s="104"/>
      <c r="I140" s="104"/>
      <c r="J140" s="104"/>
      <c r="K140" s="104"/>
      <c r="L140" s="102"/>
      <c r="M140" s="102"/>
      <c r="N140" s="102"/>
      <c r="O140" s="102"/>
    </row>
    <row r="141" customFormat="false" ht="17.25" hidden="false" customHeight="true" outlineLevel="0" collapsed="false">
      <c r="A141" s="102"/>
      <c r="B141" s="118" t="s">
        <v>1514</v>
      </c>
      <c r="C141" s="118"/>
      <c r="D141" s="118"/>
      <c r="E141" s="118"/>
      <c r="F141" s="102"/>
      <c r="G141" s="102"/>
      <c r="H141" s="102"/>
      <c r="I141" s="102"/>
      <c r="J141" s="102"/>
      <c r="K141" s="102"/>
      <c r="L141" s="102"/>
      <c r="M141" s="102"/>
      <c r="N141" s="119" t="s">
        <v>1515</v>
      </c>
      <c r="O141" s="102"/>
    </row>
    <row r="142" customFormat="false" ht="44.25" hidden="false" customHeight="true" outlineLevel="0" collapsed="false">
      <c r="A142" s="102"/>
      <c r="B142" s="106" t="s">
        <v>6003</v>
      </c>
      <c r="C142" s="106"/>
      <c r="D142" s="106"/>
      <c r="E142" s="106"/>
      <c r="F142" s="102"/>
      <c r="G142" s="102"/>
      <c r="H142" s="102"/>
      <c r="I142" s="102"/>
      <c r="J142" s="102"/>
      <c r="K142" s="102"/>
      <c r="L142" s="102"/>
      <c r="M142" s="102"/>
      <c r="N142" s="120" t="s">
        <v>6004</v>
      </c>
      <c r="O142" s="102"/>
    </row>
    <row r="143" customFormat="false" ht="44.25" hidden="false" customHeight="true" outlineLevel="0" collapsed="false">
      <c r="A143" s="102"/>
      <c r="B143" s="106" t="s">
        <v>6005</v>
      </c>
      <c r="C143" s="106"/>
      <c r="D143" s="106"/>
      <c r="E143" s="106"/>
      <c r="F143" s="102"/>
      <c r="G143" s="102"/>
      <c r="H143" s="102"/>
      <c r="I143" s="102"/>
      <c r="J143" s="102"/>
      <c r="K143" s="102"/>
      <c r="L143" s="102"/>
      <c r="M143" s="102"/>
      <c r="N143" s="120" t="s">
        <v>6006</v>
      </c>
      <c r="O143" s="102"/>
    </row>
    <row r="144" customFormat="false" ht="58.5" hidden="false" customHeight="true" outlineLevel="0" collapsed="false">
      <c r="A144" s="102"/>
      <c r="B144" s="106" t="s">
        <v>6007</v>
      </c>
      <c r="C144" s="106"/>
      <c r="D144" s="106"/>
      <c r="E144" s="106"/>
      <c r="F144" s="102"/>
      <c r="G144" s="102"/>
      <c r="H144" s="102"/>
      <c r="I144" s="102"/>
      <c r="J144" s="102"/>
      <c r="K144" s="102"/>
      <c r="L144" s="102"/>
      <c r="M144" s="102"/>
      <c r="N144" s="120" t="s">
        <v>6008</v>
      </c>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75" hidden="false" customHeight="true" outlineLevel="0" collapsed="false">
      <c r="A146" s="102"/>
      <c r="B146" s="103" t="s">
        <v>1522</v>
      </c>
      <c r="C146" s="104"/>
      <c r="D146" s="104"/>
      <c r="E146" s="104"/>
      <c r="F146" s="104"/>
      <c r="G146" s="104"/>
      <c r="H146" s="104"/>
      <c r="I146" s="104"/>
      <c r="J146" s="104"/>
      <c r="K146" s="104"/>
      <c r="L146" s="102"/>
      <c r="M146" s="102"/>
      <c r="N146" s="102"/>
      <c r="O146" s="102"/>
    </row>
    <row r="147" customFormat="false" ht="16.5" hidden="false" customHeight="true" outlineLevel="0" collapsed="false">
      <c r="A147" s="102"/>
      <c r="B147" s="108" t="s">
        <v>1523</v>
      </c>
      <c r="C147" s="108" t="s">
        <v>1524</v>
      </c>
      <c r="D147" s="108" t="s">
        <v>1615</v>
      </c>
      <c r="E147" s="102"/>
      <c r="F147" s="102"/>
      <c r="G147" s="102"/>
      <c r="H147" s="102"/>
      <c r="I147" s="102"/>
      <c r="J147" s="102"/>
      <c r="K147" s="102"/>
      <c r="L147" s="102"/>
      <c r="M147" s="102"/>
      <c r="N147" s="102"/>
      <c r="O147" s="102"/>
    </row>
    <row r="148" customFormat="false" ht="15" hidden="false" customHeight="true" outlineLevel="0" collapsed="false">
      <c r="A148" s="102"/>
      <c r="B148" s="121" t="s">
        <v>1060</v>
      </c>
      <c r="C148" s="121" t="s">
        <v>1095</v>
      </c>
      <c r="D148" s="121" t="s">
        <v>2300</v>
      </c>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36">
    <mergeCell ref="B2:J2"/>
    <mergeCell ref="D3:E3"/>
    <mergeCell ref="C6:G6"/>
    <mergeCell ref="C7:G7"/>
    <mergeCell ref="C8:G8"/>
    <mergeCell ref="B11:H14"/>
    <mergeCell ref="B15:H17"/>
    <mergeCell ref="B20:D20"/>
    <mergeCell ref="E20:H20"/>
    <mergeCell ref="B21:D21"/>
    <mergeCell ref="E21:H21"/>
    <mergeCell ref="B22:D22"/>
    <mergeCell ref="E22:H22"/>
    <mergeCell ref="B23:D23"/>
    <mergeCell ref="E23:H23"/>
    <mergeCell ref="B31:H31"/>
    <mergeCell ref="B32:H32"/>
    <mergeCell ref="B33:H33"/>
    <mergeCell ref="B34:H35"/>
    <mergeCell ref="B36:H36"/>
    <mergeCell ref="D39:E39"/>
    <mergeCell ref="D40:E40"/>
    <mergeCell ref="D41:E41"/>
    <mergeCell ref="D42:E42"/>
    <mergeCell ref="B45:H45"/>
    <mergeCell ref="C46:D46"/>
    <mergeCell ref="B120:H120"/>
    <mergeCell ref="C127:G127"/>
    <mergeCell ref="B135:H135"/>
    <mergeCell ref="B136:H136"/>
    <mergeCell ref="B137:H137"/>
    <mergeCell ref="B138:H138"/>
    <mergeCell ref="B141:E141"/>
    <mergeCell ref="B142:E142"/>
    <mergeCell ref="B143:E143"/>
    <mergeCell ref="B144:E144"/>
  </mergeCells>
  <hyperlinks>
    <hyperlink ref="B3" location="'N-03 Index DMAIC'!A1" display="← Back to Index"/>
    <hyperlink ref="E26" location="'E-06 Data Collection Plan'!A1" display="E-06  Operational Definitions and Data Collection Plan"/>
    <hyperlink ref="E27" location="'E-05 Sampling Subgroups'!A1" display="E-05  Sampling Strategies and Rational Subgrouping"/>
    <hyperlink ref="E28" location="'E-10 Binomial Distribution'!A1" display="E-10  Binomial Distribution (Defective Units)"/>
    <hyperlink ref="B148" location="'E-49 I-MR Chart'!A1" display="E-49  Individuals and Moving Range Chart"/>
    <hyperlink ref="C148" location="'E-53 c and u Charts'!A1" display="E-53  c and u Charts"/>
    <hyperlink ref="D148" location="'E-54 Laney p and u Charts'!A1" display="E-54  Laney p' and u' Charts (Overdispers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6009</v>
      </c>
      <c r="C2" s="3"/>
      <c r="D2" s="3"/>
      <c r="E2" s="3"/>
      <c r="F2" s="3"/>
      <c r="G2" s="3"/>
      <c r="H2" s="3"/>
      <c r="I2" s="3"/>
      <c r="J2" s="3"/>
      <c r="K2" s="141" t="s">
        <v>5631</v>
      </c>
    </row>
    <row r="3" customFormat="false" ht="28.5" hidden="false" customHeight="true" outlineLevel="0" collapsed="false">
      <c r="B3" s="5" t="s">
        <v>3</v>
      </c>
      <c r="D3" s="6" t="s">
        <v>6010</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6011</v>
      </c>
      <c r="D6" s="106"/>
      <c r="E6" s="106"/>
      <c r="F6" s="106"/>
      <c r="G6" s="106"/>
      <c r="H6" s="102"/>
      <c r="I6" s="102"/>
      <c r="J6" s="102"/>
      <c r="K6" s="102"/>
      <c r="L6" s="102"/>
      <c r="M6" s="102"/>
      <c r="N6" s="102"/>
      <c r="O6" s="102"/>
    </row>
    <row r="7" customFormat="false" ht="17.25" hidden="false" customHeight="true" outlineLevel="0" collapsed="false">
      <c r="A7" s="102"/>
      <c r="B7" s="105" t="s">
        <v>1394</v>
      </c>
      <c r="C7" s="106" t="s">
        <v>6012</v>
      </c>
      <c r="D7" s="106"/>
      <c r="E7" s="106"/>
      <c r="F7" s="106"/>
      <c r="G7" s="106"/>
      <c r="H7" s="102"/>
      <c r="I7" s="102"/>
      <c r="J7" s="102"/>
      <c r="K7" s="102"/>
      <c r="L7" s="102"/>
      <c r="M7" s="102"/>
      <c r="N7" s="102"/>
      <c r="O7" s="102"/>
    </row>
    <row r="8" customFormat="false" ht="31.5" hidden="false" customHeight="true" outlineLevel="0" collapsed="false">
      <c r="A8" s="102"/>
      <c r="B8" s="105" t="s">
        <v>1396</v>
      </c>
      <c r="C8" s="106" t="s">
        <v>6013</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0.5" hidden="false" customHeight="true" outlineLevel="0" collapsed="false">
      <c r="A11" s="102"/>
      <c r="B11" s="106" t="s">
        <v>6014</v>
      </c>
      <c r="C11" s="106"/>
      <c r="D11" s="106"/>
      <c r="E11" s="106"/>
      <c r="F11" s="106"/>
      <c r="G11" s="106"/>
      <c r="H11" s="106"/>
      <c r="I11" s="102"/>
      <c r="J11" s="102"/>
      <c r="K11" s="102"/>
      <c r="L11" s="102"/>
      <c r="M11" s="102"/>
      <c r="N11" s="102"/>
      <c r="O11" s="102"/>
    </row>
    <row r="12" customFormat="false" ht="10.5" hidden="false" customHeight="true" outlineLevel="0" collapsed="false">
      <c r="A12" s="102"/>
      <c r="B12" s="106"/>
      <c r="C12" s="106"/>
      <c r="D12" s="106"/>
      <c r="E12" s="106"/>
      <c r="F12" s="106"/>
      <c r="G12" s="106"/>
      <c r="H12" s="106"/>
      <c r="I12" s="102"/>
      <c r="J12" s="102"/>
      <c r="K12" s="102"/>
      <c r="L12" s="102"/>
      <c r="M12" s="102"/>
      <c r="N12" s="102"/>
      <c r="O12" s="102"/>
    </row>
    <row r="13" customFormat="false" ht="10.5" hidden="false" customHeight="true" outlineLevel="0" collapsed="false">
      <c r="A13" s="102"/>
      <c r="B13" s="106"/>
      <c r="C13" s="106"/>
      <c r="D13" s="106"/>
      <c r="E13" s="106"/>
      <c r="F13" s="106"/>
      <c r="G13" s="106"/>
      <c r="H13" s="106"/>
      <c r="I13" s="102"/>
      <c r="J13" s="102"/>
      <c r="K13" s="102"/>
      <c r="L13" s="102"/>
      <c r="M13" s="102"/>
      <c r="N13" s="102"/>
      <c r="O13" s="102"/>
    </row>
    <row r="14" customFormat="false" ht="11.25" hidden="false" customHeight="true" outlineLevel="0" collapsed="false">
      <c r="A14" s="102"/>
      <c r="B14" s="106" t="s">
        <v>6015</v>
      </c>
      <c r="C14" s="106"/>
      <c r="D14" s="106"/>
      <c r="E14" s="106"/>
      <c r="F14" s="106"/>
      <c r="G14" s="106"/>
      <c r="H14" s="106"/>
      <c r="I14" s="102"/>
      <c r="J14" s="102"/>
      <c r="K14" s="102"/>
      <c r="L14" s="102"/>
      <c r="M14" s="102"/>
      <c r="N14" s="102"/>
      <c r="O14" s="102"/>
    </row>
    <row r="15" customFormat="false" ht="11.25" hidden="false" customHeight="true" outlineLevel="0" collapsed="false">
      <c r="A15" s="102"/>
      <c r="B15" s="106"/>
      <c r="C15" s="106"/>
      <c r="D15" s="106"/>
      <c r="E15" s="106"/>
      <c r="F15" s="106"/>
      <c r="G15" s="106"/>
      <c r="H15" s="106"/>
      <c r="I15" s="102"/>
      <c r="J15" s="102"/>
      <c r="K15" s="102"/>
      <c r="L15" s="102"/>
      <c r="M15" s="102"/>
      <c r="N15" s="102"/>
      <c r="O15" s="102"/>
    </row>
    <row r="16" customFormat="false" ht="11.25" hidden="false" customHeight="true" outlineLevel="0" collapsed="false">
      <c r="A16" s="102"/>
      <c r="B16" s="106"/>
      <c r="C16" s="106"/>
      <c r="D16" s="106"/>
      <c r="E16" s="106"/>
      <c r="F16" s="106"/>
      <c r="G16" s="106"/>
      <c r="H16" s="106"/>
      <c r="I16" s="102"/>
      <c r="J16" s="102"/>
      <c r="K16" s="102"/>
      <c r="L16" s="102"/>
      <c r="M16" s="102"/>
      <c r="N16" s="102"/>
      <c r="O16" s="102"/>
    </row>
    <row r="17" customFormat="false" ht="11.25" hidden="false" customHeight="true" outlineLevel="0" collapsed="false">
      <c r="A17" s="102"/>
      <c r="B17" s="106"/>
      <c r="C17" s="106"/>
      <c r="D17" s="106"/>
      <c r="E17" s="106"/>
      <c r="F17" s="106"/>
      <c r="G17" s="106"/>
      <c r="H17" s="106"/>
      <c r="I17" s="102"/>
      <c r="J17" s="102"/>
      <c r="K17" s="102"/>
      <c r="L17" s="102"/>
      <c r="M17" s="102"/>
      <c r="N17" s="102"/>
      <c r="O17" s="102"/>
    </row>
    <row r="18" customFormat="false" ht="8.25" hidden="false" customHeight="true" outlineLevel="0" collapsed="false">
      <c r="A18" s="102"/>
      <c r="B18" s="106" t="s">
        <v>6016</v>
      </c>
      <c r="C18" s="106"/>
      <c r="D18" s="106"/>
      <c r="E18" s="106"/>
      <c r="F18" s="106"/>
      <c r="G18" s="106"/>
      <c r="H18" s="106"/>
      <c r="I18" s="102"/>
      <c r="J18" s="102"/>
      <c r="K18" s="102"/>
      <c r="L18" s="102"/>
      <c r="M18" s="102"/>
      <c r="N18" s="102"/>
      <c r="O18" s="102"/>
    </row>
    <row r="19" customFormat="false" ht="8.25" hidden="false" customHeight="true" outlineLevel="0" collapsed="false">
      <c r="A19" s="102"/>
      <c r="B19" s="106"/>
      <c r="C19" s="106"/>
      <c r="D19" s="106"/>
      <c r="E19" s="106"/>
      <c r="F19" s="106"/>
      <c r="G19" s="106"/>
      <c r="H19" s="106"/>
      <c r="I19" s="102"/>
      <c r="J19" s="102"/>
      <c r="K19" s="102"/>
      <c r="L19" s="102"/>
      <c r="M19" s="102"/>
      <c r="N19" s="102"/>
      <c r="O19" s="102"/>
    </row>
    <row r="20" customFormat="false" ht="15" hidden="false" customHeight="true" outlineLevel="0" collapsed="false">
      <c r="A20" s="102"/>
      <c r="B20" s="102"/>
      <c r="C20" s="102"/>
      <c r="D20" s="102"/>
      <c r="E20" s="102"/>
      <c r="F20" s="102"/>
      <c r="G20" s="102"/>
      <c r="H20" s="102"/>
      <c r="I20" s="102"/>
      <c r="J20" s="102"/>
      <c r="K20" s="102"/>
      <c r="L20" s="102"/>
      <c r="M20" s="102"/>
      <c r="N20" s="102"/>
      <c r="O20" s="102"/>
    </row>
    <row r="21" customFormat="false" ht="15.75" hidden="false" customHeight="true" outlineLevel="0" collapsed="false">
      <c r="A21" s="102"/>
      <c r="B21" s="103" t="s">
        <v>1406</v>
      </c>
      <c r="C21" s="104"/>
      <c r="D21" s="104"/>
      <c r="E21" s="104"/>
      <c r="F21" s="104"/>
      <c r="G21" s="104"/>
      <c r="H21" s="104"/>
      <c r="I21" s="104"/>
      <c r="J21" s="104"/>
      <c r="K21" s="104"/>
      <c r="L21" s="102"/>
      <c r="M21" s="102"/>
      <c r="N21" s="102"/>
      <c r="O21" s="102"/>
    </row>
    <row r="22" customFormat="false" ht="17.25" hidden="false" customHeight="true" outlineLevel="0" collapsed="false">
      <c r="A22" s="102"/>
      <c r="B22" s="107" t="s">
        <v>1407</v>
      </c>
      <c r="C22" s="107"/>
      <c r="D22" s="107"/>
      <c r="E22" s="107" t="s">
        <v>1408</v>
      </c>
      <c r="F22" s="107"/>
      <c r="G22" s="102"/>
      <c r="H22" s="102"/>
      <c r="I22" s="102"/>
      <c r="J22" s="102"/>
      <c r="K22" s="102"/>
      <c r="L22" s="102"/>
      <c r="M22" s="102"/>
      <c r="N22" s="102"/>
      <c r="O22" s="102"/>
    </row>
    <row r="23" customFormat="false" ht="31.5" hidden="false" customHeight="true" outlineLevel="0" collapsed="false">
      <c r="A23" s="102"/>
      <c r="B23" s="106" t="s">
        <v>6017</v>
      </c>
      <c r="C23" s="106"/>
      <c r="D23" s="106"/>
      <c r="E23" s="106" t="s">
        <v>6018</v>
      </c>
      <c r="F23" s="106"/>
      <c r="G23" s="102"/>
      <c r="H23" s="102"/>
      <c r="I23" s="102"/>
      <c r="J23" s="102"/>
      <c r="K23" s="102"/>
      <c r="L23" s="102"/>
      <c r="M23" s="102"/>
      <c r="N23" s="102"/>
      <c r="O23" s="102"/>
    </row>
    <row r="24" customFormat="false" ht="31.5" hidden="false" customHeight="true" outlineLevel="0" collapsed="false">
      <c r="A24" s="102"/>
      <c r="B24" s="106" t="s">
        <v>6019</v>
      </c>
      <c r="C24" s="106"/>
      <c r="D24" s="106"/>
      <c r="E24" s="106" t="s">
        <v>6020</v>
      </c>
      <c r="F24" s="106"/>
      <c r="G24" s="102"/>
      <c r="H24" s="102"/>
      <c r="I24" s="102"/>
      <c r="J24" s="102"/>
      <c r="K24" s="102"/>
      <c r="L24" s="102"/>
      <c r="M24" s="102"/>
      <c r="N24" s="102"/>
      <c r="O24" s="102"/>
    </row>
    <row r="25" customFormat="false" ht="45.75" hidden="false" customHeight="true" outlineLevel="0" collapsed="false">
      <c r="A25" s="102"/>
      <c r="B25" s="106" t="s">
        <v>6021</v>
      </c>
      <c r="C25" s="106"/>
      <c r="D25" s="106"/>
      <c r="E25" s="106" t="s">
        <v>6022</v>
      </c>
      <c r="F25" s="106"/>
      <c r="G25" s="102"/>
      <c r="H25" s="102"/>
      <c r="I25" s="102"/>
      <c r="J25" s="102"/>
      <c r="K25" s="102"/>
      <c r="L25" s="102"/>
      <c r="M25" s="102"/>
      <c r="N25" s="102"/>
      <c r="O25" s="102"/>
    </row>
    <row r="26" customFormat="false" ht="15" hidden="false" customHeight="true" outlineLevel="0" collapsed="false">
      <c r="A26" s="102"/>
      <c r="B26" s="102"/>
      <c r="C26" s="102"/>
      <c r="D26" s="102"/>
      <c r="E26" s="102"/>
      <c r="F26" s="102"/>
      <c r="G26" s="102"/>
      <c r="H26" s="102"/>
      <c r="I26" s="102"/>
      <c r="J26" s="102"/>
      <c r="K26" s="102"/>
      <c r="L26" s="102"/>
      <c r="M26" s="102"/>
      <c r="N26" s="102"/>
      <c r="O26" s="102"/>
    </row>
    <row r="27" customFormat="false" ht="30.75" hidden="false" customHeight="true" outlineLevel="0" collapsed="false">
      <c r="A27" s="102"/>
      <c r="B27" s="108" t="s">
        <v>1416</v>
      </c>
      <c r="C27" s="108" t="s">
        <v>1417</v>
      </c>
      <c r="D27" s="108" t="s">
        <v>1418</v>
      </c>
      <c r="E27" s="108" t="s">
        <v>1419</v>
      </c>
      <c r="F27" s="102"/>
      <c r="G27" s="102"/>
      <c r="H27" s="102"/>
      <c r="I27" s="102"/>
      <c r="J27" s="102"/>
      <c r="K27" s="102"/>
      <c r="L27" s="102"/>
      <c r="M27" s="102"/>
      <c r="N27" s="102"/>
      <c r="O27" s="102"/>
    </row>
    <row r="28" customFormat="false" ht="58.5" hidden="false" customHeight="true" outlineLevel="0" collapsed="false">
      <c r="A28" s="102"/>
      <c r="B28" s="15" t="s">
        <v>6023</v>
      </c>
      <c r="C28" s="15" t="s">
        <v>6024</v>
      </c>
      <c r="D28" s="15" t="s">
        <v>6025</v>
      </c>
      <c r="E28" s="109" t="s">
        <v>1093</v>
      </c>
      <c r="F28" s="102"/>
      <c r="G28" s="102"/>
      <c r="H28" s="102"/>
      <c r="I28" s="102"/>
      <c r="J28" s="102"/>
      <c r="K28" s="102"/>
      <c r="L28" s="102"/>
      <c r="M28" s="102"/>
      <c r="N28" s="102"/>
      <c r="O28" s="102"/>
    </row>
    <row r="29" customFormat="false" ht="72" hidden="false" customHeight="true" outlineLevel="0" collapsed="false">
      <c r="A29" s="102"/>
      <c r="B29" s="15" t="s">
        <v>6026</v>
      </c>
      <c r="C29" s="15" t="s">
        <v>6027</v>
      </c>
      <c r="D29" s="15" t="s">
        <v>6028</v>
      </c>
      <c r="E29" s="109" t="s">
        <v>1546</v>
      </c>
      <c r="F29" s="102"/>
      <c r="G29" s="102"/>
      <c r="H29" s="102"/>
      <c r="I29" s="102"/>
      <c r="J29" s="102"/>
      <c r="K29" s="102"/>
      <c r="L29" s="102"/>
      <c r="M29" s="102"/>
      <c r="N29" s="102"/>
      <c r="O29" s="102"/>
    </row>
    <row r="30" customFormat="false" ht="44.25" hidden="false" customHeight="true" outlineLevel="0" collapsed="false">
      <c r="A30" s="102"/>
      <c r="B30" s="15" t="s">
        <v>6029</v>
      </c>
      <c r="C30" s="15" t="s">
        <v>6030</v>
      </c>
      <c r="D30" s="15" t="s">
        <v>6031</v>
      </c>
      <c r="E30" s="109" t="s">
        <v>1093</v>
      </c>
      <c r="F30" s="102"/>
      <c r="G30" s="102"/>
      <c r="H30" s="102"/>
      <c r="I30" s="102"/>
      <c r="J30" s="102"/>
      <c r="K30" s="102"/>
      <c r="L30" s="102"/>
      <c r="M30" s="102"/>
      <c r="N30" s="102"/>
      <c r="O30" s="102"/>
    </row>
    <row r="31" customFormat="false" ht="15" hidden="false" customHeight="true" outlineLevel="0" collapsed="false">
      <c r="A31" s="102"/>
      <c r="B31" s="102"/>
      <c r="C31" s="102"/>
      <c r="D31" s="102"/>
      <c r="E31" s="102"/>
      <c r="F31" s="102"/>
      <c r="G31" s="102"/>
      <c r="H31" s="102"/>
      <c r="I31" s="102"/>
      <c r="J31" s="102"/>
      <c r="K31" s="102"/>
      <c r="L31" s="102"/>
      <c r="M31" s="102"/>
      <c r="N31" s="102"/>
      <c r="O31" s="102"/>
    </row>
    <row r="32" customFormat="false" ht="15.75" hidden="false" customHeight="true" outlineLevel="0" collapsed="false">
      <c r="A32" s="102"/>
      <c r="B32" s="103" t="s">
        <v>1429</v>
      </c>
      <c r="C32" s="104"/>
      <c r="D32" s="104"/>
      <c r="E32" s="104"/>
      <c r="F32" s="104"/>
      <c r="G32" s="104"/>
      <c r="H32" s="104"/>
      <c r="I32" s="104"/>
      <c r="J32" s="104"/>
      <c r="K32" s="104"/>
      <c r="L32" s="102"/>
      <c r="M32" s="102"/>
      <c r="N32" s="102"/>
      <c r="O32" s="102"/>
    </row>
    <row r="33" customFormat="false" ht="8.25" hidden="false" customHeight="true" outlineLevel="0" collapsed="false">
      <c r="A33" s="102"/>
      <c r="B33" s="106" t="s">
        <v>6032</v>
      </c>
      <c r="C33" s="106"/>
      <c r="D33" s="106"/>
      <c r="E33" s="106"/>
      <c r="F33" s="106"/>
      <c r="G33" s="106"/>
      <c r="H33" s="106"/>
      <c r="I33" s="102"/>
      <c r="J33" s="102"/>
      <c r="K33" s="102"/>
      <c r="L33" s="102"/>
      <c r="M33" s="102"/>
      <c r="N33" s="102"/>
      <c r="O33" s="102"/>
    </row>
    <row r="34" customFormat="false" ht="8.25" hidden="false" customHeight="true" outlineLevel="0" collapsed="false">
      <c r="A34" s="102"/>
      <c r="B34" s="106"/>
      <c r="C34" s="106"/>
      <c r="D34" s="106"/>
      <c r="E34" s="106"/>
      <c r="F34" s="106"/>
      <c r="G34" s="106"/>
      <c r="H34" s="106"/>
      <c r="I34" s="102"/>
      <c r="J34" s="102"/>
      <c r="K34" s="102"/>
      <c r="L34" s="102"/>
      <c r="M34" s="102"/>
      <c r="N34" s="102"/>
      <c r="O34" s="102"/>
    </row>
    <row r="35" customFormat="false" ht="15.75" hidden="false" customHeight="true" outlineLevel="0" collapsed="false">
      <c r="A35" s="102"/>
      <c r="B35" s="106" t="s">
        <v>6033</v>
      </c>
      <c r="C35" s="106"/>
      <c r="D35" s="106"/>
      <c r="E35" s="106"/>
      <c r="F35" s="106"/>
      <c r="G35" s="106"/>
      <c r="H35" s="106"/>
      <c r="I35" s="102"/>
      <c r="J35" s="102"/>
      <c r="K35" s="102"/>
      <c r="L35" s="102"/>
      <c r="M35" s="102"/>
      <c r="N35" s="102"/>
      <c r="O35" s="102"/>
    </row>
    <row r="36" customFormat="false" ht="15.75" hidden="false" customHeight="true" outlineLevel="0" collapsed="false">
      <c r="A36" s="102"/>
      <c r="B36" s="106"/>
      <c r="C36" s="106"/>
      <c r="D36" s="106"/>
      <c r="E36" s="106"/>
      <c r="F36" s="106"/>
      <c r="G36" s="106"/>
      <c r="H36" s="106"/>
      <c r="I36" s="102"/>
      <c r="J36" s="102"/>
      <c r="K36" s="102"/>
      <c r="L36" s="102"/>
      <c r="M36" s="102"/>
      <c r="N36" s="102"/>
      <c r="O36" s="102"/>
    </row>
    <row r="37" customFormat="false" ht="17.25" hidden="false" customHeight="true" outlineLevel="0" collapsed="false">
      <c r="A37" s="102"/>
      <c r="B37" s="106" t="s">
        <v>6034</v>
      </c>
      <c r="C37" s="106"/>
      <c r="D37" s="106"/>
      <c r="E37" s="106"/>
      <c r="F37" s="106"/>
      <c r="G37" s="106"/>
      <c r="H37" s="106"/>
      <c r="I37" s="102"/>
      <c r="J37" s="102"/>
      <c r="K37" s="102"/>
      <c r="L37" s="102"/>
      <c r="M37" s="102"/>
      <c r="N37" s="102"/>
      <c r="O37" s="102"/>
    </row>
    <row r="38" customFormat="false" ht="15" hidden="false" customHeight="true" outlineLevel="0" collapsed="false">
      <c r="A38" s="102"/>
      <c r="B38" s="102"/>
      <c r="C38" s="102"/>
      <c r="D38" s="102"/>
      <c r="E38" s="102"/>
      <c r="F38" s="102"/>
      <c r="G38" s="102"/>
      <c r="H38" s="102"/>
      <c r="I38" s="102"/>
      <c r="J38" s="102"/>
      <c r="K38" s="102"/>
      <c r="L38" s="102"/>
      <c r="M38" s="102"/>
      <c r="N38" s="102"/>
      <c r="O38" s="102"/>
    </row>
    <row r="39" customFormat="false" ht="15.75" hidden="false" customHeight="true" outlineLevel="0" collapsed="false">
      <c r="A39" s="102"/>
      <c r="B39" s="103" t="s">
        <v>1437</v>
      </c>
      <c r="C39" s="104"/>
      <c r="D39" s="104"/>
      <c r="E39" s="104"/>
      <c r="F39" s="104"/>
      <c r="G39" s="104"/>
      <c r="H39" s="104"/>
      <c r="I39" s="104"/>
      <c r="J39" s="104"/>
      <c r="K39" s="104"/>
      <c r="L39" s="102"/>
      <c r="M39" s="102"/>
      <c r="N39" s="102"/>
      <c r="O39" s="102"/>
    </row>
    <row r="40" customFormat="false" ht="16.5" hidden="false" customHeight="true" outlineLevel="0" collapsed="false">
      <c r="A40" s="102"/>
      <c r="B40" s="108" t="s">
        <v>1438</v>
      </c>
      <c r="C40" s="108" t="s">
        <v>1439</v>
      </c>
      <c r="D40" s="108" t="s">
        <v>1440</v>
      </c>
      <c r="E40" s="102"/>
      <c r="F40" s="102"/>
      <c r="G40" s="102"/>
      <c r="H40" s="102"/>
      <c r="I40" s="102"/>
      <c r="J40" s="102"/>
      <c r="K40" s="102"/>
      <c r="L40" s="102"/>
      <c r="M40" s="102"/>
      <c r="N40" s="102"/>
      <c r="O40" s="102"/>
    </row>
    <row r="41" customFormat="false" ht="30.75" hidden="false" customHeight="true" outlineLevel="0" collapsed="false">
      <c r="A41" s="102"/>
      <c r="B41" s="110" t="s">
        <v>5972</v>
      </c>
      <c r="C41" s="111" t="s">
        <v>6035</v>
      </c>
      <c r="D41" s="15" t="s">
        <v>6036</v>
      </c>
      <c r="E41" s="102"/>
      <c r="F41" s="102"/>
      <c r="G41" s="102"/>
      <c r="H41" s="102"/>
      <c r="I41" s="102"/>
      <c r="J41" s="102"/>
      <c r="K41" s="102"/>
      <c r="L41" s="102"/>
      <c r="M41" s="102"/>
      <c r="N41" s="102"/>
      <c r="O41" s="102"/>
    </row>
    <row r="42" customFormat="false" ht="30.75" hidden="false" customHeight="true" outlineLevel="0" collapsed="false">
      <c r="A42" s="102"/>
      <c r="B42" s="110" t="s">
        <v>2588</v>
      </c>
      <c r="C42" s="111" t="s">
        <v>5975</v>
      </c>
      <c r="D42" s="15" t="s">
        <v>6037</v>
      </c>
      <c r="E42" s="102"/>
      <c r="F42" s="102"/>
      <c r="G42" s="102"/>
      <c r="H42" s="102"/>
      <c r="I42" s="102"/>
      <c r="J42" s="102"/>
      <c r="K42" s="102"/>
      <c r="L42" s="102"/>
      <c r="M42" s="102"/>
      <c r="N42" s="102"/>
      <c r="O42" s="102"/>
    </row>
    <row r="43" customFormat="false" ht="16.5" hidden="false" customHeight="true" outlineLevel="0" collapsed="false">
      <c r="A43" s="102"/>
      <c r="B43" s="110" t="s">
        <v>2127</v>
      </c>
      <c r="C43" s="111" t="s">
        <v>6038</v>
      </c>
      <c r="D43" s="15" t="s">
        <v>5796</v>
      </c>
      <c r="E43" s="102"/>
      <c r="F43" s="102"/>
      <c r="G43" s="102"/>
      <c r="H43" s="102"/>
      <c r="I43" s="102"/>
      <c r="J43" s="102"/>
      <c r="K43" s="102"/>
      <c r="L43" s="102"/>
      <c r="M43" s="102"/>
      <c r="N43" s="102"/>
      <c r="O43" s="102"/>
    </row>
    <row r="44" customFormat="false" ht="15" hidden="false" customHeight="true" outlineLevel="0" collapsed="false">
      <c r="A44" s="102"/>
      <c r="B44" s="102"/>
      <c r="C44" s="102"/>
      <c r="D44" s="102"/>
      <c r="E44" s="102"/>
      <c r="F44" s="102"/>
      <c r="G44" s="102"/>
      <c r="H44" s="102"/>
      <c r="I44" s="102"/>
      <c r="J44" s="102"/>
      <c r="K44" s="102"/>
      <c r="L44" s="102"/>
      <c r="M44" s="102"/>
      <c r="N44" s="102"/>
      <c r="O44" s="102"/>
    </row>
    <row r="45" customFormat="false" ht="15.75" hidden="false" customHeight="true" outlineLevel="0" collapsed="false">
      <c r="A45" s="102"/>
      <c r="B45" s="103" t="s">
        <v>1454</v>
      </c>
      <c r="C45" s="104"/>
      <c r="D45" s="104"/>
      <c r="E45" s="104"/>
      <c r="F45" s="104"/>
      <c r="G45" s="104"/>
      <c r="H45" s="104"/>
      <c r="I45" s="104"/>
      <c r="J45" s="104"/>
      <c r="K45" s="104"/>
      <c r="L45" s="102"/>
      <c r="M45" s="102"/>
      <c r="N45" s="102"/>
      <c r="O45" s="102"/>
    </row>
    <row r="46" customFormat="false" ht="17.25" hidden="false" customHeight="true" outlineLevel="0" collapsed="false">
      <c r="A46" s="102"/>
      <c r="B46" s="106" t="s">
        <v>6039</v>
      </c>
      <c r="C46" s="106"/>
      <c r="D46" s="106"/>
      <c r="E46" s="106"/>
      <c r="F46" s="106"/>
      <c r="G46" s="106"/>
      <c r="H46" s="106"/>
      <c r="I46" s="102"/>
      <c r="J46" s="102"/>
      <c r="K46" s="102"/>
      <c r="L46" s="102"/>
      <c r="M46" s="102"/>
      <c r="N46" s="102"/>
      <c r="O46" s="102"/>
    </row>
    <row r="47" customFormat="false" ht="17.25" hidden="false" customHeight="true" outlineLevel="0" collapsed="false">
      <c r="A47" s="102"/>
      <c r="B47" s="112" t="s">
        <v>85</v>
      </c>
      <c r="C47" s="113" t="s">
        <v>86</v>
      </c>
      <c r="D47" s="113"/>
      <c r="E47" s="102"/>
      <c r="F47" s="102"/>
      <c r="G47" s="102"/>
      <c r="H47" s="102"/>
      <c r="I47" s="102"/>
      <c r="J47" s="102"/>
      <c r="K47" s="102"/>
      <c r="L47" s="102"/>
      <c r="M47" s="102"/>
      <c r="N47" s="102"/>
      <c r="O47" s="102"/>
    </row>
    <row r="48" customFormat="false" ht="15" hidden="false" customHeight="true" outlineLevel="0" collapsed="false">
      <c r="A48" s="102"/>
      <c r="B48" s="102"/>
      <c r="C48" s="102"/>
      <c r="D48" s="102"/>
      <c r="E48" s="102"/>
      <c r="F48" s="102"/>
      <c r="G48" s="102"/>
      <c r="H48" s="102"/>
      <c r="I48" s="102"/>
      <c r="J48" s="102"/>
      <c r="K48" s="102"/>
      <c r="L48" s="102"/>
      <c r="M48" s="102"/>
      <c r="N48" s="102"/>
      <c r="O48" s="102"/>
    </row>
    <row r="49" customFormat="false" ht="16.5" hidden="false" customHeight="true" outlineLevel="0" collapsed="false">
      <c r="A49" s="102"/>
      <c r="B49" s="108" t="s">
        <v>6040</v>
      </c>
      <c r="C49" s="108" t="s">
        <v>5981</v>
      </c>
      <c r="D49" s="108" t="s">
        <v>6041</v>
      </c>
      <c r="E49" s="108" t="s">
        <v>6042</v>
      </c>
      <c r="F49" s="108" t="s">
        <v>5810</v>
      </c>
      <c r="G49" s="108" t="s">
        <v>5811</v>
      </c>
      <c r="H49" s="108" t="s">
        <v>5984</v>
      </c>
      <c r="I49" s="102"/>
      <c r="J49" s="102"/>
      <c r="K49" s="102"/>
      <c r="L49" s="102"/>
      <c r="M49" s="102"/>
      <c r="N49" s="102"/>
      <c r="O49" s="102"/>
    </row>
    <row r="50" customFormat="false" ht="15" hidden="false" customHeight="true" outlineLevel="0" collapsed="false">
      <c r="A50" s="102"/>
      <c r="B50" s="123" t="n">
        <v>1</v>
      </c>
      <c r="C50" s="114" t="n">
        <v>950</v>
      </c>
      <c r="D50" s="114" t="n">
        <v>9</v>
      </c>
      <c r="E50" s="143" t="n">
        <f aca="false">D50/C50</f>
        <v>0.00947368421052632</v>
      </c>
      <c r="F50" s="143" t="n">
        <f aca="false">$C$75+3*SQRT($C$75/C50)</f>
        <v>0.0171965356954265</v>
      </c>
      <c r="G50" s="143" t="n">
        <f aca="false">MAX(0,$C$75-3*SQRT($C$75/C50))</f>
        <v>0</v>
      </c>
      <c r="H50" s="132" t="str">
        <f aca="false">IF(E50&gt;F50,"OOC high",IF(E50&lt;G50,"OOC low","OK"))</f>
        <v>OK</v>
      </c>
      <c r="I50" s="102"/>
      <c r="J50" s="102"/>
      <c r="K50" s="102"/>
      <c r="L50" s="102"/>
      <c r="M50" s="102"/>
      <c r="N50" s="102"/>
      <c r="O50" s="102"/>
    </row>
    <row r="51" customFormat="false" ht="15" hidden="false" customHeight="true" outlineLevel="0" collapsed="false">
      <c r="A51" s="102"/>
      <c r="B51" s="123" t="n">
        <v>2</v>
      </c>
      <c r="C51" s="114" t="n">
        <v>950</v>
      </c>
      <c r="D51" s="114" t="n">
        <v>6</v>
      </c>
      <c r="E51" s="143" t="n">
        <f aca="false">D51/C51</f>
        <v>0.00631578947368421</v>
      </c>
      <c r="F51" s="143" t="n">
        <f aca="false">$C$75+3*SQRT($C$75/C51)</f>
        <v>0.0171965356954265</v>
      </c>
      <c r="G51" s="143" t="n">
        <f aca="false">MAX(0,$C$75-3*SQRT($C$75/C51))</f>
        <v>0</v>
      </c>
      <c r="H51" s="132" t="str">
        <f aca="false">IF(E51&gt;F51,"OOC high",IF(E51&lt;G51,"OOC low","OK"))</f>
        <v>OK</v>
      </c>
      <c r="I51" s="102"/>
      <c r="J51" s="102"/>
      <c r="K51" s="102"/>
      <c r="L51" s="102"/>
      <c r="M51" s="102"/>
      <c r="N51" s="102"/>
      <c r="O51" s="102"/>
    </row>
    <row r="52" customFormat="false" ht="15" hidden="false" customHeight="true" outlineLevel="0" collapsed="false">
      <c r="A52" s="102"/>
      <c r="B52" s="123" t="n">
        <v>3</v>
      </c>
      <c r="C52" s="114" t="n">
        <v>1050</v>
      </c>
      <c r="D52" s="114" t="n">
        <v>4</v>
      </c>
      <c r="E52" s="143" t="n">
        <f aca="false">D52/C52</f>
        <v>0.00380952380952381</v>
      </c>
      <c r="F52" s="143" t="n">
        <f aca="false">$C$75+3*SQRT($C$75/C52)</f>
        <v>0.0167632191088392</v>
      </c>
      <c r="G52" s="143" t="n">
        <f aca="false">MAX(0,$C$75-3*SQRT($C$75/C52))</f>
        <v>0</v>
      </c>
      <c r="H52" s="132" t="str">
        <f aca="false">IF(E52&gt;F52,"OOC high",IF(E52&lt;G52,"OOC low","OK"))</f>
        <v>OK</v>
      </c>
      <c r="I52" s="102"/>
      <c r="J52" s="102"/>
      <c r="K52" s="102"/>
      <c r="L52" s="102"/>
      <c r="M52" s="102"/>
      <c r="N52" s="102"/>
      <c r="O52" s="102"/>
    </row>
    <row r="53" customFormat="false" ht="15" hidden="false" customHeight="true" outlineLevel="0" collapsed="false">
      <c r="A53" s="102"/>
      <c r="B53" s="123" t="n">
        <v>4</v>
      </c>
      <c r="C53" s="114" t="n">
        <v>1000</v>
      </c>
      <c r="D53" s="114" t="n">
        <v>8</v>
      </c>
      <c r="E53" s="143" t="n">
        <f aca="false">D53/C53</f>
        <v>0.008</v>
      </c>
      <c r="F53" s="143" t="n">
        <f aca="false">$C$75+3*SQRT($C$75/C53)</f>
        <v>0.0169717505980794</v>
      </c>
      <c r="G53" s="143" t="n">
        <f aca="false">MAX(0,$C$75-3*SQRT($C$75/C53))</f>
        <v>0</v>
      </c>
      <c r="H53" s="132" t="str">
        <f aca="false">IF(E53&gt;F53,"OOC high",IF(E53&lt;G53,"OOC low","OK"))</f>
        <v>OK</v>
      </c>
      <c r="I53" s="102"/>
      <c r="J53" s="102"/>
      <c r="K53" s="102"/>
      <c r="L53" s="102"/>
      <c r="M53" s="102"/>
      <c r="N53" s="102"/>
      <c r="O53" s="102"/>
    </row>
    <row r="54" customFormat="false" ht="15" hidden="false" customHeight="true" outlineLevel="0" collapsed="false">
      <c r="A54" s="102"/>
      <c r="B54" s="123" t="n">
        <v>5</v>
      </c>
      <c r="C54" s="114" t="n">
        <v>1050</v>
      </c>
      <c r="D54" s="114" t="n">
        <v>8</v>
      </c>
      <c r="E54" s="143" t="n">
        <f aca="false">D54/C54</f>
        <v>0.00761904761904762</v>
      </c>
      <c r="F54" s="143" t="n">
        <f aca="false">$C$75+3*SQRT($C$75/C54)</f>
        <v>0.0167632191088392</v>
      </c>
      <c r="G54" s="143" t="n">
        <f aca="false">MAX(0,$C$75-3*SQRT($C$75/C54))</f>
        <v>0</v>
      </c>
      <c r="H54" s="132" t="str">
        <f aca="false">IF(E54&gt;F54,"OOC high",IF(E54&lt;G54,"OOC low","OK"))</f>
        <v>OK</v>
      </c>
      <c r="I54" s="102"/>
      <c r="J54" s="102"/>
      <c r="K54" s="102"/>
      <c r="L54" s="102"/>
      <c r="M54" s="102"/>
      <c r="N54" s="102"/>
      <c r="O54" s="102"/>
    </row>
    <row r="55" customFormat="false" ht="15" hidden="false" customHeight="true" outlineLevel="0" collapsed="false">
      <c r="A55" s="102"/>
      <c r="B55" s="123" t="n">
        <v>6</v>
      </c>
      <c r="C55" s="114" t="n">
        <v>850</v>
      </c>
      <c r="D55" s="114" t="n">
        <v>7</v>
      </c>
      <c r="E55" s="143" t="n">
        <f aca="false">D55/C55</f>
        <v>0.00823529411764706</v>
      </c>
      <c r="F55" s="143" t="n">
        <f aca="false">$C$75+3*SQRT($C$75/C55)</f>
        <v>0.0177042286622045</v>
      </c>
      <c r="G55" s="143" t="n">
        <f aca="false">MAX(0,$C$75-3*SQRT($C$75/C55))</f>
        <v>0</v>
      </c>
      <c r="H55" s="132" t="str">
        <f aca="false">IF(E55&gt;F55,"OOC high",IF(E55&lt;G55,"OOC low","OK"))</f>
        <v>OK</v>
      </c>
      <c r="I55" s="102"/>
      <c r="J55" s="102"/>
      <c r="K55" s="102"/>
      <c r="L55" s="102"/>
      <c r="M55" s="102"/>
      <c r="N55" s="102"/>
      <c r="O55" s="102"/>
    </row>
    <row r="56" customFormat="false" ht="15" hidden="false" customHeight="true" outlineLevel="0" collapsed="false">
      <c r="A56" s="102"/>
      <c r="B56" s="123" t="n">
        <v>7</v>
      </c>
      <c r="C56" s="114" t="n">
        <v>900</v>
      </c>
      <c r="D56" s="114" t="n">
        <v>10</v>
      </c>
      <c r="E56" s="143" t="n">
        <f aca="false">D56/C56</f>
        <v>0.0111111111111111</v>
      </c>
      <c r="F56" s="143" t="n">
        <f aca="false">$C$75+3*SQRT($C$75/C56)</f>
        <v>0.0174398018370321</v>
      </c>
      <c r="G56" s="143" t="n">
        <f aca="false">MAX(0,$C$75-3*SQRT($C$75/C56))</f>
        <v>0</v>
      </c>
      <c r="H56" s="132" t="str">
        <f aca="false">IF(E56&gt;F56,"OOC high",IF(E56&lt;G56,"OOC low","OK"))</f>
        <v>OK</v>
      </c>
      <c r="I56" s="102"/>
      <c r="J56" s="102"/>
      <c r="K56" s="102"/>
      <c r="L56" s="102"/>
      <c r="M56" s="102"/>
      <c r="N56" s="102"/>
      <c r="O56" s="102"/>
    </row>
    <row r="57" customFormat="false" ht="15" hidden="false" customHeight="true" outlineLevel="0" collapsed="false">
      <c r="A57" s="102"/>
      <c r="B57" s="123" t="n">
        <v>8</v>
      </c>
      <c r="C57" s="114" t="n">
        <v>900</v>
      </c>
      <c r="D57" s="114" t="n">
        <v>7</v>
      </c>
      <c r="E57" s="143" t="n">
        <f aca="false">D57/C57</f>
        <v>0.00777777777777778</v>
      </c>
      <c r="F57" s="143" t="n">
        <f aca="false">$C$75+3*SQRT($C$75/C57)</f>
        <v>0.0174398018370321</v>
      </c>
      <c r="G57" s="143" t="n">
        <f aca="false">MAX(0,$C$75-3*SQRT($C$75/C57))</f>
        <v>0</v>
      </c>
      <c r="H57" s="132" t="str">
        <f aca="false">IF(E57&gt;F57,"OOC high",IF(E57&lt;G57,"OOC low","OK"))</f>
        <v>OK</v>
      </c>
      <c r="I57" s="102"/>
      <c r="J57" s="102"/>
      <c r="K57" s="102"/>
      <c r="L57" s="102"/>
      <c r="M57" s="102"/>
      <c r="N57" s="102"/>
      <c r="O57" s="102"/>
    </row>
    <row r="58" customFormat="false" ht="15" hidden="false" customHeight="true" outlineLevel="0" collapsed="false">
      <c r="A58" s="102"/>
      <c r="B58" s="123" t="n">
        <v>9</v>
      </c>
      <c r="C58" s="114" t="n">
        <v>1000</v>
      </c>
      <c r="D58" s="114" t="n">
        <v>9</v>
      </c>
      <c r="E58" s="143" t="n">
        <f aca="false">D58/C58</f>
        <v>0.009</v>
      </c>
      <c r="F58" s="143" t="n">
        <f aca="false">$C$75+3*SQRT($C$75/C58)</f>
        <v>0.0169717505980794</v>
      </c>
      <c r="G58" s="143" t="n">
        <f aca="false">MAX(0,$C$75-3*SQRT($C$75/C58))</f>
        <v>0</v>
      </c>
      <c r="H58" s="132" t="str">
        <f aca="false">IF(E58&gt;F58,"OOC high",IF(E58&lt;G58,"OOC low","OK"))</f>
        <v>OK</v>
      </c>
      <c r="I58" s="102"/>
      <c r="J58" s="102"/>
      <c r="K58" s="102"/>
      <c r="L58" s="102"/>
      <c r="M58" s="102"/>
      <c r="N58" s="102"/>
      <c r="O58" s="102"/>
    </row>
    <row r="59" customFormat="false" ht="15" hidden="false" customHeight="true" outlineLevel="0" collapsed="false">
      <c r="A59" s="102"/>
      <c r="B59" s="123" t="n">
        <v>10</v>
      </c>
      <c r="C59" s="114" t="n">
        <v>850</v>
      </c>
      <c r="D59" s="114" t="n">
        <v>6</v>
      </c>
      <c r="E59" s="143" t="n">
        <f aca="false">D59/C59</f>
        <v>0.00705882352941177</v>
      </c>
      <c r="F59" s="143" t="n">
        <f aca="false">$C$75+3*SQRT($C$75/C59)</f>
        <v>0.0177042286622045</v>
      </c>
      <c r="G59" s="143" t="n">
        <f aca="false">MAX(0,$C$75-3*SQRT($C$75/C59))</f>
        <v>0</v>
      </c>
      <c r="H59" s="132" t="str">
        <f aca="false">IF(E59&gt;F59,"OOC high",IF(E59&lt;G59,"OOC low","OK"))</f>
        <v>OK</v>
      </c>
      <c r="I59" s="102"/>
      <c r="J59" s="102"/>
      <c r="K59" s="102"/>
      <c r="L59" s="102"/>
      <c r="M59" s="102"/>
      <c r="N59" s="102"/>
      <c r="O59" s="102"/>
    </row>
    <row r="60" customFormat="false" ht="15" hidden="false" customHeight="true" outlineLevel="0" collapsed="false">
      <c r="A60" s="102"/>
      <c r="B60" s="123" t="n">
        <v>11</v>
      </c>
      <c r="C60" s="114" t="n">
        <v>1000</v>
      </c>
      <c r="D60" s="114" t="n">
        <v>30</v>
      </c>
      <c r="E60" s="143" t="n">
        <f aca="false">D60/C60</f>
        <v>0.03</v>
      </c>
      <c r="F60" s="143" t="n">
        <f aca="false">$C$75+3*SQRT($C$75/C60)</f>
        <v>0.0169717505980794</v>
      </c>
      <c r="G60" s="143" t="n">
        <f aca="false">MAX(0,$C$75-3*SQRT($C$75/C60))</f>
        <v>0</v>
      </c>
      <c r="H60" s="132" t="str">
        <f aca="false">IF(E60&gt;F60,"OOC high",IF(E60&lt;G60,"OOC low","OK"))</f>
        <v>OOC high</v>
      </c>
      <c r="I60" s="102"/>
      <c r="J60" s="102"/>
      <c r="K60" s="102"/>
      <c r="L60" s="102"/>
      <c r="M60" s="102"/>
      <c r="N60" s="102"/>
      <c r="O60" s="102"/>
    </row>
    <row r="61" customFormat="false" ht="15" hidden="false" customHeight="true" outlineLevel="0" collapsed="false">
      <c r="A61" s="102"/>
      <c r="B61" s="123" t="n">
        <v>12</v>
      </c>
      <c r="C61" s="114" t="n">
        <v>900</v>
      </c>
      <c r="D61" s="114" t="n">
        <v>9</v>
      </c>
      <c r="E61" s="143" t="n">
        <f aca="false">D61/C61</f>
        <v>0.01</v>
      </c>
      <c r="F61" s="143" t="n">
        <f aca="false">$C$75+3*SQRT($C$75/C61)</f>
        <v>0.0174398018370321</v>
      </c>
      <c r="G61" s="143" t="n">
        <f aca="false">MAX(0,$C$75-3*SQRT($C$75/C61))</f>
        <v>0</v>
      </c>
      <c r="H61" s="132" t="str">
        <f aca="false">IF(E61&gt;F61,"OOC high",IF(E61&lt;G61,"OOC low","OK"))</f>
        <v>OK</v>
      </c>
      <c r="I61" s="102"/>
      <c r="J61" s="102"/>
      <c r="K61" s="102"/>
      <c r="L61" s="102"/>
      <c r="M61" s="102"/>
      <c r="N61" s="102"/>
      <c r="O61" s="102"/>
    </row>
    <row r="62" customFormat="false" ht="15" hidden="false" customHeight="true" outlineLevel="0" collapsed="false">
      <c r="A62" s="102"/>
      <c r="B62" s="123" t="n">
        <v>13</v>
      </c>
      <c r="C62" s="114" t="n">
        <v>900</v>
      </c>
      <c r="D62" s="114" t="n">
        <v>4</v>
      </c>
      <c r="E62" s="143" t="n">
        <f aca="false">D62/C62</f>
        <v>0.00444444444444444</v>
      </c>
      <c r="F62" s="143" t="n">
        <f aca="false">$C$75+3*SQRT($C$75/C62)</f>
        <v>0.0174398018370321</v>
      </c>
      <c r="G62" s="143" t="n">
        <f aca="false">MAX(0,$C$75-3*SQRT($C$75/C62))</f>
        <v>0</v>
      </c>
      <c r="H62" s="132" t="str">
        <f aca="false">IF(E62&gt;F62,"OOC high",IF(E62&lt;G62,"OOC low","OK"))</f>
        <v>OK</v>
      </c>
      <c r="I62" s="102"/>
      <c r="J62" s="102"/>
      <c r="K62" s="102"/>
      <c r="L62" s="102"/>
      <c r="M62" s="102"/>
      <c r="N62" s="102"/>
      <c r="O62" s="102"/>
    </row>
    <row r="63" customFormat="false" ht="15" hidden="false" customHeight="true" outlineLevel="0" collapsed="false">
      <c r="A63" s="102"/>
      <c r="B63" s="123" t="n">
        <v>14</v>
      </c>
      <c r="C63" s="114" t="n">
        <v>1000</v>
      </c>
      <c r="D63" s="114" t="n">
        <v>12</v>
      </c>
      <c r="E63" s="143" t="n">
        <f aca="false">D63/C63</f>
        <v>0.012</v>
      </c>
      <c r="F63" s="143" t="n">
        <f aca="false">$C$75+3*SQRT($C$75/C63)</f>
        <v>0.0169717505980794</v>
      </c>
      <c r="G63" s="143" t="n">
        <f aca="false">MAX(0,$C$75-3*SQRT($C$75/C63))</f>
        <v>0</v>
      </c>
      <c r="H63" s="132" t="str">
        <f aca="false">IF(E63&gt;F63,"OOC high",IF(E63&lt;G63,"OOC low","OK"))</f>
        <v>OK</v>
      </c>
      <c r="I63" s="102"/>
      <c r="J63" s="102"/>
      <c r="K63" s="102"/>
      <c r="L63" s="102"/>
      <c r="M63" s="102"/>
      <c r="N63" s="102"/>
      <c r="O63" s="102"/>
    </row>
    <row r="64" customFormat="false" ht="15" hidden="false" customHeight="true" outlineLevel="0" collapsed="false">
      <c r="A64" s="102"/>
      <c r="B64" s="123" t="n">
        <v>15</v>
      </c>
      <c r="C64" s="114" t="n">
        <v>950</v>
      </c>
      <c r="D64" s="114" t="n">
        <v>3</v>
      </c>
      <c r="E64" s="143" t="n">
        <f aca="false">D64/C64</f>
        <v>0.00315789473684211</v>
      </c>
      <c r="F64" s="143" t="n">
        <f aca="false">$C$75+3*SQRT($C$75/C64)</f>
        <v>0.0171965356954265</v>
      </c>
      <c r="G64" s="143" t="n">
        <f aca="false">MAX(0,$C$75-3*SQRT($C$75/C64))</f>
        <v>0</v>
      </c>
      <c r="H64" s="132" t="str">
        <f aca="false">IF(E64&gt;F64,"OOC high",IF(E64&lt;G64,"OOC low","OK"))</f>
        <v>OK</v>
      </c>
      <c r="I64" s="102"/>
      <c r="J64" s="102"/>
      <c r="K64" s="102"/>
      <c r="L64" s="102"/>
      <c r="M64" s="102"/>
      <c r="N64" s="102"/>
      <c r="O64" s="102"/>
    </row>
    <row r="65" customFormat="false" ht="15" hidden="false" customHeight="true" outlineLevel="0" collapsed="false">
      <c r="A65" s="102"/>
      <c r="B65" s="123" t="n">
        <v>16</v>
      </c>
      <c r="C65" s="114" t="n">
        <v>850</v>
      </c>
      <c r="D65" s="114" t="n">
        <v>1</v>
      </c>
      <c r="E65" s="143" t="n">
        <f aca="false">D65/C65</f>
        <v>0.00117647058823529</v>
      </c>
      <c r="F65" s="143" t="n">
        <f aca="false">$C$75+3*SQRT($C$75/C65)</f>
        <v>0.0177042286622045</v>
      </c>
      <c r="G65" s="143" t="n">
        <f aca="false">MAX(0,$C$75-3*SQRT($C$75/C65))</f>
        <v>0</v>
      </c>
      <c r="H65" s="132" t="str">
        <f aca="false">IF(E65&gt;F65,"OOC high",IF(E65&lt;G65,"OOC low","OK"))</f>
        <v>OK</v>
      </c>
      <c r="I65" s="102"/>
      <c r="J65" s="102"/>
      <c r="K65" s="102"/>
      <c r="L65" s="102"/>
      <c r="M65" s="102"/>
      <c r="N65" s="102"/>
      <c r="O65" s="102"/>
    </row>
    <row r="66" customFormat="false" ht="15" hidden="false" customHeight="true" outlineLevel="0" collapsed="false">
      <c r="A66" s="102"/>
      <c r="B66" s="123" t="n">
        <v>17</v>
      </c>
      <c r="C66" s="114" t="n">
        <v>1000</v>
      </c>
      <c r="D66" s="114" t="n">
        <v>8</v>
      </c>
      <c r="E66" s="143" t="n">
        <f aca="false">D66/C66</f>
        <v>0.008</v>
      </c>
      <c r="F66" s="143" t="n">
        <f aca="false">$C$75+3*SQRT($C$75/C66)</f>
        <v>0.0169717505980794</v>
      </c>
      <c r="G66" s="143" t="n">
        <f aca="false">MAX(0,$C$75-3*SQRT($C$75/C66))</f>
        <v>0</v>
      </c>
      <c r="H66" s="132" t="str">
        <f aca="false">IF(E66&gt;F66,"OOC high",IF(E66&lt;G66,"OOC low","OK"))</f>
        <v>OK</v>
      </c>
      <c r="I66" s="102"/>
      <c r="J66" s="102"/>
      <c r="K66" s="102"/>
      <c r="L66" s="102"/>
      <c r="M66" s="102"/>
      <c r="N66" s="102"/>
      <c r="O66" s="102"/>
    </row>
    <row r="67" customFormat="false" ht="15" hidden="false" customHeight="true" outlineLevel="0" collapsed="false">
      <c r="A67" s="102"/>
      <c r="B67" s="123" t="n">
        <v>18</v>
      </c>
      <c r="C67" s="114" t="n">
        <v>1050</v>
      </c>
      <c r="D67" s="114" t="n">
        <v>10</v>
      </c>
      <c r="E67" s="143" t="n">
        <f aca="false">D67/C67</f>
        <v>0.00952380952380953</v>
      </c>
      <c r="F67" s="143" t="n">
        <f aca="false">$C$75+3*SQRT($C$75/C67)</f>
        <v>0.0167632191088392</v>
      </c>
      <c r="G67" s="143" t="n">
        <f aca="false">MAX(0,$C$75-3*SQRT($C$75/C67))</f>
        <v>0</v>
      </c>
      <c r="H67" s="132" t="str">
        <f aca="false">IF(E67&gt;F67,"OOC high",IF(E67&lt;G67,"OOC low","OK"))</f>
        <v>OK</v>
      </c>
      <c r="I67" s="102"/>
      <c r="J67" s="102"/>
      <c r="K67" s="102"/>
      <c r="L67" s="102"/>
      <c r="M67" s="102"/>
      <c r="N67" s="102"/>
      <c r="O67" s="102"/>
    </row>
    <row r="68" customFormat="false" ht="15" hidden="false" customHeight="true" outlineLevel="0" collapsed="false">
      <c r="A68" s="102"/>
      <c r="B68" s="123" t="n">
        <v>19</v>
      </c>
      <c r="C68" s="114" t="n">
        <v>950</v>
      </c>
      <c r="D68" s="114" t="n">
        <v>5</v>
      </c>
      <c r="E68" s="143" t="n">
        <f aca="false">D68/C68</f>
        <v>0.00526315789473684</v>
      </c>
      <c r="F68" s="143" t="n">
        <f aca="false">$C$75+3*SQRT($C$75/C68)</f>
        <v>0.0171965356954265</v>
      </c>
      <c r="G68" s="143" t="n">
        <f aca="false">MAX(0,$C$75-3*SQRT($C$75/C68))</f>
        <v>0</v>
      </c>
      <c r="H68" s="132" t="str">
        <f aca="false">IF(E68&gt;F68,"OOC high",IF(E68&lt;G68,"OOC low","OK"))</f>
        <v>OK</v>
      </c>
      <c r="I68" s="102"/>
      <c r="J68" s="102"/>
      <c r="K68" s="102"/>
      <c r="L68" s="102"/>
      <c r="M68" s="102"/>
      <c r="N68" s="102"/>
      <c r="O68" s="102"/>
    </row>
    <row r="69" customFormat="false" ht="15" hidden="false" customHeight="true" outlineLevel="0" collapsed="false">
      <c r="A69" s="102"/>
      <c r="B69" s="123" t="n">
        <v>20</v>
      </c>
      <c r="C69" s="114" t="n">
        <v>900</v>
      </c>
      <c r="D69" s="114" t="n">
        <v>9</v>
      </c>
      <c r="E69" s="143" t="n">
        <f aca="false">D69/C69</f>
        <v>0.01</v>
      </c>
      <c r="F69" s="143" t="n">
        <f aca="false">$C$75+3*SQRT($C$75/C69)</f>
        <v>0.0174398018370321</v>
      </c>
      <c r="G69" s="143" t="n">
        <f aca="false">MAX(0,$C$75-3*SQRT($C$75/C69))</f>
        <v>0</v>
      </c>
      <c r="H69" s="132" t="str">
        <f aca="false">IF(E69&gt;F69,"OOC high",IF(E69&lt;G69,"OOC low","OK"))</f>
        <v>OK</v>
      </c>
      <c r="I69" s="102"/>
      <c r="J69" s="102"/>
      <c r="K69" s="102"/>
      <c r="L69" s="102"/>
      <c r="M69" s="102"/>
      <c r="N69" s="102"/>
      <c r="O69" s="102"/>
    </row>
    <row r="70" customFormat="false" ht="15" hidden="false" customHeight="true" outlineLevel="0" collapsed="false">
      <c r="A70" s="102"/>
      <c r="B70" s="123" t="n">
        <v>21</v>
      </c>
      <c r="C70" s="114" t="n">
        <v>1050</v>
      </c>
      <c r="D70" s="114" t="n">
        <v>9</v>
      </c>
      <c r="E70" s="143" t="n">
        <f aca="false">D70/C70</f>
        <v>0.00857142857142857</v>
      </c>
      <c r="F70" s="143" t="n">
        <f aca="false">$C$75+3*SQRT($C$75/C70)</f>
        <v>0.0167632191088392</v>
      </c>
      <c r="G70" s="143" t="n">
        <f aca="false">MAX(0,$C$75-3*SQRT($C$75/C70))</f>
        <v>0</v>
      </c>
      <c r="H70" s="132" t="str">
        <f aca="false">IF(E70&gt;F70,"OOC high",IF(E70&lt;G70,"OOC low","OK"))</f>
        <v>OK</v>
      </c>
      <c r="I70" s="102"/>
      <c r="J70" s="102"/>
      <c r="K70" s="102"/>
      <c r="L70" s="102"/>
      <c r="M70" s="102"/>
      <c r="N70" s="102"/>
      <c r="O70" s="102"/>
    </row>
    <row r="71" customFormat="false" ht="15" hidden="false" customHeight="true" outlineLevel="0" collapsed="false">
      <c r="A71" s="102"/>
      <c r="B71" s="123" t="n">
        <v>22</v>
      </c>
      <c r="C71" s="114" t="n">
        <v>1100</v>
      </c>
      <c r="D71" s="114" t="n">
        <v>4</v>
      </c>
      <c r="E71" s="143" t="n">
        <f aca="false">D71/C71</f>
        <v>0.00363636363636364</v>
      </c>
      <c r="F71" s="143" t="n">
        <f aca="false">$C$75+3*SQRT($C$75/C71)</f>
        <v>0.0165690723846028</v>
      </c>
      <c r="G71" s="143" t="n">
        <f aca="false">MAX(0,$C$75-3*SQRT($C$75/C71))</f>
        <v>6.88586498799621E-005</v>
      </c>
      <c r="H71" s="132" t="str">
        <f aca="false">IF(E71&gt;F71,"OOC high",IF(E71&lt;G71,"OOC low","OK"))</f>
        <v>OK</v>
      </c>
      <c r="I71" s="102"/>
      <c r="J71" s="102"/>
      <c r="K71" s="102"/>
      <c r="L71" s="102"/>
      <c r="M71" s="102"/>
      <c r="N71" s="102"/>
      <c r="O71" s="102"/>
    </row>
    <row r="72" customFormat="false" ht="15" hidden="false" customHeight="true" outlineLevel="0" collapsed="false">
      <c r="A72" s="102"/>
      <c r="B72" s="123" t="n">
        <v>23</v>
      </c>
      <c r="C72" s="114" t="n">
        <v>1050</v>
      </c>
      <c r="D72" s="114" t="n">
        <v>9</v>
      </c>
      <c r="E72" s="143" t="n">
        <f aca="false">D72/C72</f>
        <v>0.00857142857142857</v>
      </c>
      <c r="F72" s="143" t="n">
        <f aca="false">$C$75+3*SQRT($C$75/C72)</f>
        <v>0.0167632191088392</v>
      </c>
      <c r="G72" s="143" t="n">
        <f aca="false">MAX(0,$C$75-3*SQRT($C$75/C72))</f>
        <v>0</v>
      </c>
      <c r="H72" s="132" t="str">
        <f aca="false">IF(E72&gt;F72,"OOC high",IF(E72&lt;G72,"OOC low","OK"))</f>
        <v>OK</v>
      </c>
      <c r="I72" s="102"/>
      <c r="J72" s="102"/>
      <c r="K72" s="102"/>
      <c r="L72" s="102"/>
      <c r="M72" s="102"/>
      <c r="N72" s="102"/>
      <c r="O72" s="102"/>
    </row>
    <row r="73" customFormat="false" ht="15" hidden="false" customHeight="true" outlineLevel="0" collapsed="false">
      <c r="A73" s="102"/>
      <c r="B73" s="123" t="n">
        <v>24</v>
      </c>
      <c r="C73" s="114" t="n">
        <v>1000</v>
      </c>
      <c r="D73" s="114" t="n">
        <v>6</v>
      </c>
      <c r="E73" s="143" t="n">
        <f aca="false">D73/C73</f>
        <v>0.006</v>
      </c>
      <c r="F73" s="143" t="n">
        <f aca="false">$C$75+3*SQRT($C$75/C73)</f>
        <v>0.0169717505980794</v>
      </c>
      <c r="G73" s="143" t="n">
        <f aca="false">MAX(0,$C$75-3*SQRT($C$75/C73))</f>
        <v>0</v>
      </c>
      <c r="H73" s="132" t="str">
        <f aca="false">IF(E73&gt;F73,"OOC high",IF(E73&lt;G73,"OOC low","OK"))</f>
        <v>OK</v>
      </c>
      <c r="I73" s="102"/>
      <c r="J73" s="102"/>
      <c r="K73" s="102"/>
      <c r="L73" s="102"/>
      <c r="M73" s="102"/>
      <c r="N73" s="102"/>
      <c r="O73" s="102"/>
    </row>
    <row r="74" customFormat="false" ht="15" hidden="false" customHeight="true" outlineLevel="0" collapsed="false">
      <c r="A74" s="102"/>
      <c r="B74" s="102"/>
      <c r="C74" s="102"/>
      <c r="D74" s="102"/>
      <c r="E74" s="102"/>
      <c r="F74" s="102"/>
      <c r="G74" s="102"/>
      <c r="H74" s="102"/>
      <c r="I74" s="102"/>
      <c r="J74" s="102"/>
      <c r="K74" s="102"/>
      <c r="L74" s="102"/>
      <c r="M74" s="102"/>
      <c r="N74" s="102"/>
      <c r="O74" s="102"/>
    </row>
    <row r="75" customFormat="false" ht="15" hidden="false" customHeight="true" outlineLevel="0" collapsed="false">
      <c r="A75" s="102"/>
      <c r="B75" s="105" t="s">
        <v>6043</v>
      </c>
      <c r="C75" s="143" t="n">
        <f aca="false">SUM(D50:D73)/SUM(C50:C73)</f>
        <v>0.00831896551724138</v>
      </c>
      <c r="D75" s="102"/>
      <c r="E75" s="102"/>
      <c r="F75" s="102"/>
      <c r="G75" s="102"/>
      <c r="H75" s="102"/>
      <c r="I75" s="102"/>
      <c r="J75" s="102"/>
      <c r="K75" s="102"/>
      <c r="L75" s="102"/>
      <c r="M75" s="102"/>
      <c r="N75" s="102"/>
      <c r="O75" s="102"/>
    </row>
    <row r="76" customFormat="false" ht="15" hidden="false" customHeight="true" outlineLevel="0" collapsed="false">
      <c r="A76" s="102"/>
      <c r="B76" s="102"/>
      <c r="C76" s="102"/>
      <c r="D76" s="102"/>
      <c r="E76" s="102"/>
      <c r="F76" s="102"/>
      <c r="G76" s="102"/>
      <c r="H76" s="102"/>
      <c r="I76" s="102"/>
      <c r="J76" s="102"/>
      <c r="K76" s="102"/>
      <c r="L76" s="102"/>
      <c r="M76" s="102"/>
      <c r="N76" s="102"/>
      <c r="O76" s="102"/>
    </row>
    <row r="77" customFormat="false" ht="16.5" hidden="false" customHeight="true" outlineLevel="0" collapsed="false">
      <c r="A77" s="102"/>
      <c r="B77" s="108" t="s">
        <v>6040</v>
      </c>
      <c r="C77" s="108" t="s">
        <v>6042</v>
      </c>
      <c r="D77" s="108" t="s">
        <v>5809</v>
      </c>
      <c r="E77" s="108" t="s">
        <v>5810</v>
      </c>
      <c r="F77" s="108" t="s">
        <v>5811</v>
      </c>
      <c r="G77" s="102"/>
      <c r="H77" s="102"/>
      <c r="I77" s="102"/>
      <c r="J77" s="102"/>
      <c r="K77" s="102"/>
      <c r="L77" s="102"/>
      <c r="M77" s="102"/>
      <c r="N77" s="102"/>
      <c r="O77" s="102"/>
    </row>
    <row r="78" customFormat="false" ht="15" hidden="false" customHeight="true" outlineLevel="0" collapsed="false">
      <c r="A78" s="102"/>
      <c r="B78" s="123" t="n">
        <v>1</v>
      </c>
      <c r="C78" s="143" t="n">
        <f aca="false">E50</f>
        <v>0.00947368421052632</v>
      </c>
      <c r="D78" s="143" t="n">
        <f aca="false">$C$75</f>
        <v>0.00831896551724138</v>
      </c>
      <c r="E78" s="143" t="n">
        <f aca="false">F50</f>
        <v>0.0171965356954265</v>
      </c>
      <c r="F78" s="143" t="n">
        <f aca="false">G50</f>
        <v>0</v>
      </c>
      <c r="G78" s="102"/>
      <c r="H78" s="102"/>
      <c r="I78" s="102"/>
      <c r="J78" s="102"/>
      <c r="K78" s="102"/>
      <c r="L78" s="102"/>
      <c r="M78" s="102"/>
      <c r="N78" s="102"/>
      <c r="O78" s="102"/>
    </row>
    <row r="79" customFormat="false" ht="15" hidden="false" customHeight="true" outlineLevel="0" collapsed="false">
      <c r="A79" s="102"/>
      <c r="B79" s="123" t="n">
        <v>2</v>
      </c>
      <c r="C79" s="143" t="n">
        <f aca="false">E51</f>
        <v>0.00631578947368421</v>
      </c>
      <c r="D79" s="143" t="n">
        <f aca="false">$C$75</f>
        <v>0.00831896551724138</v>
      </c>
      <c r="E79" s="143" t="n">
        <f aca="false">F51</f>
        <v>0.0171965356954265</v>
      </c>
      <c r="F79" s="143" t="n">
        <f aca="false">G51</f>
        <v>0</v>
      </c>
      <c r="G79" s="102"/>
      <c r="H79" s="102"/>
      <c r="I79" s="102"/>
      <c r="J79" s="102"/>
      <c r="K79" s="102"/>
      <c r="L79" s="102"/>
      <c r="M79" s="102"/>
      <c r="N79" s="102"/>
      <c r="O79" s="102"/>
    </row>
    <row r="80" customFormat="false" ht="15" hidden="false" customHeight="true" outlineLevel="0" collapsed="false">
      <c r="A80" s="102"/>
      <c r="B80" s="123" t="n">
        <v>3</v>
      </c>
      <c r="C80" s="143" t="n">
        <f aca="false">E52</f>
        <v>0.00380952380952381</v>
      </c>
      <c r="D80" s="143" t="n">
        <f aca="false">$C$75</f>
        <v>0.00831896551724138</v>
      </c>
      <c r="E80" s="143" t="n">
        <f aca="false">F52</f>
        <v>0.0167632191088392</v>
      </c>
      <c r="F80" s="143" t="n">
        <f aca="false">G52</f>
        <v>0</v>
      </c>
      <c r="G80" s="102"/>
      <c r="H80" s="102"/>
      <c r="I80" s="102"/>
      <c r="J80" s="102"/>
      <c r="K80" s="102"/>
      <c r="L80" s="102"/>
      <c r="M80" s="102"/>
      <c r="N80" s="102"/>
      <c r="O80" s="102"/>
    </row>
    <row r="81" customFormat="false" ht="15" hidden="false" customHeight="true" outlineLevel="0" collapsed="false">
      <c r="A81" s="102"/>
      <c r="B81" s="123" t="n">
        <v>4</v>
      </c>
      <c r="C81" s="143" t="n">
        <f aca="false">E53</f>
        <v>0.008</v>
      </c>
      <c r="D81" s="143" t="n">
        <f aca="false">$C$75</f>
        <v>0.00831896551724138</v>
      </c>
      <c r="E81" s="143" t="n">
        <f aca="false">F53</f>
        <v>0.0169717505980794</v>
      </c>
      <c r="F81" s="143" t="n">
        <f aca="false">G53</f>
        <v>0</v>
      </c>
      <c r="G81" s="102"/>
      <c r="H81" s="102"/>
      <c r="I81" s="102"/>
      <c r="J81" s="102"/>
      <c r="K81" s="102"/>
      <c r="L81" s="102"/>
      <c r="M81" s="102"/>
      <c r="N81" s="102"/>
      <c r="O81" s="102"/>
    </row>
    <row r="82" customFormat="false" ht="15" hidden="false" customHeight="true" outlineLevel="0" collapsed="false">
      <c r="A82" s="102"/>
      <c r="B82" s="123" t="n">
        <v>5</v>
      </c>
      <c r="C82" s="143" t="n">
        <f aca="false">E54</f>
        <v>0.00761904761904762</v>
      </c>
      <c r="D82" s="143" t="n">
        <f aca="false">$C$75</f>
        <v>0.00831896551724138</v>
      </c>
      <c r="E82" s="143" t="n">
        <f aca="false">F54</f>
        <v>0.0167632191088392</v>
      </c>
      <c r="F82" s="143" t="n">
        <f aca="false">G54</f>
        <v>0</v>
      </c>
      <c r="G82" s="102"/>
      <c r="H82" s="102"/>
      <c r="I82" s="102"/>
      <c r="J82" s="102"/>
      <c r="K82" s="102"/>
      <c r="L82" s="102"/>
      <c r="M82" s="102"/>
      <c r="N82" s="102"/>
      <c r="O82" s="102"/>
    </row>
    <row r="83" customFormat="false" ht="15" hidden="false" customHeight="true" outlineLevel="0" collapsed="false">
      <c r="A83" s="102"/>
      <c r="B83" s="123" t="n">
        <v>6</v>
      </c>
      <c r="C83" s="143" t="n">
        <f aca="false">E55</f>
        <v>0.00823529411764706</v>
      </c>
      <c r="D83" s="143" t="n">
        <f aca="false">$C$75</f>
        <v>0.00831896551724138</v>
      </c>
      <c r="E83" s="143" t="n">
        <f aca="false">F55</f>
        <v>0.0177042286622045</v>
      </c>
      <c r="F83" s="143" t="n">
        <f aca="false">G55</f>
        <v>0</v>
      </c>
      <c r="G83" s="102"/>
      <c r="H83" s="102"/>
      <c r="I83" s="102"/>
      <c r="J83" s="102"/>
      <c r="K83" s="102"/>
      <c r="L83" s="102"/>
      <c r="M83" s="102"/>
      <c r="N83" s="102"/>
      <c r="O83" s="102"/>
    </row>
    <row r="84" customFormat="false" ht="15" hidden="false" customHeight="true" outlineLevel="0" collapsed="false">
      <c r="A84" s="102"/>
      <c r="B84" s="123" t="n">
        <v>7</v>
      </c>
      <c r="C84" s="143" t="n">
        <f aca="false">E56</f>
        <v>0.0111111111111111</v>
      </c>
      <c r="D84" s="143" t="n">
        <f aca="false">$C$75</f>
        <v>0.00831896551724138</v>
      </c>
      <c r="E84" s="143" t="n">
        <f aca="false">F56</f>
        <v>0.0174398018370321</v>
      </c>
      <c r="F84" s="143" t="n">
        <f aca="false">G56</f>
        <v>0</v>
      </c>
      <c r="G84" s="102"/>
      <c r="H84" s="102"/>
      <c r="I84" s="102"/>
      <c r="J84" s="102"/>
      <c r="K84" s="102"/>
      <c r="L84" s="102"/>
      <c r="M84" s="102"/>
      <c r="N84" s="102"/>
      <c r="O84" s="102"/>
    </row>
    <row r="85" customFormat="false" ht="15" hidden="false" customHeight="true" outlineLevel="0" collapsed="false">
      <c r="A85" s="102"/>
      <c r="B85" s="123" t="n">
        <v>8</v>
      </c>
      <c r="C85" s="143" t="n">
        <f aca="false">E57</f>
        <v>0.00777777777777778</v>
      </c>
      <c r="D85" s="143" t="n">
        <f aca="false">$C$75</f>
        <v>0.00831896551724138</v>
      </c>
      <c r="E85" s="143" t="n">
        <f aca="false">F57</f>
        <v>0.0174398018370321</v>
      </c>
      <c r="F85" s="143" t="n">
        <f aca="false">G57</f>
        <v>0</v>
      </c>
      <c r="G85" s="102"/>
      <c r="H85" s="102"/>
      <c r="I85" s="102"/>
      <c r="J85" s="102"/>
      <c r="K85" s="102"/>
      <c r="L85" s="102"/>
      <c r="M85" s="102"/>
      <c r="N85" s="102"/>
      <c r="O85" s="102"/>
    </row>
    <row r="86" customFormat="false" ht="15" hidden="false" customHeight="true" outlineLevel="0" collapsed="false">
      <c r="A86" s="102"/>
      <c r="B86" s="123" t="n">
        <v>9</v>
      </c>
      <c r="C86" s="143" t="n">
        <f aca="false">E58</f>
        <v>0.009</v>
      </c>
      <c r="D86" s="143" t="n">
        <f aca="false">$C$75</f>
        <v>0.00831896551724138</v>
      </c>
      <c r="E86" s="143" t="n">
        <f aca="false">F58</f>
        <v>0.0169717505980794</v>
      </c>
      <c r="F86" s="143" t="n">
        <f aca="false">G58</f>
        <v>0</v>
      </c>
      <c r="G86" s="102"/>
      <c r="H86" s="102"/>
      <c r="I86" s="102"/>
      <c r="J86" s="102"/>
      <c r="K86" s="102"/>
      <c r="L86" s="102"/>
      <c r="M86" s="102"/>
      <c r="N86" s="102"/>
      <c r="O86" s="102"/>
    </row>
    <row r="87" customFormat="false" ht="15" hidden="false" customHeight="true" outlineLevel="0" collapsed="false">
      <c r="A87" s="102"/>
      <c r="B87" s="123" t="n">
        <v>10</v>
      </c>
      <c r="C87" s="143" t="n">
        <f aca="false">E59</f>
        <v>0.00705882352941177</v>
      </c>
      <c r="D87" s="143" t="n">
        <f aca="false">$C$75</f>
        <v>0.00831896551724138</v>
      </c>
      <c r="E87" s="143" t="n">
        <f aca="false">F59</f>
        <v>0.0177042286622045</v>
      </c>
      <c r="F87" s="143" t="n">
        <f aca="false">G59</f>
        <v>0</v>
      </c>
      <c r="G87" s="102"/>
      <c r="H87" s="102"/>
      <c r="I87" s="102"/>
      <c r="J87" s="102"/>
      <c r="K87" s="102"/>
      <c r="L87" s="102"/>
      <c r="M87" s="102"/>
      <c r="N87" s="102"/>
      <c r="O87" s="102"/>
    </row>
    <row r="88" customFormat="false" ht="15" hidden="false" customHeight="true" outlineLevel="0" collapsed="false">
      <c r="A88" s="102"/>
      <c r="B88" s="123" t="n">
        <v>11</v>
      </c>
      <c r="C88" s="143" t="n">
        <f aca="false">E60</f>
        <v>0.03</v>
      </c>
      <c r="D88" s="143" t="n">
        <f aca="false">$C$75</f>
        <v>0.00831896551724138</v>
      </c>
      <c r="E88" s="143" t="n">
        <f aca="false">F60</f>
        <v>0.0169717505980794</v>
      </c>
      <c r="F88" s="143" t="n">
        <f aca="false">G60</f>
        <v>0</v>
      </c>
      <c r="G88" s="102"/>
      <c r="H88" s="102"/>
      <c r="I88" s="102"/>
      <c r="J88" s="102"/>
      <c r="K88" s="102"/>
      <c r="L88" s="102"/>
      <c r="M88" s="102"/>
      <c r="N88" s="102"/>
      <c r="O88" s="102"/>
    </row>
    <row r="89" customFormat="false" ht="15" hidden="false" customHeight="true" outlineLevel="0" collapsed="false">
      <c r="A89" s="102"/>
      <c r="B89" s="123" t="n">
        <v>12</v>
      </c>
      <c r="C89" s="143" t="n">
        <f aca="false">E61</f>
        <v>0.01</v>
      </c>
      <c r="D89" s="143" t="n">
        <f aca="false">$C$75</f>
        <v>0.00831896551724138</v>
      </c>
      <c r="E89" s="143" t="n">
        <f aca="false">F61</f>
        <v>0.0174398018370321</v>
      </c>
      <c r="F89" s="143" t="n">
        <f aca="false">G61</f>
        <v>0</v>
      </c>
      <c r="G89" s="102"/>
      <c r="H89" s="102"/>
      <c r="I89" s="102"/>
      <c r="J89" s="102"/>
      <c r="K89" s="102"/>
      <c r="L89" s="102"/>
      <c r="M89" s="102"/>
      <c r="N89" s="102"/>
      <c r="O89" s="102"/>
    </row>
    <row r="90" customFormat="false" ht="15" hidden="false" customHeight="true" outlineLevel="0" collapsed="false">
      <c r="A90" s="102"/>
      <c r="B90" s="123" t="n">
        <v>13</v>
      </c>
      <c r="C90" s="143" t="n">
        <f aca="false">E62</f>
        <v>0.00444444444444444</v>
      </c>
      <c r="D90" s="143" t="n">
        <f aca="false">$C$75</f>
        <v>0.00831896551724138</v>
      </c>
      <c r="E90" s="143" t="n">
        <f aca="false">F62</f>
        <v>0.0174398018370321</v>
      </c>
      <c r="F90" s="143" t="n">
        <f aca="false">G62</f>
        <v>0</v>
      </c>
      <c r="G90" s="102"/>
      <c r="H90" s="102"/>
      <c r="I90" s="102"/>
      <c r="J90" s="102"/>
      <c r="K90" s="102"/>
      <c r="L90" s="102"/>
      <c r="M90" s="102"/>
      <c r="N90" s="102"/>
      <c r="O90" s="102"/>
    </row>
    <row r="91" customFormat="false" ht="15" hidden="false" customHeight="true" outlineLevel="0" collapsed="false">
      <c r="A91" s="102"/>
      <c r="B91" s="123" t="n">
        <v>14</v>
      </c>
      <c r="C91" s="143" t="n">
        <f aca="false">E63</f>
        <v>0.012</v>
      </c>
      <c r="D91" s="143" t="n">
        <f aca="false">$C$75</f>
        <v>0.00831896551724138</v>
      </c>
      <c r="E91" s="143" t="n">
        <f aca="false">F63</f>
        <v>0.0169717505980794</v>
      </c>
      <c r="F91" s="143" t="n">
        <f aca="false">G63</f>
        <v>0</v>
      </c>
      <c r="G91" s="102"/>
      <c r="H91" s="102"/>
      <c r="I91" s="102"/>
      <c r="J91" s="102"/>
      <c r="K91" s="102"/>
      <c r="L91" s="102"/>
      <c r="M91" s="102"/>
      <c r="N91" s="102"/>
      <c r="O91" s="102"/>
    </row>
    <row r="92" customFormat="false" ht="15" hidden="false" customHeight="true" outlineLevel="0" collapsed="false">
      <c r="A92" s="102"/>
      <c r="B92" s="123" t="n">
        <v>15</v>
      </c>
      <c r="C92" s="143" t="n">
        <f aca="false">E64</f>
        <v>0.00315789473684211</v>
      </c>
      <c r="D92" s="143" t="n">
        <f aca="false">$C$75</f>
        <v>0.00831896551724138</v>
      </c>
      <c r="E92" s="143" t="n">
        <f aca="false">F64</f>
        <v>0.0171965356954265</v>
      </c>
      <c r="F92" s="143" t="n">
        <f aca="false">G64</f>
        <v>0</v>
      </c>
      <c r="G92" s="102"/>
      <c r="H92" s="102"/>
      <c r="I92" s="102"/>
      <c r="J92" s="102"/>
      <c r="K92" s="102"/>
      <c r="L92" s="102"/>
      <c r="M92" s="102"/>
      <c r="N92" s="102"/>
      <c r="O92" s="102"/>
    </row>
    <row r="93" customFormat="false" ht="15" hidden="false" customHeight="true" outlineLevel="0" collapsed="false">
      <c r="A93" s="102"/>
      <c r="B93" s="123" t="n">
        <v>16</v>
      </c>
      <c r="C93" s="143" t="n">
        <f aca="false">E65</f>
        <v>0.00117647058823529</v>
      </c>
      <c r="D93" s="143" t="n">
        <f aca="false">$C$75</f>
        <v>0.00831896551724138</v>
      </c>
      <c r="E93" s="143" t="n">
        <f aca="false">F65</f>
        <v>0.0177042286622045</v>
      </c>
      <c r="F93" s="143" t="n">
        <f aca="false">G65</f>
        <v>0</v>
      </c>
      <c r="G93" s="102"/>
      <c r="H93" s="102"/>
      <c r="I93" s="102"/>
      <c r="J93" s="102"/>
      <c r="K93" s="102"/>
      <c r="L93" s="102"/>
      <c r="M93" s="102"/>
      <c r="N93" s="102"/>
      <c r="O93" s="102"/>
    </row>
    <row r="94" customFormat="false" ht="15" hidden="false" customHeight="true" outlineLevel="0" collapsed="false">
      <c r="A94" s="102"/>
      <c r="B94" s="123" t="n">
        <v>17</v>
      </c>
      <c r="C94" s="143" t="n">
        <f aca="false">E66</f>
        <v>0.008</v>
      </c>
      <c r="D94" s="143" t="n">
        <f aca="false">$C$75</f>
        <v>0.00831896551724138</v>
      </c>
      <c r="E94" s="143" t="n">
        <f aca="false">F66</f>
        <v>0.0169717505980794</v>
      </c>
      <c r="F94" s="143" t="n">
        <f aca="false">G66</f>
        <v>0</v>
      </c>
      <c r="G94" s="102"/>
      <c r="H94" s="102"/>
      <c r="I94" s="102"/>
      <c r="J94" s="102"/>
      <c r="K94" s="102"/>
      <c r="L94" s="102"/>
      <c r="M94" s="102"/>
      <c r="N94" s="102"/>
      <c r="O94" s="102"/>
    </row>
    <row r="95" customFormat="false" ht="15" hidden="false" customHeight="true" outlineLevel="0" collapsed="false">
      <c r="A95" s="102"/>
      <c r="B95" s="123" t="n">
        <v>18</v>
      </c>
      <c r="C95" s="143" t="n">
        <f aca="false">E67</f>
        <v>0.00952380952380953</v>
      </c>
      <c r="D95" s="143" t="n">
        <f aca="false">$C$75</f>
        <v>0.00831896551724138</v>
      </c>
      <c r="E95" s="143" t="n">
        <f aca="false">F67</f>
        <v>0.0167632191088392</v>
      </c>
      <c r="F95" s="143" t="n">
        <f aca="false">G67</f>
        <v>0</v>
      </c>
      <c r="G95" s="102"/>
      <c r="H95" s="102"/>
      <c r="I95" s="102"/>
      <c r="J95" s="102"/>
      <c r="K95" s="102"/>
      <c r="L95" s="102"/>
      <c r="M95" s="102"/>
      <c r="N95" s="102"/>
      <c r="O95" s="102"/>
    </row>
    <row r="96" customFormat="false" ht="15" hidden="false" customHeight="true" outlineLevel="0" collapsed="false">
      <c r="A96" s="102"/>
      <c r="B96" s="123" t="n">
        <v>19</v>
      </c>
      <c r="C96" s="143" t="n">
        <f aca="false">E68</f>
        <v>0.00526315789473684</v>
      </c>
      <c r="D96" s="143" t="n">
        <f aca="false">$C$75</f>
        <v>0.00831896551724138</v>
      </c>
      <c r="E96" s="143" t="n">
        <f aca="false">F68</f>
        <v>0.0171965356954265</v>
      </c>
      <c r="F96" s="143" t="n">
        <f aca="false">G68</f>
        <v>0</v>
      </c>
      <c r="G96" s="102"/>
      <c r="H96" s="102"/>
      <c r="I96" s="102"/>
      <c r="J96" s="102"/>
      <c r="K96" s="102"/>
      <c r="L96" s="102"/>
      <c r="M96" s="102"/>
      <c r="N96" s="102"/>
      <c r="O96" s="102"/>
    </row>
    <row r="97" customFormat="false" ht="15" hidden="false" customHeight="true" outlineLevel="0" collapsed="false">
      <c r="A97" s="102"/>
      <c r="B97" s="123" t="n">
        <v>20</v>
      </c>
      <c r="C97" s="143" t="n">
        <f aca="false">E69</f>
        <v>0.01</v>
      </c>
      <c r="D97" s="143" t="n">
        <f aca="false">$C$75</f>
        <v>0.00831896551724138</v>
      </c>
      <c r="E97" s="143" t="n">
        <f aca="false">F69</f>
        <v>0.0174398018370321</v>
      </c>
      <c r="F97" s="143" t="n">
        <f aca="false">G69</f>
        <v>0</v>
      </c>
      <c r="G97" s="102"/>
      <c r="H97" s="102"/>
      <c r="I97" s="102"/>
      <c r="J97" s="102"/>
      <c r="K97" s="102"/>
      <c r="L97" s="102"/>
      <c r="M97" s="102"/>
      <c r="N97" s="102"/>
      <c r="O97" s="102"/>
    </row>
    <row r="98" customFormat="false" ht="15" hidden="false" customHeight="true" outlineLevel="0" collapsed="false">
      <c r="A98" s="102"/>
      <c r="B98" s="123" t="n">
        <v>21</v>
      </c>
      <c r="C98" s="143" t="n">
        <f aca="false">E70</f>
        <v>0.00857142857142857</v>
      </c>
      <c r="D98" s="143" t="n">
        <f aca="false">$C$75</f>
        <v>0.00831896551724138</v>
      </c>
      <c r="E98" s="143" t="n">
        <f aca="false">F70</f>
        <v>0.0167632191088392</v>
      </c>
      <c r="F98" s="143" t="n">
        <f aca="false">G70</f>
        <v>0</v>
      </c>
      <c r="G98" s="102"/>
      <c r="H98" s="102"/>
      <c r="I98" s="102"/>
      <c r="J98" s="102"/>
      <c r="K98" s="102"/>
      <c r="L98" s="102"/>
      <c r="M98" s="102"/>
      <c r="N98" s="102"/>
      <c r="O98" s="102"/>
    </row>
    <row r="99" customFormat="false" ht="15" hidden="false" customHeight="true" outlineLevel="0" collapsed="false">
      <c r="A99" s="102"/>
      <c r="B99" s="123" t="n">
        <v>22</v>
      </c>
      <c r="C99" s="143" t="n">
        <f aca="false">E71</f>
        <v>0.00363636363636364</v>
      </c>
      <c r="D99" s="143" t="n">
        <f aca="false">$C$75</f>
        <v>0.00831896551724138</v>
      </c>
      <c r="E99" s="143" t="n">
        <f aca="false">F71</f>
        <v>0.0165690723846028</v>
      </c>
      <c r="F99" s="143" t="n">
        <f aca="false">G71</f>
        <v>6.88586498799621E-005</v>
      </c>
      <c r="G99" s="102"/>
      <c r="H99" s="102"/>
      <c r="I99" s="102"/>
      <c r="J99" s="102"/>
      <c r="K99" s="102"/>
      <c r="L99" s="102"/>
      <c r="M99" s="102"/>
      <c r="N99" s="102"/>
      <c r="O99" s="102"/>
    </row>
    <row r="100" customFormat="false" ht="15" hidden="false" customHeight="true" outlineLevel="0" collapsed="false">
      <c r="A100" s="102"/>
      <c r="B100" s="123" t="n">
        <v>23</v>
      </c>
      <c r="C100" s="143" t="n">
        <f aca="false">E72</f>
        <v>0.00857142857142857</v>
      </c>
      <c r="D100" s="143" t="n">
        <f aca="false">$C$75</f>
        <v>0.00831896551724138</v>
      </c>
      <c r="E100" s="143" t="n">
        <f aca="false">F72</f>
        <v>0.0167632191088392</v>
      </c>
      <c r="F100" s="143" t="n">
        <f aca="false">G72</f>
        <v>0</v>
      </c>
      <c r="G100" s="102"/>
      <c r="H100" s="102"/>
      <c r="I100" s="102"/>
      <c r="J100" s="102"/>
      <c r="K100" s="102"/>
      <c r="L100" s="102"/>
      <c r="M100" s="102"/>
      <c r="N100" s="102"/>
      <c r="O100" s="102"/>
    </row>
    <row r="101" customFormat="false" ht="15" hidden="false" customHeight="true" outlineLevel="0" collapsed="false">
      <c r="A101" s="102"/>
      <c r="B101" s="123" t="n">
        <v>24</v>
      </c>
      <c r="C101" s="143" t="n">
        <f aca="false">E73</f>
        <v>0.006</v>
      </c>
      <c r="D101" s="143" t="n">
        <f aca="false">$C$75</f>
        <v>0.00831896551724138</v>
      </c>
      <c r="E101" s="143" t="n">
        <f aca="false">F73</f>
        <v>0.0169717505980794</v>
      </c>
      <c r="F101" s="143" t="n">
        <f aca="false">G73</f>
        <v>0</v>
      </c>
      <c r="G101" s="102"/>
      <c r="H101" s="102"/>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 hidden="false" customHeight="true" outlineLevel="0" collapsed="false">
      <c r="A120" s="102"/>
      <c r="B120" s="102"/>
      <c r="C120" s="102"/>
      <c r="D120" s="102"/>
      <c r="E120" s="102"/>
      <c r="F120" s="102"/>
      <c r="G120" s="102"/>
      <c r="H120" s="102"/>
      <c r="I120" s="102"/>
      <c r="J120" s="102"/>
      <c r="K120" s="102"/>
      <c r="L120" s="102"/>
      <c r="M120" s="102"/>
      <c r="N120" s="102"/>
      <c r="O120" s="102"/>
    </row>
    <row r="121" customFormat="false" ht="17.25" hidden="false" customHeight="true" outlineLevel="0" collapsed="false">
      <c r="A121" s="102"/>
      <c r="B121" s="107" t="s">
        <v>6044</v>
      </c>
      <c r="C121" s="107"/>
      <c r="D121" s="107"/>
      <c r="E121" s="107"/>
      <c r="F121" s="107"/>
      <c r="G121" s="107"/>
      <c r="H121" s="107"/>
      <c r="I121" s="102"/>
      <c r="J121" s="102"/>
      <c r="K121" s="102"/>
      <c r="L121" s="102"/>
      <c r="M121" s="102"/>
      <c r="N121" s="102"/>
      <c r="O121" s="102"/>
    </row>
    <row r="122" customFormat="false" ht="15" hidden="false" customHeight="true" outlineLevel="0" collapsed="false">
      <c r="A122" s="102"/>
      <c r="B122" s="105" t="s">
        <v>6045</v>
      </c>
      <c r="C122" s="142" t="n">
        <f aca="false">AVERAGE(C50:C73)</f>
        <v>966.666666666667</v>
      </c>
      <c r="D122" s="102"/>
      <c r="E122" s="102"/>
      <c r="F122" s="102"/>
      <c r="G122" s="102"/>
      <c r="H122" s="102"/>
      <c r="I122" s="102"/>
      <c r="J122" s="102"/>
      <c r="K122" s="102"/>
      <c r="L122" s="102"/>
      <c r="M122" s="102"/>
      <c r="N122" s="102"/>
      <c r="O122" s="102"/>
    </row>
    <row r="123" customFormat="false" ht="15" hidden="false" customHeight="true" outlineLevel="0" collapsed="false">
      <c r="A123" s="102"/>
      <c r="B123" s="105" t="s">
        <v>6046</v>
      </c>
      <c r="C123" s="133" t="n">
        <f aca="false">C122*C75</f>
        <v>8.04166666666667</v>
      </c>
      <c r="D123" s="102"/>
      <c r="E123" s="102"/>
      <c r="F123" s="102"/>
      <c r="G123" s="102"/>
      <c r="H123" s="102"/>
      <c r="I123" s="102"/>
      <c r="J123" s="102"/>
      <c r="K123" s="102"/>
      <c r="L123" s="102"/>
      <c r="M123" s="102"/>
      <c r="N123" s="102"/>
      <c r="O123" s="102"/>
    </row>
    <row r="124" customFormat="false" ht="15" hidden="false" customHeight="true" outlineLevel="0" collapsed="false">
      <c r="A124" s="102"/>
      <c r="B124" s="105" t="s">
        <v>6047</v>
      </c>
      <c r="C124" s="133" t="n">
        <f aca="false">C123+3*SQRT(C123)</f>
        <v>16.5490164302534</v>
      </c>
      <c r="D124" s="102"/>
      <c r="E124" s="102"/>
      <c r="F124" s="102"/>
      <c r="G124" s="102"/>
      <c r="H124" s="102"/>
      <c r="I124" s="102"/>
      <c r="J124" s="102"/>
      <c r="K124" s="102"/>
      <c r="L124" s="102"/>
      <c r="M124" s="102"/>
      <c r="N124" s="102"/>
      <c r="O124" s="102"/>
    </row>
    <row r="125" customFormat="false" ht="15" hidden="false" customHeight="true" outlineLevel="0" collapsed="false">
      <c r="A125" s="102"/>
      <c r="B125" s="105" t="s">
        <v>6048</v>
      </c>
      <c r="C125" s="133" t="n">
        <f aca="false">MAX(0,C123-3*SQRT(C123))</f>
        <v>0</v>
      </c>
      <c r="D125" s="102"/>
      <c r="E125" s="102"/>
      <c r="F125" s="102"/>
      <c r="G125" s="102"/>
      <c r="H125" s="102"/>
      <c r="I125" s="102"/>
      <c r="J125" s="102"/>
      <c r="K125" s="102"/>
      <c r="L125" s="102"/>
      <c r="M125" s="102"/>
      <c r="N125" s="102"/>
      <c r="O125" s="102"/>
    </row>
    <row r="126" customFormat="false" ht="15" hidden="false" customHeight="true" outlineLevel="0" collapsed="false">
      <c r="A126" s="102"/>
      <c r="B126" s="102"/>
      <c r="C126" s="102"/>
      <c r="D126" s="102"/>
      <c r="E126" s="102"/>
      <c r="F126" s="102"/>
      <c r="G126" s="102"/>
      <c r="H126" s="102"/>
      <c r="I126" s="102"/>
      <c r="J126" s="102"/>
      <c r="K126" s="102"/>
      <c r="L126" s="102"/>
      <c r="M126" s="102"/>
      <c r="N126" s="102"/>
      <c r="O126" s="102"/>
    </row>
    <row r="127" customFormat="false" ht="15.75" hidden="false" customHeight="true" outlineLevel="0" collapsed="false">
      <c r="A127" s="102"/>
      <c r="B127" s="103" t="s">
        <v>1493</v>
      </c>
      <c r="C127" s="104"/>
      <c r="D127" s="104"/>
      <c r="E127" s="104"/>
      <c r="F127" s="104"/>
      <c r="G127" s="104"/>
      <c r="H127" s="104"/>
      <c r="I127" s="104"/>
      <c r="J127" s="104"/>
      <c r="K127" s="104"/>
      <c r="L127" s="102"/>
      <c r="M127" s="102"/>
      <c r="N127" s="102"/>
      <c r="O127" s="102"/>
    </row>
    <row r="128" customFormat="false" ht="33.75" hidden="false" customHeight="true" outlineLevel="0" collapsed="false">
      <c r="A128" s="102"/>
      <c r="B128" s="105" t="s">
        <v>1494</v>
      </c>
      <c r="C128" s="117" t="str">
        <f aca="false">IF(COUNTIF(H50:H73,"OK")=(73-50+1),"All pallets inside the u-chart limits (ubar = "&amp;TEXT(C75,"0.00000")&amp;") - defect rate appears stable.","At least one pallet outside the u-chart limits (ubar = "&amp;TEXT(C75,"0.00000")&amp;"). Investigate the flagged pallet(s) before adjusting the process.")</f>
        <v>At least one pallet outside the u-chart limits (ubar = 0.00832). Investigate the flagged pallet(s) before adjusting the process.</v>
      </c>
      <c r="D128" s="117"/>
      <c r="E128" s="117"/>
      <c r="F128" s="117"/>
      <c r="G128" s="117"/>
      <c r="H128" s="102"/>
      <c r="I128" s="102"/>
      <c r="J128" s="102"/>
      <c r="K128" s="102"/>
      <c r="L128" s="102"/>
      <c r="M128" s="102"/>
      <c r="N128" s="102"/>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6.5" hidden="false" customHeight="true" outlineLevel="0" collapsed="false">
      <c r="A130" s="102"/>
      <c r="B130" s="108" t="s">
        <v>1495</v>
      </c>
      <c r="C130" s="108" t="s">
        <v>1496</v>
      </c>
      <c r="D130" s="108" t="s">
        <v>1497</v>
      </c>
      <c r="E130" s="102"/>
      <c r="F130" s="102"/>
      <c r="G130" s="102"/>
      <c r="H130" s="102"/>
      <c r="I130" s="102"/>
      <c r="J130" s="102"/>
      <c r="K130" s="102"/>
      <c r="L130" s="102"/>
      <c r="M130" s="102"/>
      <c r="N130" s="102"/>
      <c r="O130" s="102"/>
    </row>
    <row r="131" customFormat="false" ht="30.75" hidden="false" customHeight="true" outlineLevel="0" collapsed="false">
      <c r="A131" s="102"/>
      <c r="B131" s="110" t="s">
        <v>6049</v>
      </c>
      <c r="C131" s="111" t="s">
        <v>6050</v>
      </c>
      <c r="D131" s="15" t="s">
        <v>6051</v>
      </c>
      <c r="E131" s="102"/>
      <c r="F131" s="102"/>
      <c r="G131" s="102"/>
      <c r="H131" s="102"/>
      <c r="I131" s="102"/>
      <c r="J131" s="102"/>
      <c r="K131" s="102"/>
      <c r="L131" s="102"/>
      <c r="M131" s="102"/>
      <c r="N131" s="102"/>
      <c r="O131" s="102"/>
    </row>
    <row r="132" customFormat="false" ht="30.75" hidden="false" customHeight="true" outlineLevel="0" collapsed="false">
      <c r="A132" s="102"/>
      <c r="B132" s="110" t="s">
        <v>6052</v>
      </c>
      <c r="C132" s="111" t="s">
        <v>6053</v>
      </c>
      <c r="D132" s="15" t="s">
        <v>6054</v>
      </c>
      <c r="E132" s="102"/>
      <c r="F132" s="102"/>
      <c r="G132" s="102"/>
      <c r="H132" s="102"/>
      <c r="I132" s="102"/>
      <c r="J132" s="102"/>
      <c r="K132" s="102"/>
      <c r="L132" s="102"/>
      <c r="M132" s="102"/>
      <c r="N132" s="102"/>
      <c r="O132" s="102"/>
    </row>
    <row r="133" customFormat="false" ht="30.75" hidden="false" customHeight="true" outlineLevel="0" collapsed="false">
      <c r="A133" s="102"/>
      <c r="B133" s="110" t="s">
        <v>6055</v>
      </c>
      <c r="C133" s="111" t="s">
        <v>6056</v>
      </c>
      <c r="D133" s="15" t="s">
        <v>6057</v>
      </c>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5" t="s">
        <v>1507</v>
      </c>
      <c r="C135" s="102"/>
      <c r="D135" s="102"/>
      <c r="E135" s="102"/>
      <c r="F135" s="102"/>
      <c r="G135" s="102"/>
      <c r="H135" s="102"/>
      <c r="I135" s="102"/>
      <c r="J135" s="102"/>
      <c r="K135" s="102"/>
      <c r="L135" s="102"/>
      <c r="M135" s="102"/>
      <c r="N135" s="102"/>
      <c r="O135" s="102"/>
    </row>
    <row r="136" customFormat="false" ht="17.25" hidden="false" customHeight="true" outlineLevel="0" collapsed="false">
      <c r="A136" s="102"/>
      <c r="B136" s="106" t="s">
        <v>6058</v>
      </c>
      <c r="C136" s="106"/>
      <c r="D136" s="106"/>
      <c r="E136" s="106"/>
      <c r="F136" s="106"/>
      <c r="G136" s="106"/>
      <c r="H136" s="106"/>
      <c r="I136" s="102"/>
      <c r="J136" s="102"/>
      <c r="K136" s="102"/>
      <c r="L136" s="102"/>
      <c r="M136" s="102"/>
      <c r="N136" s="102"/>
      <c r="O136" s="102"/>
    </row>
    <row r="137" customFormat="false" ht="31.5" hidden="false" customHeight="true" outlineLevel="0" collapsed="false">
      <c r="A137" s="102"/>
      <c r="B137" s="106" t="s">
        <v>6059</v>
      </c>
      <c r="C137" s="106"/>
      <c r="D137" s="106"/>
      <c r="E137" s="106"/>
      <c r="F137" s="106"/>
      <c r="G137" s="106"/>
      <c r="H137" s="106"/>
      <c r="I137" s="102"/>
      <c r="J137" s="102"/>
      <c r="K137" s="102"/>
      <c r="L137" s="102"/>
      <c r="M137" s="102"/>
      <c r="N137" s="102"/>
      <c r="O137" s="102"/>
    </row>
    <row r="138" customFormat="false" ht="16.5" hidden="false" customHeight="true" outlineLevel="0" collapsed="false">
      <c r="A138" s="102"/>
      <c r="B138" s="122" t="s">
        <v>6060</v>
      </c>
      <c r="C138" s="102"/>
      <c r="D138" s="102"/>
      <c r="E138" s="102"/>
      <c r="F138" s="102"/>
      <c r="G138" s="102"/>
      <c r="H138" s="102"/>
      <c r="I138" s="102"/>
      <c r="J138" s="102"/>
      <c r="K138" s="102"/>
      <c r="L138" s="102"/>
      <c r="M138" s="102"/>
      <c r="N138" s="102"/>
      <c r="O138" s="102"/>
    </row>
    <row r="139" customFormat="false" ht="17.25" hidden="false" customHeight="true" outlineLevel="0" collapsed="false">
      <c r="A139" s="102"/>
      <c r="B139" s="106" t="s">
        <v>6061</v>
      </c>
      <c r="C139" s="106"/>
      <c r="D139" s="106"/>
      <c r="E139" s="106"/>
      <c r="F139" s="106"/>
      <c r="G139" s="106"/>
      <c r="H139" s="106"/>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75" hidden="false" customHeight="true" outlineLevel="0" collapsed="false">
      <c r="A141" s="102"/>
      <c r="B141" s="103" t="s">
        <v>1513</v>
      </c>
      <c r="C141" s="104"/>
      <c r="D141" s="104"/>
      <c r="E141" s="104"/>
      <c r="F141" s="104"/>
      <c r="G141" s="104"/>
      <c r="H141" s="104"/>
      <c r="I141" s="104"/>
      <c r="J141" s="104"/>
      <c r="K141" s="104"/>
      <c r="L141" s="102"/>
      <c r="M141" s="102"/>
      <c r="N141" s="102"/>
      <c r="O141" s="102"/>
    </row>
    <row r="142" customFormat="false" ht="17.25" hidden="false" customHeight="true" outlineLevel="0" collapsed="false">
      <c r="A142" s="102"/>
      <c r="B142" s="118" t="s">
        <v>1514</v>
      </c>
      <c r="C142" s="118"/>
      <c r="D142" s="118"/>
      <c r="E142" s="118"/>
      <c r="F142" s="118"/>
      <c r="G142" s="102"/>
      <c r="H142" s="102"/>
      <c r="I142" s="102"/>
      <c r="J142" s="102"/>
      <c r="K142" s="102"/>
      <c r="L142" s="102"/>
      <c r="M142" s="102"/>
      <c r="N142" s="119" t="s">
        <v>1515</v>
      </c>
      <c r="O142" s="102"/>
    </row>
    <row r="143" customFormat="false" ht="44.25" hidden="false" customHeight="true" outlineLevel="0" collapsed="false">
      <c r="A143" s="102"/>
      <c r="B143" s="106" t="s">
        <v>6062</v>
      </c>
      <c r="C143" s="106"/>
      <c r="D143" s="106"/>
      <c r="E143" s="106"/>
      <c r="F143" s="106"/>
      <c r="G143" s="102"/>
      <c r="H143" s="102"/>
      <c r="I143" s="102"/>
      <c r="J143" s="102"/>
      <c r="K143" s="102"/>
      <c r="L143" s="102"/>
      <c r="M143" s="102"/>
      <c r="N143" s="120" t="s">
        <v>6063</v>
      </c>
      <c r="O143" s="102"/>
    </row>
    <row r="144" customFormat="false" ht="44.25" hidden="false" customHeight="true" outlineLevel="0" collapsed="false">
      <c r="A144" s="102"/>
      <c r="B144" s="106" t="s">
        <v>6064</v>
      </c>
      <c r="C144" s="106"/>
      <c r="D144" s="106"/>
      <c r="E144" s="106"/>
      <c r="F144" s="106"/>
      <c r="G144" s="102"/>
      <c r="H144" s="102"/>
      <c r="I144" s="102"/>
      <c r="J144" s="102"/>
      <c r="K144" s="102"/>
      <c r="L144" s="102"/>
      <c r="M144" s="102"/>
      <c r="N144" s="120" t="s">
        <v>6065</v>
      </c>
      <c r="O144" s="102"/>
    </row>
    <row r="145" customFormat="false" ht="44.25" hidden="false" customHeight="true" outlineLevel="0" collapsed="false">
      <c r="A145" s="102"/>
      <c r="B145" s="106" t="s">
        <v>6066</v>
      </c>
      <c r="C145" s="106"/>
      <c r="D145" s="106"/>
      <c r="E145" s="106"/>
      <c r="F145" s="106"/>
      <c r="G145" s="102"/>
      <c r="H145" s="102"/>
      <c r="I145" s="102"/>
      <c r="J145" s="102"/>
      <c r="K145" s="102"/>
      <c r="L145" s="102"/>
      <c r="M145" s="102"/>
      <c r="N145" s="120" t="s">
        <v>6067</v>
      </c>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75" hidden="false" customHeight="true" outlineLevel="0" collapsed="false">
      <c r="A147" s="102"/>
      <c r="B147" s="103" t="s">
        <v>1522</v>
      </c>
      <c r="C147" s="104"/>
      <c r="D147" s="104"/>
      <c r="E147" s="104"/>
      <c r="F147" s="104"/>
      <c r="G147" s="104"/>
      <c r="H147" s="104"/>
      <c r="I147" s="104"/>
      <c r="J147" s="104"/>
      <c r="K147" s="104"/>
      <c r="L147" s="102"/>
      <c r="M147" s="102"/>
      <c r="N147" s="102"/>
      <c r="O147" s="102"/>
    </row>
    <row r="148" customFormat="false" ht="16.5" hidden="false" customHeight="true" outlineLevel="0" collapsed="false">
      <c r="A148" s="102"/>
      <c r="B148" s="108" t="s">
        <v>1523</v>
      </c>
      <c r="C148" s="108" t="s">
        <v>1524</v>
      </c>
      <c r="D148" s="108" t="s">
        <v>1615</v>
      </c>
      <c r="E148" s="102"/>
      <c r="F148" s="102"/>
      <c r="G148" s="102"/>
      <c r="H148" s="102"/>
      <c r="I148" s="102"/>
      <c r="J148" s="102"/>
      <c r="K148" s="102"/>
      <c r="L148" s="102"/>
      <c r="M148" s="102"/>
      <c r="N148" s="102"/>
      <c r="O148" s="102"/>
    </row>
    <row r="149" customFormat="false" ht="15" hidden="false" customHeight="true" outlineLevel="0" collapsed="false">
      <c r="A149" s="102"/>
      <c r="B149" s="121" t="s">
        <v>1072</v>
      </c>
      <c r="C149" s="121" t="s">
        <v>2300</v>
      </c>
      <c r="D149" s="121" t="s">
        <v>1093</v>
      </c>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30">
    <mergeCell ref="B2:J2"/>
    <mergeCell ref="D3:E3"/>
    <mergeCell ref="C6:G6"/>
    <mergeCell ref="C7:G7"/>
    <mergeCell ref="C8:G8"/>
    <mergeCell ref="B11:H13"/>
    <mergeCell ref="B14:H17"/>
    <mergeCell ref="B18:H19"/>
    <mergeCell ref="B22:D22"/>
    <mergeCell ref="E22:F22"/>
    <mergeCell ref="B23:D23"/>
    <mergeCell ref="E23:F23"/>
    <mergeCell ref="B24:D24"/>
    <mergeCell ref="E24:F24"/>
    <mergeCell ref="B25:D25"/>
    <mergeCell ref="E25:F25"/>
    <mergeCell ref="B33:H34"/>
    <mergeCell ref="B35:H36"/>
    <mergeCell ref="B37:H37"/>
    <mergeCell ref="B46:H46"/>
    <mergeCell ref="C47:D47"/>
    <mergeCell ref="B121:H121"/>
    <mergeCell ref="C128:G128"/>
    <mergeCell ref="B136:H136"/>
    <mergeCell ref="B137:H137"/>
    <mergeCell ref="B139:H139"/>
    <mergeCell ref="B142:F142"/>
    <mergeCell ref="B143:F143"/>
    <mergeCell ref="B144:F144"/>
    <mergeCell ref="B145:F145"/>
  </mergeCells>
  <hyperlinks>
    <hyperlink ref="B3" location="'N-03 Index DMAIC'!A1" display="← Back to Index"/>
    <hyperlink ref="E28" location="'E-11 Poisson Distribution'!A1" display="E-11  Poisson Distribution (Defects per Unit)"/>
    <hyperlink ref="E29" location="'E-05 Sampling Subgroups'!A1" display="E-05  Sampling Strategies and Rational Subgrouping"/>
    <hyperlink ref="E30" location="'E-11 Poisson Distribution'!A1" display="E-11  Poisson Distribution (Defects per Unit)"/>
    <hyperlink ref="B149" location="'E-52 p and np Charts'!A1" display="E-52  p and np Charts"/>
    <hyperlink ref="C149" location="'E-54 Laney p and u Charts'!A1" display="E-54  Laney p' and u' Charts (Overdispersion)"/>
    <hyperlink ref="D149" location="'E-11 Poisson Distribution'!A1" display="E-11  Poisson Distribution (Defects per Uni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6068</v>
      </c>
      <c r="C2" s="3"/>
      <c r="D2" s="3"/>
      <c r="E2" s="3"/>
      <c r="F2" s="3"/>
      <c r="G2" s="3"/>
      <c r="H2" s="3"/>
      <c r="I2" s="3"/>
      <c r="J2" s="3"/>
      <c r="K2" s="141" t="s">
        <v>5631</v>
      </c>
    </row>
    <row r="3" customFormat="false" ht="28.5" hidden="false" customHeight="true" outlineLevel="0" collapsed="false">
      <c r="B3" s="5" t="s">
        <v>3</v>
      </c>
      <c r="D3" s="6" t="s">
        <v>6069</v>
      </c>
      <c r="E3" s="6"/>
      <c r="F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6070</v>
      </c>
      <c r="D6" s="106"/>
      <c r="E6" s="106"/>
      <c r="F6" s="106"/>
      <c r="G6" s="106"/>
      <c r="H6" s="102"/>
      <c r="I6" s="102"/>
      <c r="J6" s="102"/>
      <c r="K6" s="102"/>
      <c r="L6" s="102"/>
      <c r="M6" s="102"/>
      <c r="N6" s="102"/>
      <c r="O6" s="102"/>
    </row>
    <row r="7" customFormat="false" ht="17.25" hidden="false" customHeight="true" outlineLevel="0" collapsed="false">
      <c r="A7" s="102"/>
      <c r="B7" s="105" t="s">
        <v>1394</v>
      </c>
      <c r="C7" s="106" t="s">
        <v>6071</v>
      </c>
      <c r="D7" s="106"/>
      <c r="E7" s="106"/>
      <c r="F7" s="106"/>
      <c r="G7" s="106"/>
      <c r="H7" s="102"/>
      <c r="I7" s="102"/>
      <c r="J7" s="102"/>
      <c r="K7" s="102"/>
      <c r="L7" s="102"/>
      <c r="M7" s="102"/>
      <c r="N7" s="102"/>
      <c r="O7" s="102"/>
    </row>
    <row r="8" customFormat="false" ht="31.5" hidden="false" customHeight="true" outlineLevel="0" collapsed="false">
      <c r="A8" s="102"/>
      <c r="B8" s="105" t="s">
        <v>1396</v>
      </c>
      <c r="C8" s="106" t="s">
        <v>6072</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7.25" hidden="false" customHeight="true" outlineLevel="0" collapsed="false">
      <c r="A11" s="102"/>
      <c r="B11" s="106" t="s">
        <v>6073</v>
      </c>
      <c r="C11" s="106"/>
      <c r="D11" s="106"/>
      <c r="E11" s="106"/>
      <c r="F11" s="106"/>
      <c r="G11" s="106"/>
      <c r="H11" s="106"/>
      <c r="I11" s="102"/>
      <c r="J11" s="102"/>
      <c r="K11" s="102"/>
      <c r="L11" s="102"/>
      <c r="M11" s="102"/>
      <c r="N11" s="102"/>
      <c r="O11" s="102"/>
    </row>
    <row r="12" customFormat="false" ht="11.25" hidden="false" customHeight="true" outlineLevel="0" collapsed="false">
      <c r="A12" s="102"/>
      <c r="B12" s="106" t="s">
        <v>6074</v>
      </c>
      <c r="C12" s="106"/>
      <c r="D12" s="106"/>
      <c r="E12" s="106"/>
      <c r="F12" s="106"/>
      <c r="G12" s="106"/>
      <c r="H12" s="106"/>
      <c r="I12" s="102"/>
      <c r="J12" s="102"/>
      <c r="K12" s="102"/>
      <c r="L12" s="102"/>
      <c r="M12" s="102"/>
      <c r="N12" s="102"/>
      <c r="O12" s="102"/>
    </row>
    <row r="13" customFormat="false" ht="11.25" hidden="false" customHeight="true" outlineLevel="0" collapsed="false">
      <c r="A13" s="102"/>
      <c r="B13" s="106"/>
      <c r="C13" s="106"/>
      <c r="D13" s="106"/>
      <c r="E13" s="106"/>
      <c r="F13" s="106"/>
      <c r="G13" s="106"/>
      <c r="H13" s="106"/>
      <c r="I13" s="102"/>
      <c r="J13" s="102"/>
      <c r="K13" s="102"/>
      <c r="L13" s="102"/>
      <c r="M13" s="102"/>
      <c r="N13" s="102"/>
      <c r="O13" s="102"/>
    </row>
    <row r="14" customFormat="false" ht="11.25" hidden="false" customHeight="true" outlineLevel="0" collapsed="false">
      <c r="A14" s="102"/>
      <c r="B14" s="106"/>
      <c r="C14" s="106"/>
      <c r="D14" s="106"/>
      <c r="E14" s="106"/>
      <c r="F14" s="106"/>
      <c r="G14" s="106"/>
      <c r="H14" s="106"/>
      <c r="I14" s="102"/>
      <c r="J14" s="102"/>
      <c r="K14" s="102"/>
      <c r="L14" s="102"/>
      <c r="M14" s="102"/>
      <c r="N14" s="102"/>
      <c r="O14" s="102"/>
    </row>
    <row r="15" customFormat="false" ht="11.25" hidden="false" customHeight="true" outlineLevel="0" collapsed="false">
      <c r="A15" s="102"/>
      <c r="B15" s="106"/>
      <c r="C15" s="106"/>
      <c r="D15" s="106"/>
      <c r="E15" s="106"/>
      <c r="F15" s="106"/>
      <c r="G15" s="106"/>
      <c r="H15" s="106"/>
      <c r="I15" s="102"/>
      <c r="J15" s="102"/>
      <c r="K15" s="102"/>
      <c r="L15" s="102"/>
      <c r="M15" s="102"/>
      <c r="N15" s="102"/>
      <c r="O15" s="102"/>
    </row>
    <row r="16" customFormat="false" ht="15" hidden="false" customHeight="true" outlineLevel="0" collapsed="false">
      <c r="A16" s="102"/>
      <c r="B16" s="106" t="s">
        <v>6075</v>
      </c>
      <c r="C16" s="106"/>
      <c r="D16" s="106"/>
      <c r="E16" s="106"/>
      <c r="F16" s="106"/>
      <c r="G16" s="106"/>
      <c r="H16" s="106"/>
      <c r="I16" s="102"/>
      <c r="J16" s="102"/>
      <c r="K16" s="102"/>
      <c r="L16" s="102"/>
      <c r="M16" s="102"/>
      <c r="N16" s="102"/>
      <c r="O16" s="102"/>
    </row>
    <row r="17" customFormat="false" ht="15" hidden="false" customHeight="true" outlineLevel="0" collapsed="false">
      <c r="A17" s="102"/>
      <c r="B17" s="106"/>
      <c r="C17" s="106"/>
      <c r="D17" s="106"/>
      <c r="E17" s="106"/>
      <c r="F17" s="106"/>
      <c r="G17" s="106"/>
      <c r="H17" s="106"/>
      <c r="I17" s="102"/>
      <c r="J17" s="102"/>
      <c r="K17" s="102"/>
      <c r="L17" s="102"/>
      <c r="M17" s="102"/>
      <c r="N17" s="102"/>
      <c r="O17" s="102"/>
    </row>
    <row r="18" customFormat="false" ht="15" hidden="false" customHeight="true" outlineLevel="0" collapsed="false">
      <c r="A18" s="102"/>
      <c r="B18" s="106"/>
      <c r="C18" s="106"/>
      <c r="D18" s="106"/>
      <c r="E18" s="106"/>
      <c r="F18" s="106"/>
      <c r="G18" s="106"/>
      <c r="H18" s="106"/>
      <c r="I18" s="102"/>
      <c r="J18" s="102"/>
      <c r="K18" s="102"/>
      <c r="L18" s="102"/>
      <c r="M18" s="102"/>
      <c r="N18" s="102"/>
      <c r="O18" s="102"/>
    </row>
    <row r="19" customFormat="false" ht="15" hidden="false" customHeight="true" outlineLevel="0" collapsed="false">
      <c r="A19" s="102"/>
      <c r="B19" s="102"/>
      <c r="C19" s="102"/>
      <c r="D19" s="102"/>
      <c r="E19" s="102"/>
      <c r="F19" s="102"/>
      <c r="G19" s="102"/>
      <c r="H19" s="102"/>
      <c r="I19" s="102"/>
      <c r="J19" s="102"/>
      <c r="K19" s="102"/>
      <c r="L19" s="102"/>
      <c r="M19" s="102"/>
      <c r="N19" s="102"/>
      <c r="O19" s="102"/>
    </row>
    <row r="20" customFormat="false" ht="15.75" hidden="false" customHeight="true" outlineLevel="0" collapsed="false">
      <c r="A20" s="102"/>
      <c r="B20" s="103" t="s">
        <v>1406</v>
      </c>
      <c r="C20" s="104"/>
      <c r="D20" s="104"/>
      <c r="E20" s="104"/>
      <c r="F20" s="104"/>
      <c r="G20" s="104"/>
      <c r="H20" s="104"/>
      <c r="I20" s="104"/>
      <c r="J20" s="104"/>
      <c r="K20" s="104"/>
      <c r="L20" s="102"/>
      <c r="M20" s="102"/>
      <c r="N20" s="102"/>
      <c r="O20" s="102"/>
    </row>
    <row r="21" customFormat="false" ht="17.25" hidden="false" customHeight="true" outlineLevel="0" collapsed="false">
      <c r="A21" s="102"/>
      <c r="B21" s="107" t="s">
        <v>1407</v>
      </c>
      <c r="C21" s="107"/>
      <c r="D21" s="107"/>
      <c r="E21" s="107" t="s">
        <v>1408</v>
      </c>
      <c r="F21" s="107"/>
      <c r="G21" s="107"/>
      <c r="H21" s="107"/>
      <c r="I21" s="102"/>
      <c r="J21" s="102"/>
      <c r="K21" s="102"/>
      <c r="L21" s="102"/>
      <c r="M21" s="102"/>
      <c r="N21" s="102"/>
      <c r="O21" s="102"/>
    </row>
    <row r="22" customFormat="false" ht="31.5" hidden="false" customHeight="true" outlineLevel="0" collapsed="false">
      <c r="A22" s="102"/>
      <c r="B22" s="106" t="s">
        <v>6076</v>
      </c>
      <c r="C22" s="106"/>
      <c r="D22" s="106"/>
      <c r="E22" s="106" t="s">
        <v>6077</v>
      </c>
      <c r="F22" s="106"/>
      <c r="G22" s="106"/>
      <c r="H22" s="106"/>
      <c r="I22" s="102"/>
      <c r="J22" s="102"/>
      <c r="K22" s="102"/>
      <c r="L22" s="102"/>
      <c r="M22" s="102"/>
      <c r="N22" s="102"/>
      <c r="O22" s="102"/>
    </row>
    <row r="23" customFormat="false" ht="45.75" hidden="false" customHeight="true" outlineLevel="0" collapsed="false">
      <c r="A23" s="102"/>
      <c r="B23" s="106" t="s">
        <v>6078</v>
      </c>
      <c r="C23" s="106"/>
      <c r="D23" s="106"/>
      <c r="E23" s="106" t="s">
        <v>6079</v>
      </c>
      <c r="F23" s="106"/>
      <c r="G23" s="106"/>
      <c r="H23" s="106"/>
      <c r="I23" s="102"/>
      <c r="J23" s="102"/>
      <c r="K23" s="102"/>
      <c r="L23" s="102"/>
      <c r="M23" s="102"/>
      <c r="N23" s="102"/>
      <c r="O23" s="102"/>
    </row>
    <row r="24" customFormat="false" ht="17.25" hidden="false" customHeight="true" outlineLevel="0" collapsed="false">
      <c r="A24" s="102"/>
      <c r="B24" s="106" t="s">
        <v>6080</v>
      </c>
      <c r="C24" s="106"/>
      <c r="D24" s="106"/>
      <c r="E24" s="106"/>
      <c r="F24" s="106"/>
      <c r="G24" s="106"/>
      <c r="H24" s="106"/>
      <c r="I24" s="102"/>
      <c r="J24" s="102"/>
      <c r="K24" s="102"/>
      <c r="L24" s="102"/>
      <c r="M24" s="102"/>
      <c r="N24" s="102"/>
      <c r="O24" s="102"/>
    </row>
    <row r="25" customFormat="false" ht="15" hidden="false" customHeight="true" outlineLevel="0" collapsed="false">
      <c r="A25" s="102"/>
      <c r="B25" s="102"/>
      <c r="C25" s="102"/>
      <c r="D25" s="102"/>
      <c r="E25" s="102"/>
      <c r="F25" s="102"/>
      <c r="G25" s="102"/>
      <c r="H25" s="102"/>
      <c r="I25" s="102"/>
      <c r="J25" s="102"/>
      <c r="K25" s="102"/>
      <c r="L25" s="102"/>
      <c r="M25" s="102"/>
      <c r="N25" s="102"/>
      <c r="O25" s="102"/>
    </row>
    <row r="26" customFormat="false" ht="30.75" hidden="false" customHeight="true" outlineLevel="0" collapsed="false">
      <c r="A26" s="102"/>
      <c r="B26" s="108" t="s">
        <v>1416</v>
      </c>
      <c r="C26" s="108" t="s">
        <v>1417</v>
      </c>
      <c r="D26" s="108" t="s">
        <v>1418</v>
      </c>
      <c r="E26" s="108" t="s">
        <v>1419</v>
      </c>
      <c r="F26" s="102"/>
      <c r="G26" s="102"/>
      <c r="H26" s="102"/>
      <c r="I26" s="102"/>
      <c r="J26" s="102"/>
      <c r="K26" s="102"/>
      <c r="L26" s="102"/>
      <c r="M26" s="102"/>
      <c r="N26" s="102"/>
      <c r="O26" s="102"/>
    </row>
    <row r="27" customFormat="false" ht="30.75" hidden="false" customHeight="true" outlineLevel="0" collapsed="false">
      <c r="A27" s="102"/>
      <c r="B27" s="15" t="s">
        <v>6081</v>
      </c>
      <c r="C27" s="15" t="s">
        <v>5787</v>
      </c>
      <c r="D27" s="15" t="s">
        <v>6082</v>
      </c>
      <c r="E27" s="109" t="s">
        <v>973</v>
      </c>
      <c r="F27" s="102"/>
      <c r="G27" s="102"/>
      <c r="H27" s="102"/>
      <c r="I27" s="102"/>
      <c r="J27" s="102"/>
      <c r="K27" s="102"/>
      <c r="L27" s="102"/>
      <c r="M27" s="102"/>
      <c r="N27" s="102"/>
      <c r="O27" s="102"/>
    </row>
    <row r="28" customFormat="false" ht="127.5" hidden="false" customHeight="true" outlineLevel="0" collapsed="false">
      <c r="A28" s="102"/>
      <c r="B28" s="15" t="s">
        <v>6083</v>
      </c>
      <c r="C28" s="15" t="s">
        <v>6084</v>
      </c>
      <c r="D28" s="15" t="s">
        <v>6085</v>
      </c>
      <c r="E28" s="109" t="s">
        <v>1645</v>
      </c>
      <c r="F28" s="102"/>
      <c r="G28" s="102"/>
      <c r="H28" s="102"/>
      <c r="I28" s="102"/>
      <c r="J28" s="102"/>
      <c r="K28" s="102"/>
      <c r="L28" s="102"/>
      <c r="M28" s="102"/>
      <c r="N28" s="102"/>
      <c r="O28" s="102"/>
    </row>
    <row r="29" customFormat="false" ht="58.5" hidden="false" customHeight="true" outlineLevel="0" collapsed="false">
      <c r="A29" s="102"/>
      <c r="B29" s="15" t="s">
        <v>6086</v>
      </c>
      <c r="C29" s="15" t="s">
        <v>6087</v>
      </c>
      <c r="D29" s="15" t="s">
        <v>6088</v>
      </c>
      <c r="E29" s="109" t="s">
        <v>1072</v>
      </c>
      <c r="F29" s="102"/>
      <c r="G29" s="102"/>
      <c r="H29" s="102"/>
      <c r="I29" s="102"/>
      <c r="J29" s="102"/>
      <c r="K29" s="102"/>
      <c r="L29" s="102"/>
      <c r="M29" s="102"/>
      <c r="N29" s="102"/>
      <c r="O29" s="102"/>
    </row>
    <row r="30" customFormat="false" ht="15" hidden="false" customHeight="true" outlineLevel="0" collapsed="false">
      <c r="A30" s="102"/>
      <c r="B30" s="102"/>
      <c r="C30" s="102"/>
      <c r="D30" s="102"/>
      <c r="E30" s="102"/>
      <c r="F30" s="102"/>
      <c r="G30" s="102"/>
      <c r="H30" s="102"/>
      <c r="I30" s="102"/>
      <c r="J30" s="102"/>
      <c r="K30" s="102"/>
      <c r="L30" s="102"/>
      <c r="M30" s="102"/>
      <c r="N30" s="102"/>
      <c r="O30" s="102"/>
    </row>
    <row r="31" customFormat="false" ht="15.75" hidden="false" customHeight="true" outlineLevel="0" collapsed="false">
      <c r="A31" s="102"/>
      <c r="B31" s="103" t="s">
        <v>1429</v>
      </c>
      <c r="C31" s="104"/>
      <c r="D31" s="104"/>
      <c r="E31" s="104"/>
      <c r="F31" s="104"/>
      <c r="G31" s="104"/>
      <c r="H31" s="104"/>
      <c r="I31" s="104"/>
      <c r="J31" s="104"/>
      <c r="K31" s="104"/>
      <c r="L31" s="102"/>
      <c r="M31" s="102"/>
      <c r="N31" s="102"/>
      <c r="O31" s="102"/>
    </row>
    <row r="32" customFormat="false" ht="8.25" hidden="false" customHeight="true" outlineLevel="0" collapsed="false">
      <c r="A32" s="102"/>
      <c r="B32" s="106" t="s">
        <v>6089</v>
      </c>
      <c r="C32" s="106"/>
      <c r="D32" s="106"/>
      <c r="E32" s="106"/>
      <c r="F32" s="106"/>
      <c r="G32" s="106"/>
      <c r="H32" s="106"/>
      <c r="I32" s="102"/>
      <c r="J32" s="102"/>
      <c r="K32" s="102"/>
      <c r="L32" s="102"/>
      <c r="M32" s="102"/>
      <c r="N32" s="102"/>
      <c r="O32" s="102"/>
    </row>
    <row r="33" customFormat="false" ht="8.25" hidden="false" customHeight="true" outlineLevel="0" collapsed="false">
      <c r="A33" s="102"/>
      <c r="B33" s="106"/>
      <c r="C33" s="106"/>
      <c r="D33" s="106"/>
      <c r="E33" s="106"/>
      <c r="F33" s="106"/>
      <c r="G33" s="106"/>
      <c r="H33" s="106"/>
      <c r="I33" s="102"/>
      <c r="J33" s="102"/>
      <c r="K33" s="102"/>
      <c r="L33" s="102"/>
      <c r="M33" s="102"/>
      <c r="N33" s="102"/>
      <c r="O33" s="102"/>
    </row>
    <row r="34" customFormat="false" ht="17.25" hidden="false" customHeight="true" outlineLevel="0" collapsed="false">
      <c r="A34" s="102"/>
      <c r="B34" s="106" t="s">
        <v>6090</v>
      </c>
      <c r="C34" s="106"/>
      <c r="D34" s="106"/>
      <c r="E34" s="106"/>
      <c r="F34" s="106"/>
      <c r="G34" s="106"/>
      <c r="H34" s="106"/>
      <c r="I34" s="102"/>
      <c r="J34" s="102"/>
      <c r="K34" s="102"/>
      <c r="L34" s="102"/>
      <c r="M34" s="102"/>
      <c r="N34" s="102"/>
      <c r="O34" s="102"/>
    </row>
    <row r="35" customFormat="false" ht="17.25" hidden="false" customHeight="true" outlineLevel="0" collapsed="false">
      <c r="A35" s="102"/>
      <c r="B35" s="106" t="s">
        <v>6091</v>
      </c>
      <c r="C35" s="106"/>
      <c r="D35" s="106"/>
      <c r="E35" s="106"/>
      <c r="F35" s="106"/>
      <c r="G35" s="106"/>
      <c r="H35" s="106"/>
      <c r="I35" s="102"/>
      <c r="J35" s="102"/>
      <c r="K35" s="102"/>
      <c r="L35" s="102"/>
      <c r="M35" s="102"/>
      <c r="N35" s="102"/>
      <c r="O35" s="102"/>
    </row>
    <row r="36" customFormat="false" ht="17.25" hidden="false" customHeight="true" outlineLevel="0" collapsed="false">
      <c r="A36" s="102"/>
      <c r="B36" s="106" t="s">
        <v>6092</v>
      </c>
      <c r="C36" s="106"/>
      <c r="D36" s="106"/>
      <c r="E36" s="106"/>
      <c r="F36" s="106"/>
      <c r="G36" s="106"/>
      <c r="H36" s="106"/>
      <c r="I36" s="102"/>
      <c r="J36" s="102"/>
      <c r="K36" s="102"/>
      <c r="L36" s="102"/>
      <c r="M36" s="102"/>
      <c r="N36" s="102"/>
      <c r="O36" s="102"/>
    </row>
    <row r="37" customFormat="false" ht="17.25" hidden="false" customHeight="true" outlineLevel="0" collapsed="false">
      <c r="A37" s="102"/>
      <c r="B37" s="106" t="s">
        <v>6093</v>
      </c>
      <c r="C37" s="106"/>
      <c r="D37" s="106"/>
      <c r="E37" s="106"/>
      <c r="F37" s="106"/>
      <c r="G37" s="106"/>
      <c r="H37" s="106"/>
      <c r="I37" s="102"/>
      <c r="J37" s="102"/>
      <c r="K37" s="102"/>
      <c r="L37" s="102"/>
      <c r="M37" s="102"/>
      <c r="N37" s="102"/>
      <c r="O37" s="102"/>
    </row>
    <row r="38" customFormat="false" ht="15.75" hidden="false" customHeight="true" outlineLevel="0" collapsed="false">
      <c r="A38" s="102"/>
      <c r="B38" s="106" t="s">
        <v>6094</v>
      </c>
      <c r="C38" s="106"/>
      <c r="D38" s="106"/>
      <c r="E38" s="106"/>
      <c r="F38" s="106"/>
      <c r="G38" s="106"/>
      <c r="H38" s="106"/>
      <c r="I38" s="102"/>
      <c r="J38" s="102"/>
      <c r="K38" s="102"/>
      <c r="L38" s="102"/>
      <c r="M38" s="102"/>
      <c r="N38" s="102"/>
      <c r="O38" s="102"/>
    </row>
    <row r="39" customFormat="false" ht="15.75" hidden="false" customHeight="true" outlineLevel="0" collapsed="false">
      <c r="A39" s="102"/>
      <c r="B39" s="106"/>
      <c r="C39" s="106"/>
      <c r="D39" s="106"/>
      <c r="E39" s="106"/>
      <c r="F39" s="106"/>
      <c r="G39" s="106"/>
      <c r="H39" s="106"/>
      <c r="I39" s="102"/>
      <c r="J39" s="102"/>
      <c r="K39" s="102"/>
      <c r="L39" s="102"/>
      <c r="M39" s="102"/>
      <c r="N39" s="102"/>
      <c r="O39" s="102"/>
    </row>
    <row r="40" customFormat="false" ht="15" hidden="false" customHeight="true" outlineLevel="0" collapsed="false">
      <c r="A40" s="102"/>
      <c r="B40" s="102"/>
      <c r="C40" s="102"/>
      <c r="D40" s="102"/>
      <c r="E40" s="102"/>
      <c r="F40" s="102"/>
      <c r="G40" s="102"/>
      <c r="H40" s="102"/>
      <c r="I40" s="102"/>
      <c r="J40" s="102"/>
      <c r="K40" s="102"/>
      <c r="L40" s="102"/>
      <c r="M40" s="102"/>
      <c r="N40" s="102"/>
      <c r="O40" s="102"/>
    </row>
    <row r="41" customFormat="false" ht="15.75" hidden="false" customHeight="true" outlineLevel="0" collapsed="false">
      <c r="A41" s="102"/>
      <c r="B41" s="103" t="s">
        <v>1437</v>
      </c>
      <c r="C41" s="104"/>
      <c r="D41" s="104"/>
      <c r="E41" s="104"/>
      <c r="F41" s="104"/>
      <c r="G41" s="104"/>
      <c r="H41" s="104"/>
      <c r="I41" s="104"/>
      <c r="J41" s="104"/>
      <c r="K41" s="104"/>
      <c r="L41" s="102"/>
      <c r="M41" s="102"/>
      <c r="N41" s="102"/>
      <c r="O41" s="102"/>
    </row>
    <row r="42" customFormat="false" ht="16.5" hidden="false" customHeight="true" outlineLevel="0" collapsed="false">
      <c r="A42" s="102"/>
      <c r="B42" s="108" t="s">
        <v>1438</v>
      </c>
      <c r="C42" s="108" t="s">
        <v>1439</v>
      </c>
      <c r="D42" s="108" t="s">
        <v>1440</v>
      </c>
      <c r="E42" s="102"/>
      <c r="F42" s="102"/>
      <c r="G42" s="102"/>
      <c r="H42" s="102"/>
      <c r="I42" s="102"/>
      <c r="J42" s="102"/>
      <c r="K42" s="102"/>
      <c r="L42" s="102"/>
      <c r="M42" s="102"/>
      <c r="N42" s="102"/>
      <c r="O42" s="102"/>
    </row>
    <row r="43" customFormat="false" ht="30.75" hidden="false" customHeight="true" outlineLevel="0" collapsed="false">
      <c r="A43" s="102"/>
      <c r="B43" s="110" t="s">
        <v>1571</v>
      </c>
      <c r="C43" s="111" t="s">
        <v>5973</v>
      </c>
      <c r="D43" s="15" t="s">
        <v>6095</v>
      </c>
      <c r="E43" s="102"/>
      <c r="F43" s="102"/>
      <c r="G43" s="102"/>
      <c r="H43" s="102"/>
      <c r="I43" s="102"/>
      <c r="J43" s="102"/>
      <c r="K43" s="102"/>
      <c r="L43" s="102"/>
      <c r="M43" s="102"/>
      <c r="N43" s="102"/>
      <c r="O43" s="102"/>
    </row>
    <row r="44" customFormat="false" ht="30.75" hidden="false" customHeight="true" outlineLevel="0" collapsed="false">
      <c r="A44" s="102"/>
      <c r="B44" s="110" t="s">
        <v>1577</v>
      </c>
      <c r="C44" s="111" t="s">
        <v>6096</v>
      </c>
      <c r="D44" s="15" t="s">
        <v>6097</v>
      </c>
      <c r="E44" s="102"/>
      <c r="F44" s="102"/>
      <c r="G44" s="102"/>
      <c r="H44" s="102"/>
      <c r="I44" s="102"/>
      <c r="J44" s="102"/>
      <c r="K44" s="102"/>
      <c r="L44" s="102"/>
      <c r="M44" s="102"/>
      <c r="N44" s="102"/>
      <c r="O44" s="102"/>
    </row>
    <row r="45" customFormat="false" ht="16.5" hidden="false" customHeight="true" outlineLevel="0" collapsed="false">
      <c r="A45" s="102"/>
      <c r="B45" s="110" t="s">
        <v>2588</v>
      </c>
      <c r="C45" s="111" t="s">
        <v>5975</v>
      </c>
      <c r="D45" s="15" t="s">
        <v>6098</v>
      </c>
      <c r="E45" s="102"/>
      <c r="F45" s="102"/>
      <c r="G45" s="102"/>
      <c r="H45" s="102"/>
      <c r="I45" s="102"/>
      <c r="J45" s="102"/>
      <c r="K45" s="102"/>
      <c r="L45" s="102"/>
      <c r="M45" s="102"/>
      <c r="N45" s="102"/>
      <c r="O45" s="102"/>
    </row>
    <row r="46" customFormat="false" ht="15" hidden="false" customHeight="true" outlineLevel="0" collapsed="false">
      <c r="A46" s="102"/>
      <c r="B46" s="102"/>
      <c r="C46" s="102"/>
      <c r="D46" s="102"/>
      <c r="E46" s="102"/>
      <c r="F46" s="102"/>
      <c r="G46" s="102"/>
      <c r="H46" s="102"/>
      <c r="I46" s="102"/>
      <c r="J46" s="102"/>
      <c r="K46" s="102"/>
      <c r="L46" s="102"/>
      <c r="M46" s="102"/>
      <c r="N46" s="102"/>
      <c r="O46" s="102"/>
    </row>
    <row r="47" customFormat="false" ht="15.75" hidden="false" customHeight="true" outlineLevel="0" collapsed="false">
      <c r="A47" s="102"/>
      <c r="B47" s="103" t="s">
        <v>1454</v>
      </c>
      <c r="C47" s="104"/>
      <c r="D47" s="104"/>
      <c r="E47" s="104"/>
      <c r="F47" s="104"/>
      <c r="G47" s="104"/>
      <c r="H47" s="104"/>
      <c r="I47" s="104"/>
      <c r="J47" s="104"/>
      <c r="K47" s="104"/>
      <c r="L47" s="102"/>
      <c r="M47" s="102"/>
      <c r="N47" s="102"/>
      <c r="O47" s="102"/>
    </row>
    <row r="48" customFormat="false" ht="17.25" hidden="false" customHeight="true" outlineLevel="0" collapsed="false">
      <c r="A48" s="102"/>
      <c r="B48" s="106" t="s">
        <v>6099</v>
      </c>
      <c r="C48" s="106"/>
      <c r="D48" s="106"/>
      <c r="E48" s="106"/>
      <c r="F48" s="106"/>
      <c r="G48" s="106"/>
      <c r="H48" s="106"/>
      <c r="I48" s="102"/>
      <c r="J48" s="102"/>
      <c r="K48" s="102"/>
      <c r="L48" s="102"/>
      <c r="M48" s="102"/>
      <c r="N48" s="102"/>
      <c r="O48" s="102"/>
    </row>
    <row r="49" customFormat="false" ht="17.25" hidden="false" customHeight="true" outlineLevel="0" collapsed="false">
      <c r="A49" s="102"/>
      <c r="B49" s="112" t="s">
        <v>85</v>
      </c>
      <c r="C49" s="113" t="s">
        <v>86</v>
      </c>
      <c r="D49" s="113"/>
      <c r="E49" s="102"/>
      <c r="F49" s="102"/>
      <c r="G49" s="102"/>
      <c r="H49" s="102"/>
      <c r="I49" s="102"/>
      <c r="J49" s="102"/>
      <c r="K49" s="102"/>
      <c r="L49" s="102"/>
      <c r="M49" s="102"/>
      <c r="N49" s="102"/>
      <c r="O49" s="102"/>
    </row>
    <row r="50" customFormat="false" ht="15" hidden="false" customHeight="true" outlineLevel="0" collapsed="false">
      <c r="A50" s="102"/>
      <c r="B50" s="102"/>
      <c r="C50" s="102"/>
      <c r="D50" s="102"/>
      <c r="E50" s="102"/>
      <c r="F50" s="102"/>
      <c r="G50" s="102"/>
      <c r="H50" s="102"/>
      <c r="I50" s="102"/>
      <c r="J50" s="102"/>
      <c r="K50" s="102"/>
      <c r="L50" s="102"/>
      <c r="M50" s="102"/>
      <c r="N50" s="102"/>
      <c r="O50" s="102"/>
    </row>
    <row r="51" customFormat="false" ht="16.5" hidden="false" customHeight="true" outlineLevel="0" collapsed="false">
      <c r="A51" s="102"/>
      <c r="B51" s="108" t="s">
        <v>6100</v>
      </c>
      <c r="C51" s="108" t="s">
        <v>5981</v>
      </c>
      <c r="D51" s="108" t="s">
        <v>6041</v>
      </c>
      <c r="E51" s="108" t="s">
        <v>5983</v>
      </c>
      <c r="F51" s="102"/>
      <c r="G51" s="102"/>
      <c r="H51" s="102"/>
      <c r="I51" s="102"/>
      <c r="J51" s="102"/>
      <c r="K51" s="102"/>
      <c r="L51" s="102"/>
      <c r="M51" s="102"/>
      <c r="N51" s="102"/>
      <c r="O51" s="102"/>
    </row>
    <row r="52" customFormat="false" ht="15" hidden="false" customHeight="true" outlineLevel="0" collapsed="false">
      <c r="A52" s="102"/>
      <c r="B52" s="123" t="n">
        <v>1</v>
      </c>
      <c r="C52" s="114" t="n">
        <v>3500</v>
      </c>
      <c r="D52" s="114" t="n">
        <v>44</v>
      </c>
      <c r="E52" s="126" t="n">
        <f aca="false">D52/C52</f>
        <v>0.0125714285714286</v>
      </c>
      <c r="F52" s="129" t="n">
        <f aca="false">(E52-$C$78)/SQRT($C$78*(1-$C$78)/C52)</f>
        <v>-0.747275791002397</v>
      </c>
      <c r="G52" s="102"/>
      <c r="H52" s="126" t="n">
        <f aca="false">$C$78+3*$C$80*SQRT($C$78*(1-$C$78)/C52)</f>
        <v>0.0296472241391719</v>
      </c>
      <c r="I52" s="126" t="n">
        <f aca="false">MAX(0,$C$78-3*$C$80*SQRT($C$78*(1-$C$78)/C52))</f>
        <v>0</v>
      </c>
      <c r="J52" s="126" t="n">
        <f aca="false">$C$78+3*SQRT($C$78*(1-$C$78)/C52)</f>
        <v>0.0200286537703845</v>
      </c>
      <c r="K52" s="132" t="str">
        <f aca="false">IF(E52&gt;H52,"OOC high",IF(E52&lt;I52,"OOC low","OK"))</f>
        <v>OK</v>
      </c>
      <c r="L52" s="102"/>
      <c r="M52" s="102"/>
      <c r="N52" s="102"/>
      <c r="O52" s="102"/>
    </row>
    <row r="53" customFormat="false" ht="15" hidden="false" customHeight="true" outlineLevel="0" collapsed="false">
      <c r="A53" s="102"/>
      <c r="B53" s="123" t="n">
        <v>2</v>
      </c>
      <c r="C53" s="114" t="n">
        <v>4500</v>
      </c>
      <c r="D53" s="114" t="n">
        <v>59</v>
      </c>
      <c r="E53" s="126" t="n">
        <f aca="false">D53/C53</f>
        <v>0.0131111111111111</v>
      </c>
      <c r="F53" s="129" t="n">
        <f aca="false">(E53-$C$78)/SQRT($C$78*(1-$C$78)/C53)</f>
        <v>-0.539828353607067</v>
      </c>
      <c r="G53" s="129" t="n">
        <f aca="false">ABS(F53-F52)</f>
        <v>0.20744743739533</v>
      </c>
      <c r="H53" s="126" t="n">
        <f aca="false">$C$78+3*$C$80*SQRT($C$78*(1-$C$78)/C53)</f>
        <v>0.0278064667631187</v>
      </c>
      <c r="I53" s="126" t="n">
        <f aca="false">MAX(0,$C$78-3*$C$80*SQRT($C$78*(1-$C$78)/C53))</f>
        <v>0.000310606407612992</v>
      </c>
      <c r="J53" s="126" t="n">
        <f aca="false">$C$78+3*SQRT($C$78*(1-$C$78)/C53)</f>
        <v>0.0193236850418567</v>
      </c>
      <c r="K53" s="132" t="str">
        <f aca="false">IF(E53&gt;H53,"OOC high",IF(E53&lt;I53,"OOC low","OK"))</f>
        <v>OK</v>
      </c>
      <c r="L53" s="102"/>
      <c r="M53" s="102"/>
      <c r="N53" s="102"/>
      <c r="O53" s="102"/>
    </row>
    <row r="54" customFormat="false" ht="15" hidden="false" customHeight="true" outlineLevel="0" collapsed="false">
      <c r="A54" s="102"/>
      <c r="B54" s="123" t="n">
        <v>3</v>
      </c>
      <c r="C54" s="114" t="n">
        <v>5000</v>
      </c>
      <c r="D54" s="114" t="n">
        <v>53</v>
      </c>
      <c r="E54" s="126" t="n">
        <f aca="false">D54/C54</f>
        <v>0.0106</v>
      </c>
      <c r="F54" s="129" t="n">
        <f aca="false">(E54-$C$78)/SQRT($C$78*(1-$C$78)/C54)</f>
        <v>-2.07721644910024</v>
      </c>
      <c r="G54" s="129" t="n">
        <f aca="false">ABS(F54-F53)</f>
        <v>1.53738809549318</v>
      </c>
      <c r="H54" s="126" t="n">
        <f aca="false">$C$78+3*$C$80*SQRT($C$78*(1-$C$78)/C54)</f>
        <v>0.0271009683277646</v>
      </c>
      <c r="I54" s="126" t="n">
        <f aca="false">MAX(0,$C$78-3*$C$80*SQRT($C$78*(1-$C$78)/C54))</f>
        <v>0.00101610484296708</v>
      </c>
      <c r="J54" s="126" t="n">
        <f aca="false">$C$78+3*SQRT($C$78*(1-$C$78)/C54)</f>
        <v>0.0190534949877951</v>
      </c>
      <c r="K54" s="132" t="str">
        <f aca="false">IF(E54&gt;H54,"OOC high",IF(E54&lt;I54,"OOC low","OK"))</f>
        <v>OK</v>
      </c>
      <c r="L54" s="102"/>
      <c r="M54" s="102"/>
      <c r="N54" s="102"/>
      <c r="O54" s="102"/>
    </row>
    <row r="55" customFormat="false" ht="15" hidden="false" customHeight="true" outlineLevel="0" collapsed="false">
      <c r="A55" s="102"/>
      <c r="B55" s="123" t="n">
        <v>4</v>
      </c>
      <c r="C55" s="114" t="n">
        <v>3500</v>
      </c>
      <c r="D55" s="114" t="n">
        <v>49</v>
      </c>
      <c r="E55" s="126" t="n">
        <f aca="false">D55/C55</f>
        <v>0.014</v>
      </c>
      <c r="F55" s="129" t="n">
        <f aca="false">(E55-$C$78)/SQRT($C$78*(1-$C$78)/C55)</f>
        <v>-0.0294147921481726</v>
      </c>
      <c r="G55" s="129" t="n">
        <f aca="false">ABS(F55-F54)</f>
        <v>2.04780165695207</v>
      </c>
      <c r="H55" s="126" t="n">
        <f aca="false">$C$78+3*$C$80*SQRT($C$78*(1-$C$78)/C55)</f>
        <v>0.0296472241391719</v>
      </c>
      <c r="I55" s="126" t="n">
        <f aca="false">MAX(0,$C$78-3*$C$80*SQRT($C$78*(1-$C$78)/C55))</f>
        <v>0</v>
      </c>
      <c r="J55" s="126" t="n">
        <f aca="false">$C$78+3*SQRT($C$78*(1-$C$78)/C55)</f>
        <v>0.0200286537703845</v>
      </c>
      <c r="K55" s="132" t="str">
        <f aca="false">IF(E55&gt;H55,"OOC high",IF(E55&lt;I55,"OOC low","OK"))</f>
        <v>OK</v>
      </c>
      <c r="L55" s="102"/>
      <c r="M55" s="102"/>
      <c r="N55" s="102"/>
      <c r="O55" s="102"/>
    </row>
    <row r="56" customFormat="false" ht="15" hidden="false" customHeight="true" outlineLevel="0" collapsed="false">
      <c r="A56" s="102"/>
      <c r="B56" s="123" t="n">
        <v>5</v>
      </c>
      <c r="C56" s="114" t="n">
        <v>5000</v>
      </c>
      <c r="D56" s="114" t="n">
        <v>68</v>
      </c>
      <c r="E56" s="126" t="n">
        <f aca="false">D56/C56</f>
        <v>0.0136</v>
      </c>
      <c r="F56" s="129" t="n">
        <f aca="false">(E56-$C$78)/SQRT($C$78*(1-$C$78)/C56)</f>
        <v>-0.275399642052783</v>
      </c>
      <c r="G56" s="129" t="n">
        <f aca="false">ABS(F56-F55)</f>
        <v>0.24598484990461</v>
      </c>
      <c r="H56" s="126" t="n">
        <f aca="false">$C$78+3*$C$80*SQRT($C$78*(1-$C$78)/C56)</f>
        <v>0.0271009683277646</v>
      </c>
      <c r="I56" s="126" t="n">
        <f aca="false">MAX(0,$C$78-3*$C$80*SQRT($C$78*(1-$C$78)/C56))</f>
        <v>0.00101610484296708</v>
      </c>
      <c r="J56" s="126" t="n">
        <f aca="false">$C$78+3*SQRT($C$78*(1-$C$78)/C56)</f>
        <v>0.0190534949877951</v>
      </c>
      <c r="K56" s="132" t="str">
        <f aca="false">IF(E56&gt;H56,"OOC high",IF(E56&lt;I56,"OOC low","OK"))</f>
        <v>OK</v>
      </c>
      <c r="L56" s="102"/>
      <c r="M56" s="102"/>
      <c r="N56" s="102"/>
      <c r="O56" s="102"/>
    </row>
    <row r="57" customFormat="false" ht="15" hidden="false" customHeight="true" outlineLevel="0" collapsed="false">
      <c r="A57" s="102"/>
      <c r="B57" s="123" t="n">
        <v>6</v>
      </c>
      <c r="C57" s="114" t="n">
        <v>4000</v>
      </c>
      <c r="D57" s="114" t="n">
        <v>22</v>
      </c>
      <c r="E57" s="126" t="n">
        <f aca="false">D57/C57</f>
        <v>0.0055</v>
      </c>
      <c r="F57" s="129" t="n">
        <f aca="false">(E57-$C$78)/SQRT($C$78*(1-$C$78)/C57)</f>
        <v>-4.59762858088818</v>
      </c>
      <c r="G57" s="129" t="n">
        <f aca="false">ABS(F57-F56)</f>
        <v>4.32222893883539</v>
      </c>
      <c r="H57" s="126" t="n">
        <f aca="false">$C$78+3*$C$80*SQRT($C$78*(1-$C$78)/C57)</f>
        <v>0.0286404185693182</v>
      </c>
      <c r="I57" s="126" t="n">
        <f aca="false">MAX(0,$C$78-3*$C$80*SQRT($C$78*(1-$C$78)/C57))</f>
        <v>0</v>
      </c>
      <c r="J57" s="126" t="n">
        <f aca="false">$C$78+3*SQRT($C$78*(1-$C$78)/C57)</f>
        <v>0.0196430698516737</v>
      </c>
      <c r="K57" s="132" t="str">
        <f aca="false">IF(E57&gt;H57,"OOC high",IF(E57&lt;I57,"OOC low","OK"))</f>
        <v>OK</v>
      </c>
      <c r="L57" s="102"/>
      <c r="M57" s="102"/>
      <c r="N57" s="102"/>
      <c r="O57" s="102"/>
    </row>
    <row r="58" customFormat="false" ht="15" hidden="false" customHeight="true" outlineLevel="0" collapsed="false">
      <c r="A58" s="102"/>
      <c r="B58" s="123" t="n">
        <v>7</v>
      </c>
      <c r="C58" s="114" t="n">
        <v>4000</v>
      </c>
      <c r="D58" s="114" t="n">
        <v>52</v>
      </c>
      <c r="E58" s="126" t="n">
        <f aca="false">D58/C58</f>
        <v>0.013</v>
      </c>
      <c r="F58" s="129" t="n">
        <f aca="false">(E58-$C$78)/SQRT($C$78*(1-$C$78)/C58)</f>
        <v>-0.568643717328432</v>
      </c>
      <c r="G58" s="129" t="n">
        <f aca="false">ABS(F58-F57)</f>
        <v>4.02898486355974</v>
      </c>
      <c r="H58" s="126" t="n">
        <f aca="false">$C$78+3*$C$80*SQRT($C$78*(1-$C$78)/C58)</f>
        <v>0.0286404185693182</v>
      </c>
      <c r="I58" s="126" t="n">
        <f aca="false">MAX(0,$C$78-3*$C$80*SQRT($C$78*(1-$C$78)/C58))</f>
        <v>0</v>
      </c>
      <c r="J58" s="126" t="n">
        <f aca="false">$C$78+3*SQRT($C$78*(1-$C$78)/C58)</f>
        <v>0.0196430698516737</v>
      </c>
      <c r="K58" s="132" t="str">
        <f aca="false">IF(E58&gt;H58,"OOC high",IF(E58&lt;I58,"OOC low","OK"))</f>
        <v>OK</v>
      </c>
      <c r="L58" s="102"/>
      <c r="M58" s="102"/>
      <c r="N58" s="102"/>
      <c r="O58" s="102"/>
    </row>
    <row r="59" customFormat="false" ht="15" hidden="false" customHeight="true" outlineLevel="0" collapsed="false">
      <c r="A59" s="102"/>
      <c r="B59" s="123" t="n">
        <v>8</v>
      </c>
      <c r="C59" s="114" t="n">
        <v>4000</v>
      </c>
      <c r="D59" s="114" t="n">
        <v>94</v>
      </c>
      <c r="E59" s="126" t="n">
        <f aca="false">D59/C59</f>
        <v>0.0235</v>
      </c>
      <c r="F59" s="129" t="n">
        <f aca="false">(E59-$C$78)/SQRT($C$78*(1-$C$78)/C59)</f>
        <v>5.07193509165521</v>
      </c>
      <c r="G59" s="129" t="n">
        <f aca="false">ABS(F59-F58)</f>
        <v>5.64057880898364</v>
      </c>
      <c r="H59" s="126" t="n">
        <f aca="false">$C$78+3*$C$80*SQRT($C$78*(1-$C$78)/C59)</f>
        <v>0.0286404185693182</v>
      </c>
      <c r="I59" s="126" t="n">
        <f aca="false">MAX(0,$C$78-3*$C$80*SQRT($C$78*(1-$C$78)/C59))</f>
        <v>0</v>
      </c>
      <c r="J59" s="126" t="n">
        <f aca="false">$C$78+3*SQRT($C$78*(1-$C$78)/C59)</f>
        <v>0.0196430698516737</v>
      </c>
      <c r="K59" s="132" t="str">
        <f aca="false">IF(E59&gt;H59,"OOC high",IF(E59&lt;I59,"OOC low","OK"))</f>
        <v>OK</v>
      </c>
      <c r="L59" s="102"/>
      <c r="M59" s="102"/>
      <c r="N59" s="102"/>
      <c r="O59" s="102"/>
    </row>
    <row r="60" customFormat="false" ht="15" hidden="false" customHeight="true" outlineLevel="0" collapsed="false">
      <c r="A60" s="102"/>
      <c r="B60" s="123" t="n">
        <v>9</v>
      </c>
      <c r="C60" s="114" t="n">
        <v>5000</v>
      </c>
      <c r="D60" s="114" t="n">
        <v>85</v>
      </c>
      <c r="E60" s="126" t="n">
        <f aca="false">D60/C60</f>
        <v>0.017</v>
      </c>
      <c r="F60" s="129" t="n">
        <f aca="false">(E60-$C$78)/SQRT($C$78*(1-$C$78)/C60)</f>
        <v>1.76665940593434</v>
      </c>
      <c r="G60" s="129" t="n">
        <f aca="false">ABS(F60-F59)</f>
        <v>3.30527568572087</v>
      </c>
      <c r="H60" s="126" t="n">
        <f aca="false">$C$78+3*$C$80*SQRT($C$78*(1-$C$78)/C60)</f>
        <v>0.0271009683277646</v>
      </c>
      <c r="I60" s="126" t="n">
        <f aca="false">MAX(0,$C$78-3*$C$80*SQRT($C$78*(1-$C$78)/C60))</f>
        <v>0.00101610484296708</v>
      </c>
      <c r="J60" s="126" t="n">
        <f aca="false">$C$78+3*SQRT($C$78*(1-$C$78)/C60)</f>
        <v>0.0190534949877951</v>
      </c>
      <c r="K60" s="132" t="str">
        <f aca="false">IF(E60&gt;H60,"OOC high",IF(E60&lt;I60,"OOC low","OK"))</f>
        <v>OK</v>
      </c>
      <c r="L60" s="102"/>
      <c r="M60" s="102"/>
      <c r="N60" s="102"/>
      <c r="O60" s="102"/>
    </row>
    <row r="61" customFormat="false" ht="15" hidden="false" customHeight="true" outlineLevel="0" collapsed="false">
      <c r="A61" s="102"/>
      <c r="B61" s="123" t="n">
        <v>10</v>
      </c>
      <c r="C61" s="114" t="n">
        <v>3000</v>
      </c>
      <c r="D61" s="114" t="n">
        <v>45</v>
      </c>
      <c r="E61" s="126" t="n">
        <f aca="false">D61/C61</f>
        <v>0.015</v>
      </c>
      <c r="F61" s="129" t="n">
        <f aca="false">(E61-$C$78)/SQRT($C$78*(1-$C$78)/C61)</f>
        <v>0.437994293306019</v>
      </c>
      <c r="G61" s="129" t="n">
        <f aca="false">ABS(F61-F60)</f>
        <v>1.32866511262832</v>
      </c>
      <c r="H61" s="126" t="n">
        <f aca="false">$C$78+3*$C$80*SQRT($C$78*(1-$C$78)/C61)</f>
        <v>0.0308962435628183</v>
      </c>
      <c r="I61" s="126" t="n">
        <f aca="false">MAX(0,$C$78-3*$C$80*SQRT($C$78*(1-$C$78)/C61))</f>
        <v>0</v>
      </c>
      <c r="J61" s="126" t="n">
        <f aca="false">$C$78+3*SQRT($C$78*(1-$C$78)/C61)</f>
        <v>0.0205070001545683</v>
      </c>
      <c r="K61" s="132" t="str">
        <f aca="false">IF(E61&gt;H61,"OOC high",IF(E61&lt;I61,"OOC low","OK"))</f>
        <v>OK</v>
      </c>
      <c r="L61" s="102"/>
      <c r="M61" s="102"/>
      <c r="N61" s="102"/>
      <c r="O61" s="102"/>
    </row>
    <row r="62" customFormat="false" ht="15" hidden="false" customHeight="true" outlineLevel="0" collapsed="false">
      <c r="A62" s="102"/>
      <c r="B62" s="123" t="n">
        <v>11</v>
      </c>
      <c r="C62" s="114" t="n">
        <v>3000</v>
      </c>
      <c r="D62" s="114" t="n">
        <v>72</v>
      </c>
      <c r="E62" s="126" t="n">
        <f aca="false">D62/C62</f>
        <v>0.024</v>
      </c>
      <c r="F62" s="129" t="n">
        <f aca="false">(E62-$C$78)/SQRT($C$78*(1-$C$78)/C62)</f>
        <v>4.62503818527288</v>
      </c>
      <c r="G62" s="129" t="n">
        <f aca="false">ABS(F62-F61)</f>
        <v>4.18704389196686</v>
      </c>
      <c r="H62" s="126" t="n">
        <f aca="false">$C$78+3*$C$80*SQRT($C$78*(1-$C$78)/C62)</f>
        <v>0.0308962435628183</v>
      </c>
      <c r="I62" s="126" t="n">
        <f aca="false">MAX(0,$C$78-3*$C$80*SQRT($C$78*(1-$C$78)/C62))</f>
        <v>0</v>
      </c>
      <c r="J62" s="126" t="n">
        <f aca="false">$C$78+3*SQRT($C$78*(1-$C$78)/C62)</f>
        <v>0.0205070001545683</v>
      </c>
      <c r="K62" s="132" t="str">
        <f aca="false">IF(E62&gt;H62,"OOC high",IF(E62&lt;I62,"OOC low","OK"))</f>
        <v>OK</v>
      </c>
      <c r="L62" s="102"/>
      <c r="M62" s="102"/>
      <c r="N62" s="102"/>
      <c r="O62" s="102"/>
    </row>
    <row r="63" customFormat="false" ht="15" hidden="false" customHeight="true" outlineLevel="0" collapsed="false">
      <c r="A63" s="102"/>
      <c r="B63" s="123" t="n">
        <v>12</v>
      </c>
      <c r="C63" s="114" t="n">
        <v>3500</v>
      </c>
      <c r="D63" s="114" t="n">
        <v>37</v>
      </c>
      <c r="E63" s="126" t="n">
        <f aca="false">D63/C63</f>
        <v>0.0105714285714286</v>
      </c>
      <c r="F63" s="129" t="n">
        <f aca="false">(E63-$C$78)/SQRT($C$78*(1-$C$78)/C63)</f>
        <v>-1.75228118939831</v>
      </c>
      <c r="G63" s="129" t="n">
        <f aca="false">ABS(F63-F62)</f>
        <v>6.37731937467119</v>
      </c>
      <c r="H63" s="126" t="n">
        <f aca="false">$C$78+3*$C$80*SQRT($C$78*(1-$C$78)/C63)</f>
        <v>0.0296472241391719</v>
      </c>
      <c r="I63" s="126" t="n">
        <f aca="false">MAX(0,$C$78-3*$C$80*SQRT($C$78*(1-$C$78)/C63))</f>
        <v>0</v>
      </c>
      <c r="J63" s="126" t="n">
        <f aca="false">$C$78+3*SQRT($C$78*(1-$C$78)/C63)</f>
        <v>0.0200286537703845</v>
      </c>
      <c r="K63" s="132" t="str">
        <f aca="false">IF(E63&gt;H63,"OOC high",IF(E63&lt;I63,"OOC low","OK"))</f>
        <v>OK</v>
      </c>
      <c r="L63" s="102"/>
      <c r="M63" s="102"/>
      <c r="N63" s="102"/>
      <c r="O63" s="102"/>
    </row>
    <row r="64" customFormat="false" ht="15" hidden="false" customHeight="true" outlineLevel="0" collapsed="false">
      <c r="A64" s="102"/>
      <c r="B64" s="123" t="n">
        <v>13</v>
      </c>
      <c r="C64" s="114" t="n">
        <v>3000</v>
      </c>
      <c r="D64" s="114" t="n">
        <v>34</v>
      </c>
      <c r="E64" s="126" t="n">
        <f aca="false">D64/C64</f>
        <v>0.0113333333333333</v>
      </c>
      <c r="F64" s="129" t="n">
        <f aca="false">(E64-$C$78)/SQRT($C$78*(1-$C$78)/C64)</f>
        <v>-1.26783840342122</v>
      </c>
      <c r="G64" s="129" t="n">
        <f aca="false">ABS(F64-F63)</f>
        <v>0.484442785977091</v>
      </c>
      <c r="H64" s="126" t="n">
        <f aca="false">$C$78+3*$C$80*SQRT($C$78*(1-$C$78)/C64)</f>
        <v>0.0308962435628183</v>
      </c>
      <c r="I64" s="126" t="n">
        <f aca="false">MAX(0,$C$78-3*$C$80*SQRT($C$78*(1-$C$78)/C64))</f>
        <v>0</v>
      </c>
      <c r="J64" s="126" t="n">
        <f aca="false">$C$78+3*SQRT($C$78*(1-$C$78)/C64)</f>
        <v>0.0205070001545683</v>
      </c>
      <c r="K64" s="132" t="str">
        <f aca="false">IF(E64&gt;H64,"OOC high",IF(E64&lt;I64,"OOC low","OK"))</f>
        <v>OK</v>
      </c>
      <c r="L64" s="102"/>
      <c r="M64" s="102"/>
      <c r="N64" s="102"/>
      <c r="O64" s="102"/>
    </row>
    <row r="65" customFormat="false" ht="15" hidden="false" customHeight="true" outlineLevel="0" collapsed="false">
      <c r="A65" s="102"/>
      <c r="B65" s="123" t="n">
        <v>14</v>
      </c>
      <c r="C65" s="114" t="n">
        <v>5000</v>
      </c>
      <c r="D65" s="114" t="n">
        <v>93</v>
      </c>
      <c r="E65" s="126" t="n">
        <f aca="false">D65/C65</f>
        <v>0.0186</v>
      </c>
      <c r="F65" s="129" t="n">
        <f aca="false">(E65-$C$78)/SQRT($C$78*(1-$C$78)/C65)</f>
        <v>2.72762836969299</v>
      </c>
      <c r="G65" s="129" t="n">
        <f aca="false">ABS(F65-F64)</f>
        <v>3.99546677311421</v>
      </c>
      <c r="H65" s="126" t="n">
        <f aca="false">$C$78+3*$C$80*SQRT($C$78*(1-$C$78)/C65)</f>
        <v>0.0271009683277646</v>
      </c>
      <c r="I65" s="126" t="n">
        <f aca="false">MAX(0,$C$78-3*$C$80*SQRT($C$78*(1-$C$78)/C65))</f>
        <v>0.00101610484296708</v>
      </c>
      <c r="J65" s="126" t="n">
        <f aca="false">$C$78+3*SQRT($C$78*(1-$C$78)/C65)</f>
        <v>0.0190534949877951</v>
      </c>
      <c r="K65" s="132" t="str">
        <f aca="false">IF(E65&gt;H65,"OOC high",IF(E65&lt;I65,"OOC low","OK"))</f>
        <v>OK</v>
      </c>
      <c r="L65" s="102"/>
      <c r="M65" s="102"/>
      <c r="N65" s="102"/>
      <c r="O65" s="102"/>
    </row>
    <row r="66" customFormat="false" ht="15" hidden="false" customHeight="true" outlineLevel="0" collapsed="false">
      <c r="A66" s="102"/>
      <c r="B66" s="123" t="n">
        <v>15</v>
      </c>
      <c r="C66" s="114" t="n">
        <v>3500</v>
      </c>
      <c r="D66" s="114" t="n">
        <v>50</v>
      </c>
      <c r="E66" s="126" t="n">
        <f aca="false">D66/C66</f>
        <v>0.0142857142857143</v>
      </c>
      <c r="F66" s="129" t="n">
        <f aca="false">(E66-$C$78)/SQRT($C$78*(1-$C$78)/C66)</f>
        <v>0.114157407622672</v>
      </c>
      <c r="G66" s="129" t="n">
        <f aca="false">ABS(F66-F65)</f>
        <v>2.61347096207031</v>
      </c>
      <c r="H66" s="126" t="n">
        <f aca="false">$C$78+3*$C$80*SQRT($C$78*(1-$C$78)/C66)</f>
        <v>0.0296472241391719</v>
      </c>
      <c r="I66" s="126" t="n">
        <f aca="false">MAX(0,$C$78-3*$C$80*SQRT($C$78*(1-$C$78)/C66))</f>
        <v>0</v>
      </c>
      <c r="J66" s="126" t="n">
        <f aca="false">$C$78+3*SQRT($C$78*(1-$C$78)/C66)</f>
        <v>0.0200286537703845</v>
      </c>
      <c r="K66" s="132" t="str">
        <f aca="false">IF(E66&gt;H66,"OOC high",IF(E66&lt;I66,"OOC low","OK"))</f>
        <v>OK</v>
      </c>
      <c r="L66" s="102"/>
      <c r="M66" s="102"/>
      <c r="N66" s="102"/>
      <c r="O66" s="102"/>
    </row>
    <row r="67" customFormat="false" ht="15" hidden="false" customHeight="true" outlineLevel="0" collapsed="false">
      <c r="A67" s="102"/>
      <c r="B67" s="123" t="n">
        <v>16</v>
      </c>
      <c r="C67" s="114" t="n">
        <v>4500</v>
      </c>
      <c r="D67" s="114" t="n">
        <v>33</v>
      </c>
      <c r="E67" s="126" t="n">
        <f aca="false">D67/C67</f>
        <v>0.00733333333333333</v>
      </c>
      <c r="F67" s="129" t="n">
        <f aca="false">(E67-$C$78)/SQRT($C$78*(1-$C$78)/C67)</f>
        <v>-3.83191659700028</v>
      </c>
      <c r="G67" s="129" t="n">
        <f aca="false">ABS(F67-F66)</f>
        <v>3.94607400462295</v>
      </c>
      <c r="H67" s="126" t="n">
        <f aca="false">$C$78+3*$C$80*SQRT($C$78*(1-$C$78)/C67)</f>
        <v>0.0278064667631187</v>
      </c>
      <c r="I67" s="126" t="n">
        <f aca="false">MAX(0,$C$78-3*$C$80*SQRT($C$78*(1-$C$78)/C67))</f>
        <v>0.000310606407612992</v>
      </c>
      <c r="J67" s="126" t="n">
        <f aca="false">$C$78+3*SQRT($C$78*(1-$C$78)/C67)</f>
        <v>0.0193236850418567</v>
      </c>
      <c r="K67" s="132" t="str">
        <f aca="false">IF(E67&gt;H67,"OOC high",IF(E67&lt;I67,"OOC low","OK"))</f>
        <v>OK</v>
      </c>
      <c r="L67" s="102"/>
      <c r="M67" s="102"/>
      <c r="N67" s="102"/>
      <c r="O67" s="102"/>
    </row>
    <row r="68" customFormat="false" ht="15" hidden="false" customHeight="true" outlineLevel="0" collapsed="false">
      <c r="A68" s="102"/>
      <c r="B68" s="123" t="n">
        <v>17</v>
      </c>
      <c r="C68" s="114" t="n">
        <v>4500</v>
      </c>
      <c r="D68" s="114" t="n">
        <v>55</v>
      </c>
      <c r="E68" s="126" t="n">
        <f aca="false">D68/C68</f>
        <v>0.0122222222222222</v>
      </c>
      <c r="F68" s="129" t="n">
        <f aca="false">(E68-$C$78)/SQRT($C$78*(1-$C$78)/C68)</f>
        <v>-1.04630346797525</v>
      </c>
      <c r="G68" s="129" t="n">
        <f aca="false">ABS(F68-F67)</f>
        <v>2.78561312902503</v>
      </c>
      <c r="H68" s="126" t="n">
        <f aca="false">$C$78+3*$C$80*SQRT($C$78*(1-$C$78)/C68)</f>
        <v>0.0278064667631187</v>
      </c>
      <c r="I68" s="126" t="n">
        <f aca="false">MAX(0,$C$78-3*$C$80*SQRT($C$78*(1-$C$78)/C68))</f>
        <v>0.000310606407612992</v>
      </c>
      <c r="J68" s="126" t="n">
        <f aca="false">$C$78+3*SQRT($C$78*(1-$C$78)/C68)</f>
        <v>0.0193236850418567</v>
      </c>
      <c r="K68" s="132" t="str">
        <f aca="false">IF(E68&gt;H68,"OOC high",IF(E68&lt;I68,"OOC low","OK"))</f>
        <v>OK</v>
      </c>
      <c r="L68" s="102"/>
      <c r="M68" s="102"/>
      <c r="N68" s="102"/>
      <c r="O68" s="102"/>
    </row>
    <row r="69" customFormat="false" ht="15" hidden="false" customHeight="true" outlineLevel="0" collapsed="false">
      <c r="A69" s="102"/>
      <c r="B69" s="123" t="n">
        <v>18</v>
      </c>
      <c r="C69" s="114" t="n">
        <v>4000</v>
      </c>
      <c r="D69" s="114" t="n">
        <v>27</v>
      </c>
      <c r="E69" s="126" t="n">
        <f aca="false">D69/C69</f>
        <v>0.00675</v>
      </c>
      <c r="F69" s="129" t="n">
        <f aca="false">(E69-$C$78)/SQRT($C$78*(1-$C$78)/C69)</f>
        <v>-3.92613110362822</v>
      </c>
      <c r="G69" s="129" t="n">
        <f aca="false">ABS(F69-F68)</f>
        <v>2.87982763565296</v>
      </c>
      <c r="H69" s="126" t="n">
        <f aca="false">$C$78+3*$C$80*SQRT($C$78*(1-$C$78)/C69)</f>
        <v>0.0286404185693182</v>
      </c>
      <c r="I69" s="126" t="n">
        <f aca="false">MAX(0,$C$78-3*$C$80*SQRT($C$78*(1-$C$78)/C69))</f>
        <v>0</v>
      </c>
      <c r="J69" s="126" t="n">
        <f aca="false">$C$78+3*SQRT($C$78*(1-$C$78)/C69)</f>
        <v>0.0196430698516737</v>
      </c>
      <c r="K69" s="132" t="str">
        <f aca="false">IF(E69&gt;H69,"OOC high",IF(E69&lt;I69,"OOC low","OK"))</f>
        <v>OK</v>
      </c>
      <c r="L69" s="102"/>
      <c r="M69" s="102"/>
      <c r="N69" s="102"/>
      <c r="O69" s="102"/>
    </row>
    <row r="70" customFormat="false" ht="15" hidden="false" customHeight="true" outlineLevel="0" collapsed="false">
      <c r="A70" s="102"/>
      <c r="B70" s="123" t="n">
        <v>19</v>
      </c>
      <c r="C70" s="114" t="n">
        <v>4500</v>
      </c>
      <c r="D70" s="114" t="n">
        <v>89</v>
      </c>
      <c r="E70" s="126" t="n">
        <f aca="false">D70/C70</f>
        <v>0.0197777777777778</v>
      </c>
      <c r="F70" s="129" t="n">
        <f aca="false">(E70-$C$78)/SQRT($C$78*(1-$C$78)/C70)</f>
        <v>3.25873500415433</v>
      </c>
      <c r="G70" s="129" t="n">
        <f aca="false">ABS(F70-F69)</f>
        <v>7.18486610778255</v>
      </c>
      <c r="H70" s="126" t="n">
        <f aca="false">$C$78+3*$C$80*SQRT($C$78*(1-$C$78)/C70)</f>
        <v>0.0278064667631187</v>
      </c>
      <c r="I70" s="126" t="n">
        <f aca="false">MAX(0,$C$78-3*$C$80*SQRT($C$78*(1-$C$78)/C70))</f>
        <v>0.000310606407612992</v>
      </c>
      <c r="J70" s="126" t="n">
        <f aca="false">$C$78+3*SQRT($C$78*(1-$C$78)/C70)</f>
        <v>0.0193236850418567</v>
      </c>
      <c r="K70" s="132" t="str">
        <f aca="false">IF(E70&gt;H70,"OOC high",IF(E70&lt;I70,"OOC low","OK"))</f>
        <v>OK</v>
      </c>
      <c r="L70" s="102"/>
      <c r="M70" s="102"/>
      <c r="N70" s="102"/>
      <c r="O70" s="102"/>
    </row>
    <row r="71" customFormat="false" ht="15" hidden="false" customHeight="true" outlineLevel="0" collapsed="false">
      <c r="A71" s="102"/>
      <c r="B71" s="123" t="n">
        <v>20</v>
      </c>
      <c r="C71" s="114" t="n">
        <v>4000</v>
      </c>
      <c r="D71" s="114" t="n">
        <v>73</v>
      </c>
      <c r="E71" s="126" t="n">
        <f aca="false">D71/C71</f>
        <v>0.01825</v>
      </c>
      <c r="F71" s="129" t="n">
        <f aca="false">(E71-$C$78)/SQRT($C$78*(1-$C$78)/C71)</f>
        <v>2.25164568716339</v>
      </c>
      <c r="G71" s="129" t="n">
        <f aca="false">ABS(F71-F70)</f>
        <v>1.00708931699095</v>
      </c>
      <c r="H71" s="126" t="n">
        <f aca="false">$C$78+3*$C$80*SQRT($C$78*(1-$C$78)/C71)</f>
        <v>0.0286404185693182</v>
      </c>
      <c r="I71" s="126" t="n">
        <f aca="false">MAX(0,$C$78-3*$C$80*SQRT($C$78*(1-$C$78)/C71))</f>
        <v>0</v>
      </c>
      <c r="J71" s="126" t="n">
        <f aca="false">$C$78+3*SQRT($C$78*(1-$C$78)/C71)</f>
        <v>0.0196430698516737</v>
      </c>
      <c r="K71" s="132" t="str">
        <f aca="false">IF(E71&gt;H71,"OOC high",IF(E71&lt;I71,"OOC low","OK"))</f>
        <v>OK</v>
      </c>
      <c r="L71" s="102"/>
      <c r="M71" s="102"/>
      <c r="N71" s="102"/>
      <c r="O71" s="102"/>
    </row>
    <row r="72" customFormat="false" ht="15" hidden="false" customHeight="true" outlineLevel="0" collapsed="false">
      <c r="A72" s="102"/>
      <c r="B72" s="123" t="n">
        <v>21</v>
      </c>
      <c r="C72" s="114" t="n">
        <v>4000</v>
      </c>
      <c r="D72" s="114" t="n">
        <v>66</v>
      </c>
      <c r="E72" s="126" t="n">
        <f aca="false">D72/C72</f>
        <v>0.0165</v>
      </c>
      <c r="F72" s="129" t="n">
        <f aca="false">(E72-$C$78)/SQRT($C$78*(1-$C$78)/C72)</f>
        <v>1.31154921899945</v>
      </c>
      <c r="G72" s="129" t="n">
        <f aca="false">ABS(F72-F71)</f>
        <v>0.940096468163939</v>
      </c>
      <c r="H72" s="126" t="n">
        <f aca="false">$C$78+3*$C$80*SQRT($C$78*(1-$C$78)/C72)</f>
        <v>0.0286404185693182</v>
      </c>
      <c r="I72" s="126" t="n">
        <f aca="false">MAX(0,$C$78-3*$C$80*SQRT($C$78*(1-$C$78)/C72))</f>
        <v>0</v>
      </c>
      <c r="J72" s="126" t="n">
        <f aca="false">$C$78+3*SQRT($C$78*(1-$C$78)/C72)</f>
        <v>0.0196430698516737</v>
      </c>
      <c r="K72" s="132" t="str">
        <f aca="false">IF(E72&gt;H72,"OOC high",IF(E72&lt;I72,"OOC low","OK"))</f>
        <v>OK</v>
      </c>
      <c r="L72" s="102"/>
      <c r="M72" s="102"/>
      <c r="N72" s="102"/>
      <c r="O72" s="102"/>
    </row>
    <row r="73" customFormat="false" ht="15" hidden="false" customHeight="true" outlineLevel="0" collapsed="false">
      <c r="A73" s="102"/>
      <c r="B73" s="123" t="n">
        <v>22</v>
      </c>
      <c r="C73" s="114" t="n">
        <v>5000</v>
      </c>
      <c r="D73" s="114" t="n">
        <v>55</v>
      </c>
      <c r="E73" s="126" t="n">
        <f aca="false">D73/C73</f>
        <v>0.011</v>
      </c>
      <c r="F73" s="129" t="n">
        <f aca="false">(E73-$C$78)/SQRT($C$78*(1-$C$78)/C73)</f>
        <v>-1.83697420816058</v>
      </c>
      <c r="G73" s="129" t="n">
        <f aca="false">ABS(F73-F72)</f>
        <v>3.14852342716003</v>
      </c>
      <c r="H73" s="126" t="n">
        <f aca="false">$C$78+3*$C$80*SQRT($C$78*(1-$C$78)/C73)</f>
        <v>0.0271009683277646</v>
      </c>
      <c r="I73" s="126" t="n">
        <f aca="false">MAX(0,$C$78-3*$C$80*SQRT($C$78*(1-$C$78)/C73))</f>
        <v>0.00101610484296708</v>
      </c>
      <c r="J73" s="126" t="n">
        <f aca="false">$C$78+3*SQRT($C$78*(1-$C$78)/C73)</f>
        <v>0.0190534949877951</v>
      </c>
      <c r="K73" s="132" t="str">
        <f aca="false">IF(E73&gt;H73,"OOC high",IF(E73&lt;I73,"OOC low","OK"))</f>
        <v>OK</v>
      </c>
      <c r="L73" s="102"/>
      <c r="M73" s="102"/>
      <c r="N73" s="102"/>
      <c r="O73" s="102"/>
    </row>
    <row r="74" customFormat="false" ht="15" hidden="false" customHeight="true" outlineLevel="0" collapsed="false">
      <c r="A74" s="102"/>
      <c r="B74" s="123" t="n">
        <v>23</v>
      </c>
      <c r="C74" s="114" t="n">
        <v>3500</v>
      </c>
      <c r="D74" s="114" t="n">
        <v>68</v>
      </c>
      <c r="E74" s="126" t="n">
        <f aca="false">D74/C74</f>
        <v>0.0194285714285714</v>
      </c>
      <c r="F74" s="129" t="n">
        <f aca="false">(E74-$C$78)/SQRT($C$78*(1-$C$78)/C74)</f>
        <v>2.69845700349788</v>
      </c>
      <c r="G74" s="129" t="n">
        <f aca="false">ABS(F74-F73)</f>
        <v>4.53543121165846</v>
      </c>
      <c r="H74" s="126" t="n">
        <f aca="false">$C$78+3*$C$80*SQRT($C$78*(1-$C$78)/C74)</f>
        <v>0.0296472241391719</v>
      </c>
      <c r="I74" s="126" t="n">
        <f aca="false">MAX(0,$C$78-3*$C$80*SQRT($C$78*(1-$C$78)/C74))</f>
        <v>0</v>
      </c>
      <c r="J74" s="126" t="n">
        <f aca="false">$C$78+3*SQRT($C$78*(1-$C$78)/C74)</f>
        <v>0.0200286537703845</v>
      </c>
      <c r="K74" s="132" t="str">
        <f aca="false">IF(E74&gt;H74,"OOC high",IF(E74&lt;I74,"OOC low","OK"))</f>
        <v>OK</v>
      </c>
      <c r="L74" s="102"/>
      <c r="M74" s="102"/>
      <c r="N74" s="102"/>
      <c r="O74" s="102"/>
    </row>
    <row r="75" customFormat="false" ht="15" hidden="false" customHeight="true" outlineLevel="0" collapsed="false">
      <c r="A75" s="102"/>
      <c r="B75" s="123" t="n">
        <v>24</v>
      </c>
      <c r="C75" s="114" t="n">
        <v>5000</v>
      </c>
      <c r="D75" s="114" t="n">
        <v>71</v>
      </c>
      <c r="E75" s="126" t="n">
        <f aca="false">D75/C75</f>
        <v>0.0142</v>
      </c>
      <c r="F75" s="129" t="n">
        <f aca="false">(E75-$C$78)/SQRT($C$78*(1-$C$78)/C75)</f>
        <v>0.0849637193567104</v>
      </c>
      <c r="G75" s="129" t="n">
        <f aca="false">ABS(F75-F74)</f>
        <v>2.61349328414117</v>
      </c>
      <c r="H75" s="126" t="n">
        <f aca="false">$C$78+3*$C$80*SQRT($C$78*(1-$C$78)/C75)</f>
        <v>0.0271009683277646</v>
      </c>
      <c r="I75" s="126" t="n">
        <f aca="false">MAX(0,$C$78-3*$C$80*SQRT($C$78*(1-$C$78)/C75))</f>
        <v>0.00101610484296708</v>
      </c>
      <c r="J75" s="126" t="n">
        <f aca="false">$C$78+3*SQRT($C$78*(1-$C$78)/C75)</f>
        <v>0.0190534949877951</v>
      </c>
      <c r="K75" s="132" t="str">
        <f aca="false">IF(E75&gt;H75,"OOC high",IF(E75&lt;I75,"OOC low","OK"))</f>
        <v>OK</v>
      </c>
      <c r="L75" s="102"/>
      <c r="M75" s="102"/>
      <c r="N75" s="102"/>
      <c r="O75" s="102"/>
    </row>
    <row r="76" customFormat="false" ht="15" hidden="false" customHeight="true" outlineLevel="0" collapsed="false">
      <c r="A76" s="102"/>
      <c r="B76" s="123" t="n">
        <v>25</v>
      </c>
      <c r="C76" s="114" t="n">
        <v>4000</v>
      </c>
      <c r="D76" s="114" t="n">
        <v>47</v>
      </c>
      <c r="E76" s="126" t="n">
        <f aca="false">D76/C76</f>
        <v>0.01175</v>
      </c>
      <c r="F76" s="129" t="n">
        <f aca="false">(E76-$C$78)/SQRT($C$78*(1-$C$78)/C76)</f>
        <v>-1.24014119458839</v>
      </c>
      <c r="G76" s="129" t="n">
        <f aca="false">ABS(F76-F75)</f>
        <v>1.3251049139451</v>
      </c>
      <c r="H76" s="126" t="n">
        <f aca="false">$C$78+3*$C$80*SQRT($C$78*(1-$C$78)/C76)</f>
        <v>0.0286404185693182</v>
      </c>
      <c r="I76" s="126" t="n">
        <f aca="false">MAX(0,$C$78-3*$C$80*SQRT($C$78*(1-$C$78)/C76))</f>
        <v>0</v>
      </c>
      <c r="J76" s="126" t="n">
        <f aca="false">$C$78+3*SQRT($C$78*(1-$C$78)/C76)</f>
        <v>0.0196430698516737</v>
      </c>
      <c r="K76" s="132" t="str">
        <f aca="false">IF(E76&gt;H76,"OOC high",IF(E76&lt;I76,"OOC low","OK"))</f>
        <v>OK</v>
      </c>
      <c r="L76" s="102"/>
      <c r="M76" s="102"/>
      <c r="N76" s="102"/>
      <c r="O76" s="102"/>
    </row>
    <row r="77" customFormat="false" ht="15" hidden="false" customHeight="true" outlineLevel="0" collapsed="false">
      <c r="A77" s="102"/>
      <c r="B77" s="102"/>
      <c r="C77" s="102"/>
      <c r="D77" s="102"/>
      <c r="E77" s="102"/>
      <c r="F77" s="102"/>
      <c r="G77" s="102"/>
      <c r="H77" s="102"/>
      <c r="I77" s="102"/>
      <c r="J77" s="102"/>
      <c r="K77" s="102"/>
      <c r="L77" s="102"/>
      <c r="M77" s="102"/>
      <c r="N77" s="102"/>
      <c r="O77" s="102"/>
    </row>
    <row r="78" customFormat="false" ht="15" hidden="false" customHeight="true" outlineLevel="0" collapsed="false">
      <c r="A78" s="102"/>
      <c r="B78" s="105" t="s">
        <v>6101</v>
      </c>
      <c r="C78" s="143" t="n">
        <f aca="false">SUM(D52:D76)/SUM(C52:C76)</f>
        <v>0.0140585365853659</v>
      </c>
      <c r="D78" s="102"/>
      <c r="E78" s="102"/>
      <c r="F78" s="102"/>
      <c r="G78" s="102"/>
      <c r="H78" s="102"/>
      <c r="I78" s="102"/>
      <c r="J78" s="102"/>
      <c r="K78" s="102"/>
      <c r="L78" s="102"/>
      <c r="M78" s="102"/>
      <c r="N78" s="102"/>
      <c r="O78" s="102"/>
    </row>
    <row r="79" customFormat="false" ht="15" hidden="false" customHeight="true" outlineLevel="0" collapsed="false">
      <c r="A79" s="102"/>
      <c r="B79" s="102"/>
      <c r="C79" s="102"/>
      <c r="D79" s="102"/>
      <c r="E79" s="102"/>
      <c r="F79" s="102"/>
      <c r="G79" s="102"/>
      <c r="H79" s="102"/>
      <c r="I79" s="102"/>
      <c r="J79" s="102"/>
      <c r="K79" s="102"/>
      <c r="L79" s="102"/>
      <c r="M79" s="102"/>
      <c r="N79" s="102"/>
      <c r="O79" s="102"/>
    </row>
    <row r="80" customFormat="false" ht="15" hidden="false" customHeight="true" outlineLevel="0" collapsed="false">
      <c r="A80" s="102"/>
      <c r="B80" s="105" t="s">
        <v>6102</v>
      </c>
      <c r="C80" s="129" t="n">
        <f aca="false">AVERAGE(G53:G76)/1.128</f>
        <v>2.61111919091371</v>
      </c>
      <c r="D80" s="102"/>
      <c r="E80" s="102"/>
      <c r="F80" s="102"/>
      <c r="G80" s="102"/>
      <c r="H80" s="102"/>
      <c r="I80" s="102"/>
      <c r="J80" s="102"/>
      <c r="K80" s="102"/>
      <c r="L80" s="102"/>
      <c r="M80" s="102"/>
      <c r="N80" s="102"/>
      <c r="O80" s="102"/>
    </row>
    <row r="81" customFormat="false" ht="17.25" hidden="false" customHeight="true" outlineLevel="0" collapsed="false">
      <c r="A81" s="102"/>
      <c r="B81" s="107" t="s">
        <v>6103</v>
      </c>
      <c r="C81" s="107"/>
      <c r="D81" s="107"/>
      <c r="E81" s="107"/>
      <c r="F81" s="107"/>
      <c r="G81" s="107"/>
      <c r="H81" s="107"/>
      <c r="I81" s="102"/>
      <c r="J81" s="102"/>
      <c r="K81" s="102"/>
      <c r="L81" s="102"/>
      <c r="M81" s="102"/>
      <c r="N81" s="102"/>
      <c r="O81" s="102"/>
    </row>
    <row r="82" customFormat="false" ht="15" hidden="false" customHeight="true" outlineLevel="0" collapsed="false">
      <c r="A82" s="102"/>
      <c r="B82" s="102"/>
      <c r="C82" s="102"/>
      <c r="D82" s="102"/>
      <c r="E82" s="102"/>
      <c r="F82" s="102"/>
      <c r="G82" s="102"/>
      <c r="H82" s="102"/>
      <c r="I82" s="102"/>
      <c r="J82" s="102"/>
      <c r="K82" s="102"/>
      <c r="L82" s="102"/>
      <c r="M82" s="102"/>
      <c r="N82" s="102"/>
      <c r="O82" s="102"/>
    </row>
    <row r="83" customFormat="false" ht="17.25" hidden="false" customHeight="true" outlineLevel="0" collapsed="false">
      <c r="A83" s="102"/>
      <c r="B83" s="108" t="s">
        <v>6100</v>
      </c>
      <c r="C83" s="108" t="s">
        <v>5983</v>
      </c>
      <c r="D83" s="108" t="s">
        <v>5809</v>
      </c>
      <c r="E83" s="108" t="s">
        <v>6104</v>
      </c>
      <c r="F83" s="108" t="s">
        <v>6105</v>
      </c>
      <c r="G83" s="108" t="s">
        <v>6106</v>
      </c>
      <c r="H83" s="108"/>
      <c r="I83" s="102"/>
      <c r="J83" s="102"/>
      <c r="K83" s="102"/>
      <c r="L83" s="102"/>
      <c r="M83" s="102"/>
      <c r="N83" s="102"/>
      <c r="O83" s="102"/>
    </row>
    <row r="84" customFormat="false" ht="17.25" hidden="false" customHeight="true" outlineLevel="0" collapsed="false">
      <c r="A84" s="102"/>
      <c r="B84" s="123" t="n">
        <v>1</v>
      </c>
      <c r="C84" s="126" t="n">
        <f aca="false">E52</f>
        <v>0.0125714285714286</v>
      </c>
      <c r="D84" s="126" t="n">
        <f aca="false">$C$78</f>
        <v>0.0140585365853659</v>
      </c>
      <c r="E84" s="126" t="n">
        <f aca="false">H52</f>
        <v>0.0296472241391719</v>
      </c>
      <c r="F84" s="126" t="n">
        <f aca="false">I52</f>
        <v>0</v>
      </c>
      <c r="G84" s="144" t="n">
        <f aca="false">J52</f>
        <v>0.0200286537703845</v>
      </c>
      <c r="H84" s="144"/>
      <c r="I84" s="102"/>
      <c r="J84" s="102"/>
      <c r="K84" s="102"/>
      <c r="L84" s="102"/>
      <c r="M84" s="102"/>
      <c r="N84" s="102"/>
      <c r="O84" s="102"/>
    </row>
    <row r="85" customFormat="false" ht="17.25" hidden="false" customHeight="true" outlineLevel="0" collapsed="false">
      <c r="A85" s="102"/>
      <c r="B85" s="123" t="n">
        <v>2</v>
      </c>
      <c r="C85" s="126" t="n">
        <f aca="false">E53</f>
        <v>0.0131111111111111</v>
      </c>
      <c r="D85" s="126" t="n">
        <f aca="false">$C$78</f>
        <v>0.0140585365853659</v>
      </c>
      <c r="E85" s="126" t="n">
        <f aca="false">H53</f>
        <v>0.0278064667631187</v>
      </c>
      <c r="F85" s="126" t="n">
        <f aca="false">I53</f>
        <v>0.000310606407612992</v>
      </c>
      <c r="G85" s="144" t="n">
        <f aca="false">J53</f>
        <v>0.0193236850418567</v>
      </c>
      <c r="H85" s="144"/>
      <c r="I85" s="102"/>
      <c r="J85" s="102"/>
      <c r="K85" s="102"/>
      <c r="L85" s="102"/>
      <c r="M85" s="102"/>
      <c r="N85" s="102"/>
      <c r="O85" s="102"/>
    </row>
    <row r="86" customFormat="false" ht="17.25" hidden="false" customHeight="true" outlineLevel="0" collapsed="false">
      <c r="A86" s="102"/>
      <c r="B86" s="123" t="n">
        <v>3</v>
      </c>
      <c r="C86" s="126" t="n">
        <f aca="false">E54</f>
        <v>0.0106</v>
      </c>
      <c r="D86" s="126" t="n">
        <f aca="false">$C$78</f>
        <v>0.0140585365853659</v>
      </c>
      <c r="E86" s="126" t="n">
        <f aca="false">H54</f>
        <v>0.0271009683277646</v>
      </c>
      <c r="F86" s="126" t="n">
        <f aca="false">I54</f>
        <v>0.00101610484296708</v>
      </c>
      <c r="G86" s="144" t="n">
        <f aca="false">J54</f>
        <v>0.0190534949877951</v>
      </c>
      <c r="H86" s="144"/>
      <c r="I86" s="102"/>
      <c r="J86" s="102"/>
      <c r="K86" s="102"/>
      <c r="L86" s="102"/>
      <c r="M86" s="102"/>
      <c r="N86" s="102"/>
      <c r="O86" s="102"/>
    </row>
    <row r="87" customFormat="false" ht="17.25" hidden="false" customHeight="true" outlineLevel="0" collapsed="false">
      <c r="A87" s="102"/>
      <c r="B87" s="123" t="n">
        <v>4</v>
      </c>
      <c r="C87" s="126" t="n">
        <f aca="false">E55</f>
        <v>0.014</v>
      </c>
      <c r="D87" s="126" t="n">
        <f aca="false">$C$78</f>
        <v>0.0140585365853659</v>
      </c>
      <c r="E87" s="126" t="n">
        <f aca="false">H55</f>
        <v>0.0296472241391719</v>
      </c>
      <c r="F87" s="126" t="n">
        <f aca="false">I55</f>
        <v>0</v>
      </c>
      <c r="G87" s="144" t="n">
        <f aca="false">J55</f>
        <v>0.0200286537703845</v>
      </c>
      <c r="H87" s="144"/>
      <c r="I87" s="102"/>
      <c r="J87" s="102"/>
      <c r="K87" s="102"/>
      <c r="L87" s="102"/>
      <c r="M87" s="102"/>
      <c r="N87" s="102"/>
      <c r="O87" s="102"/>
    </row>
    <row r="88" customFormat="false" ht="17.25" hidden="false" customHeight="true" outlineLevel="0" collapsed="false">
      <c r="A88" s="102"/>
      <c r="B88" s="123" t="n">
        <v>5</v>
      </c>
      <c r="C88" s="126" t="n">
        <f aca="false">E56</f>
        <v>0.0136</v>
      </c>
      <c r="D88" s="126" t="n">
        <f aca="false">$C$78</f>
        <v>0.0140585365853659</v>
      </c>
      <c r="E88" s="126" t="n">
        <f aca="false">H56</f>
        <v>0.0271009683277646</v>
      </c>
      <c r="F88" s="126" t="n">
        <f aca="false">I56</f>
        <v>0.00101610484296708</v>
      </c>
      <c r="G88" s="144" t="n">
        <f aca="false">J56</f>
        <v>0.0190534949877951</v>
      </c>
      <c r="H88" s="144"/>
      <c r="I88" s="102"/>
      <c r="J88" s="102"/>
      <c r="K88" s="102"/>
      <c r="L88" s="102"/>
      <c r="M88" s="102"/>
      <c r="N88" s="102"/>
      <c r="O88" s="102"/>
    </row>
    <row r="89" customFormat="false" ht="17.25" hidden="false" customHeight="true" outlineLevel="0" collapsed="false">
      <c r="A89" s="102"/>
      <c r="B89" s="123" t="n">
        <v>6</v>
      </c>
      <c r="C89" s="126" t="n">
        <f aca="false">E57</f>
        <v>0.0055</v>
      </c>
      <c r="D89" s="126" t="n">
        <f aca="false">$C$78</f>
        <v>0.0140585365853659</v>
      </c>
      <c r="E89" s="126" t="n">
        <f aca="false">H57</f>
        <v>0.0286404185693182</v>
      </c>
      <c r="F89" s="126" t="n">
        <f aca="false">I57</f>
        <v>0</v>
      </c>
      <c r="G89" s="144" t="n">
        <f aca="false">J57</f>
        <v>0.0196430698516737</v>
      </c>
      <c r="H89" s="144"/>
      <c r="I89" s="102"/>
      <c r="J89" s="102"/>
      <c r="K89" s="102"/>
      <c r="L89" s="102"/>
      <c r="M89" s="102"/>
      <c r="N89" s="102"/>
      <c r="O89" s="102"/>
    </row>
    <row r="90" customFormat="false" ht="17.25" hidden="false" customHeight="true" outlineLevel="0" collapsed="false">
      <c r="A90" s="102"/>
      <c r="B90" s="123" t="n">
        <v>7</v>
      </c>
      <c r="C90" s="126" t="n">
        <f aca="false">E58</f>
        <v>0.013</v>
      </c>
      <c r="D90" s="126" t="n">
        <f aca="false">$C$78</f>
        <v>0.0140585365853659</v>
      </c>
      <c r="E90" s="126" t="n">
        <f aca="false">H58</f>
        <v>0.0286404185693182</v>
      </c>
      <c r="F90" s="126" t="n">
        <f aca="false">I58</f>
        <v>0</v>
      </c>
      <c r="G90" s="144" t="n">
        <f aca="false">J58</f>
        <v>0.0196430698516737</v>
      </c>
      <c r="H90" s="144"/>
      <c r="I90" s="102"/>
      <c r="J90" s="102"/>
      <c r="K90" s="102"/>
      <c r="L90" s="102"/>
      <c r="M90" s="102"/>
      <c r="N90" s="102"/>
      <c r="O90" s="102"/>
    </row>
    <row r="91" customFormat="false" ht="17.25" hidden="false" customHeight="true" outlineLevel="0" collapsed="false">
      <c r="A91" s="102"/>
      <c r="B91" s="123" t="n">
        <v>8</v>
      </c>
      <c r="C91" s="126" t="n">
        <f aca="false">E59</f>
        <v>0.0235</v>
      </c>
      <c r="D91" s="126" t="n">
        <f aca="false">$C$78</f>
        <v>0.0140585365853659</v>
      </c>
      <c r="E91" s="126" t="n">
        <f aca="false">H59</f>
        <v>0.0286404185693182</v>
      </c>
      <c r="F91" s="126" t="n">
        <f aca="false">I59</f>
        <v>0</v>
      </c>
      <c r="G91" s="144" t="n">
        <f aca="false">J59</f>
        <v>0.0196430698516737</v>
      </c>
      <c r="H91" s="144"/>
      <c r="I91" s="102"/>
      <c r="J91" s="102"/>
      <c r="K91" s="102"/>
      <c r="L91" s="102"/>
      <c r="M91" s="102"/>
      <c r="N91" s="102"/>
      <c r="O91" s="102"/>
    </row>
    <row r="92" customFormat="false" ht="17.25" hidden="false" customHeight="true" outlineLevel="0" collapsed="false">
      <c r="A92" s="102"/>
      <c r="B92" s="123" t="n">
        <v>9</v>
      </c>
      <c r="C92" s="126" t="n">
        <f aca="false">E60</f>
        <v>0.017</v>
      </c>
      <c r="D92" s="126" t="n">
        <f aca="false">$C$78</f>
        <v>0.0140585365853659</v>
      </c>
      <c r="E92" s="126" t="n">
        <f aca="false">H60</f>
        <v>0.0271009683277646</v>
      </c>
      <c r="F92" s="126" t="n">
        <f aca="false">I60</f>
        <v>0.00101610484296708</v>
      </c>
      <c r="G92" s="144" t="n">
        <f aca="false">J60</f>
        <v>0.0190534949877951</v>
      </c>
      <c r="H92" s="144"/>
      <c r="I92" s="102"/>
      <c r="J92" s="102"/>
      <c r="K92" s="102"/>
      <c r="L92" s="102"/>
      <c r="M92" s="102"/>
      <c r="N92" s="102"/>
      <c r="O92" s="102"/>
    </row>
    <row r="93" customFormat="false" ht="17.25" hidden="false" customHeight="true" outlineLevel="0" collapsed="false">
      <c r="A93" s="102"/>
      <c r="B93" s="123" t="n">
        <v>10</v>
      </c>
      <c r="C93" s="126" t="n">
        <f aca="false">E61</f>
        <v>0.015</v>
      </c>
      <c r="D93" s="126" t="n">
        <f aca="false">$C$78</f>
        <v>0.0140585365853659</v>
      </c>
      <c r="E93" s="126" t="n">
        <f aca="false">H61</f>
        <v>0.0308962435628183</v>
      </c>
      <c r="F93" s="126" t="n">
        <f aca="false">I61</f>
        <v>0</v>
      </c>
      <c r="G93" s="144" t="n">
        <f aca="false">J61</f>
        <v>0.0205070001545683</v>
      </c>
      <c r="H93" s="144"/>
      <c r="I93" s="102"/>
      <c r="J93" s="102"/>
      <c r="K93" s="102"/>
      <c r="L93" s="102"/>
      <c r="M93" s="102"/>
      <c r="N93" s="102"/>
      <c r="O93" s="102"/>
    </row>
    <row r="94" customFormat="false" ht="17.25" hidden="false" customHeight="true" outlineLevel="0" collapsed="false">
      <c r="A94" s="102"/>
      <c r="B94" s="123" t="n">
        <v>11</v>
      </c>
      <c r="C94" s="126" t="n">
        <f aca="false">E62</f>
        <v>0.024</v>
      </c>
      <c r="D94" s="126" t="n">
        <f aca="false">$C$78</f>
        <v>0.0140585365853659</v>
      </c>
      <c r="E94" s="126" t="n">
        <f aca="false">H62</f>
        <v>0.0308962435628183</v>
      </c>
      <c r="F94" s="126" t="n">
        <f aca="false">I62</f>
        <v>0</v>
      </c>
      <c r="G94" s="144" t="n">
        <f aca="false">J62</f>
        <v>0.0205070001545683</v>
      </c>
      <c r="H94" s="144"/>
      <c r="I94" s="102"/>
      <c r="J94" s="102"/>
      <c r="K94" s="102"/>
      <c r="L94" s="102"/>
      <c r="M94" s="102"/>
      <c r="N94" s="102"/>
      <c r="O94" s="102"/>
    </row>
    <row r="95" customFormat="false" ht="17.25" hidden="false" customHeight="true" outlineLevel="0" collapsed="false">
      <c r="A95" s="102"/>
      <c r="B95" s="123" t="n">
        <v>12</v>
      </c>
      <c r="C95" s="126" t="n">
        <f aca="false">E63</f>
        <v>0.0105714285714286</v>
      </c>
      <c r="D95" s="126" t="n">
        <f aca="false">$C$78</f>
        <v>0.0140585365853659</v>
      </c>
      <c r="E95" s="126" t="n">
        <f aca="false">H63</f>
        <v>0.0296472241391719</v>
      </c>
      <c r="F95" s="126" t="n">
        <f aca="false">I63</f>
        <v>0</v>
      </c>
      <c r="G95" s="144" t="n">
        <f aca="false">J63</f>
        <v>0.0200286537703845</v>
      </c>
      <c r="H95" s="144"/>
      <c r="I95" s="102"/>
      <c r="J95" s="102"/>
      <c r="K95" s="102"/>
      <c r="L95" s="102"/>
      <c r="M95" s="102"/>
      <c r="N95" s="102"/>
      <c r="O95" s="102"/>
    </row>
    <row r="96" customFormat="false" ht="17.25" hidden="false" customHeight="true" outlineLevel="0" collapsed="false">
      <c r="A96" s="102"/>
      <c r="B96" s="123" t="n">
        <v>13</v>
      </c>
      <c r="C96" s="126" t="n">
        <f aca="false">E64</f>
        <v>0.0113333333333333</v>
      </c>
      <c r="D96" s="126" t="n">
        <f aca="false">$C$78</f>
        <v>0.0140585365853659</v>
      </c>
      <c r="E96" s="126" t="n">
        <f aca="false">H64</f>
        <v>0.0308962435628183</v>
      </c>
      <c r="F96" s="126" t="n">
        <f aca="false">I64</f>
        <v>0</v>
      </c>
      <c r="G96" s="144" t="n">
        <f aca="false">J64</f>
        <v>0.0205070001545683</v>
      </c>
      <c r="H96" s="144"/>
      <c r="I96" s="102"/>
      <c r="J96" s="102"/>
      <c r="K96" s="102"/>
      <c r="L96" s="102"/>
      <c r="M96" s="102"/>
      <c r="N96" s="102"/>
      <c r="O96" s="102"/>
    </row>
    <row r="97" customFormat="false" ht="17.25" hidden="false" customHeight="true" outlineLevel="0" collapsed="false">
      <c r="A97" s="102"/>
      <c r="B97" s="123" t="n">
        <v>14</v>
      </c>
      <c r="C97" s="126" t="n">
        <f aca="false">E65</f>
        <v>0.0186</v>
      </c>
      <c r="D97" s="126" t="n">
        <f aca="false">$C$78</f>
        <v>0.0140585365853659</v>
      </c>
      <c r="E97" s="126" t="n">
        <f aca="false">H65</f>
        <v>0.0271009683277646</v>
      </c>
      <c r="F97" s="126" t="n">
        <f aca="false">I65</f>
        <v>0.00101610484296708</v>
      </c>
      <c r="G97" s="144" t="n">
        <f aca="false">J65</f>
        <v>0.0190534949877951</v>
      </c>
      <c r="H97" s="144"/>
      <c r="I97" s="102"/>
      <c r="J97" s="102"/>
      <c r="K97" s="102"/>
      <c r="L97" s="102"/>
      <c r="M97" s="102"/>
      <c r="N97" s="102"/>
      <c r="O97" s="102"/>
    </row>
    <row r="98" customFormat="false" ht="17.25" hidden="false" customHeight="true" outlineLevel="0" collapsed="false">
      <c r="A98" s="102"/>
      <c r="B98" s="123" t="n">
        <v>15</v>
      </c>
      <c r="C98" s="126" t="n">
        <f aca="false">E66</f>
        <v>0.0142857142857143</v>
      </c>
      <c r="D98" s="126" t="n">
        <f aca="false">$C$78</f>
        <v>0.0140585365853659</v>
      </c>
      <c r="E98" s="126" t="n">
        <f aca="false">H66</f>
        <v>0.0296472241391719</v>
      </c>
      <c r="F98" s="126" t="n">
        <f aca="false">I66</f>
        <v>0</v>
      </c>
      <c r="G98" s="144" t="n">
        <f aca="false">J66</f>
        <v>0.0200286537703845</v>
      </c>
      <c r="H98" s="144"/>
      <c r="I98" s="102"/>
      <c r="J98" s="102"/>
      <c r="K98" s="102"/>
      <c r="L98" s="102"/>
      <c r="M98" s="102"/>
      <c r="N98" s="102"/>
      <c r="O98" s="102"/>
    </row>
    <row r="99" customFormat="false" ht="17.25" hidden="false" customHeight="true" outlineLevel="0" collapsed="false">
      <c r="A99" s="102"/>
      <c r="B99" s="123" t="n">
        <v>16</v>
      </c>
      <c r="C99" s="126" t="n">
        <f aca="false">E67</f>
        <v>0.00733333333333333</v>
      </c>
      <c r="D99" s="126" t="n">
        <f aca="false">$C$78</f>
        <v>0.0140585365853659</v>
      </c>
      <c r="E99" s="126" t="n">
        <f aca="false">H67</f>
        <v>0.0278064667631187</v>
      </c>
      <c r="F99" s="126" t="n">
        <f aca="false">I67</f>
        <v>0.000310606407612992</v>
      </c>
      <c r="G99" s="144" t="n">
        <f aca="false">J67</f>
        <v>0.0193236850418567</v>
      </c>
      <c r="H99" s="144"/>
      <c r="I99" s="102"/>
      <c r="J99" s="102"/>
      <c r="K99" s="102"/>
      <c r="L99" s="102"/>
      <c r="M99" s="102"/>
      <c r="N99" s="102"/>
      <c r="O99" s="102"/>
    </row>
    <row r="100" customFormat="false" ht="17.25" hidden="false" customHeight="true" outlineLevel="0" collapsed="false">
      <c r="A100" s="102"/>
      <c r="B100" s="123" t="n">
        <v>17</v>
      </c>
      <c r="C100" s="126" t="n">
        <f aca="false">E68</f>
        <v>0.0122222222222222</v>
      </c>
      <c r="D100" s="126" t="n">
        <f aca="false">$C$78</f>
        <v>0.0140585365853659</v>
      </c>
      <c r="E100" s="126" t="n">
        <f aca="false">H68</f>
        <v>0.0278064667631187</v>
      </c>
      <c r="F100" s="126" t="n">
        <f aca="false">I68</f>
        <v>0.000310606407612992</v>
      </c>
      <c r="G100" s="144" t="n">
        <f aca="false">J68</f>
        <v>0.0193236850418567</v>
      </c>
      <c r="H100" s="144"/>
      <c r="I100" s="102"/>
      <c r="J100" s="102"/>
      <c r="K100" s="102"/>
      <c r="L100" s="102"/>
      <c r="M100" s="102"/>
      <c r="N100" s="102"/>
      <c r="O100" s="102"/>
    </row>
    <row r="101" customFormat="false" ht="17.25" hidden="false" customHeight="true" outlineLevel="0" collapsed="false">
      <c r="A101" s="102"/>
      <c r="B101" s="123" t="n">
        <v>18</v>
      </c>
      <c r="C101" s="126" t="n">
        <f aca="false">E69</f>
        <v>0.00675</v>
      </c>
      <c r="D101" s="126" t="n">
        <f aca="false">$C$78</f>
        <v>0.0140585365853659</v>
      </c>
      <c r="E101" s="126" t="n">
        <f aca="false">H69</f>
        <v>0.0286404185693182</v>
      </c>
      <c r="F101" s="126" t="n">
        <f aca="false">I69</f>
        <v>0</v>
      </c>
      <c r="G101" s="144" t="n">
        <f aca="false">J69</f>
        <v>0.0196430698516737</v>
      </c>
      <c r="H101" s="144"/>
      <c r="I101" s="102"/>
      <c r="J101" s="102"/>
      <c r="K101" s="102"/>
      <c r="L101" s="102"/>
      <c r="M101" s="102"/>
      <c r="N101" s="102"/>
      <c r="O101" s="102"/>
    </row>
    <row r="102" customFormat="false" ht="17.25" hidden="false" customHeight="true" outlineLevel="0" collapsed="false">
      <c r="A102" s="102"/>
      <c r="B102" s="123" t="n">
        <v>19</v>
      </c>
      <c r="C102" s="126" t="n">
        <f aca="false">E70</f>
        <v>0.0197777777777778</v>
      </c>
      <c r="D102" s="126" t="n">
        <f aca="false">$C$78</f>
        <v>0.0140585365853659</v>
      </c>
      <c r="E102" s="126" t="n">
        <f aca="false">H70</f>
        <v>0.0278064667631187</v>
      </c>
      <c r="F102" s="126" t="n">
        <f aca="false">I70</f>
        <v>0.000310606407612992</v>
      </c>
      <c r="G102" s="144" t="n">
        <f aca="false">J70</f>
        <v>0.0193236850418567</v>
      </c>
      <c r="H102" s="144"/>
      <c r="I102" s="102"/>
      <c r="J102" s="102"/>
      <c r="K102" s="102"/>
      <c r="L102" s="102"/>
      <c r="M102" s="102"/>
      <c r="N102" s="102"/>
      <c r="O102" s="102"/>
    </row>
    <row r="103" customFormat="false" ht="17.25" hidden="false" customHeight="true" outlineLevel="0" collapsed="false">
      <c r="A103" s="102"/>
      <c r="B103" s="123" t="n">
        <v>20</v>
      </c>
      <c r="C103" s="126" t="n">
        <f aca="false">E71</f>
        <v>0.01825</v>
      </c>
      <c r="D103" s="126" t="n">
        <f aca="false">$C$78</f>
        <v>0.0140585365853659</v>
      </c>
      <c r="E103" s="126" t="n">
        <f aca="false">H71</f>
        <v>0.0286404185693182</v>
      </c>
      <c r="F103" s="126" t="n">
        <f aca="false">I71</f>
        <v>0</v>
      </c>
      <c r="G103" s="144" t="n">
        <f aca="false">J71</f>
        <v>0.0196430698516737</v>
      </c>
      <c r="H103" s="144"/>
      <c r="I103" s="102"/>
      <c r="J103" s="102"/>
      <c r="K103" s="102"/>
      <c r="L103" s="102"/>
      <c r="M103" s="102"/>
      <c r="N103" s="102"/>
      <c r="O103" s="102"/>
    </row>
    <row r="104" customFormat="false" ht="17.25" hidden="false" customHeight="true" outlineLevel="0" collapsed="false">
      <c r="A104" s="102"/>
      <c r="B104" s="123" t="n">
        <v>21</v>
      </c>
      <c r="C104" s="126" t="n">
        <f aca="false">E72</f>
        <v>0.0165</v>
      </c>
      <c r="D104" s="126" t="n">
        <f aca="false">$C$78</f>
        <v>0.0140585365853659</v>
      </c>
      <c r="E104" s="126" t="n">
        <f aca="false">H72</f>
        <v>0.0286404185693182</v>
      </c>
      <c r="F104" s="126" t="n">
        <f aca="false">I72</f>
        <v>0</v>
      </c>
      <c r="G104" s="144" t="n">
        <f aca="false">J72</f>
        <v>0.0196430698516737</v>
      </c>
      <c r="H104" s="144"/>
      <c r="I104" s="102"/>
      <c r="J104" s="102"/>
      <c r="K104" s="102"/>
      <c r="L104" s="102"/>
      <c r="M104" s="102"/>
      <c r="N104" s="102"/>
      <c r="O104" s="102"/>
    </row>
    <row r="105" customFormat="false" ht="17.25" hidden="false" customHeight="true" outlineLevel="0" collapsed="false">
      <c r="A105" s="102"/>
      <c r="B105" s="123" t="n">
        <v>22</v>
      </c>
      <c r="C105" s="126" t="n">
        <f aca="false">E73</f>
        <v>0.011</v>
      </c>
      <c r="D105" s="126" t="n">
        <f aca="false">$C$78</f>
        <v>0.0140585365853659</v>
      </c>
      <c r="E105" s="126" t="n">
        <f aca="false">H73</f>
        <v>0.0271009683277646</v>
      </c>
      <c r="F105" s="126" t="n">
        <f aca="false">I73</f>
        <v>0.00101610484296708</v>
      </c>
      <c r="G105" s="144" t="n">
        <f aca="false">J73</f>
        <v>0.0190534949877951</v>
      </c>
      <c r="H105" s="144"/>
      <c r="I105" s="102"/>
      <c r="J105" s="102"/>
      <c r="K105" s="102"/>
      <c r="L105" s="102"/>
      <c r="M105" s="102"/>
      <c r="N105" s="102"/>
      <c r="O105" s="102"/>
    </row>
    <row r="106" customFormat="false" ht="17.25" hidden="false" customHeight="true" outlineLevel="0" collapsed="false">
      <c r="A106" s="102"/>
      <c r="B106" s="123" t="n">
        <v>23</v>
      </c>
      <c r="C106" s="126" t="n">
        <f aca="false">E74</f>
        <v>0.0194285714285714</v>
      </c>
      <c r="D106" s="126" t="n">
        <f aca="false">$C$78</f>
        <v>0.0140585365853659</v>
      </c>
      <c r="E106" s="126" t="n">
        <f aca="false">H74</f>
        <v>0.0296472241391719</v>
      </c>
      <c r="F106" s="126" t="n">
        <f aca="false">I74</f>
        <v>0</v>
      </c>
      <c r="G106" s="144" t="n">
        <f aca="false">J74</f>
        <v>0.0200286537703845</v>
      </c>
      <c r="H106" s="144"/>
      <c r="I106" s="102"/>
      <c r="J106" s="102"/>
      <c r="K106" s="102"/>
      <c r="L106" s="102"/>
      <c r="M106" s="102"/>
      <c r="N106" s="102"/>
      <c r="O106" s="102"/>
    </row>
    <row r="107" customFormat="false" ht="17.25" hidden="false" customHeight="true" outlineLevel="0" collapsed="false">
      <c r="A107" s="102"/>
      <c r="B107" s="123" t="n">
        <v>24</v>
      </c>
      <c r="C107" s="126" t="n">
        <f aca="false">E75</f>
        <v>0.0142</v>
      </c>
      <c r="D107" s="126" t="n">
        <f aca="false">$C$78</f>
        <v>0.0140585365853659</v>
      </c>
      <c r="E107" s="126" t="n">
        <f aca="false">H75</f>
        <v>0.0271009683277646</v>
      </c>
      <c r="F107" s="126" t="n">
        <f aca="false">I75</f>
        <v>0.00101610484296708</v>
      </c>
      <c r="G107" s="144" t="n">
        <f aca="false">J75</f>
        <v>0.0190534949877951</v>
      </c>
      <c r="H107" s="144"/>
      <c r="I107" s="102"/>
      <c r="J107" s="102"/>
      <c r="K107" s="102"/>
      <c r="L107" s="102"/>
      <c r="M107" s="102"/>
      <c r="N107" s="102"/>
      <c r="O107" s="102"/>
    </row>
    <row r="108" customFormat="false" ht="17.25" hidden="false" customHeight="true" outlineLevel="0" collapsed="false">
      <c r="A108" s="102"/>
      <c r="B108" s="123" t="n">
        <v>25</v>
      </c>
      <c r="C108" s="126" t="n">
        <f aca="false">E76</f>
        <v>0.01175</v>
      </c>
      <c r="D108" s="126" t="n">
        <f aca="false">$C$78</f>
        <v>0.0140585365853659</v>
      </c>
      <c r="E108" s="126" t="n">
        <f aca="false">H76</f>
        <v>0.0286404185693182</v>
      </c>
      <c r="F108" s="126" t="n">
        <f aca="false">I76</f>
        <v>0</v>
      </c>
      <c r="G108" s="144" t="n">
        <f aca="false">J76</f>
        <v>0.0196430698516737</v>
      </c>
      <c r="H108" s="144"/>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 hidden="false" customHeight="true" outlineLevel="0" collapsed="false">
      <c r="A120" s="102"/>
      <c r="B120" s="102"/>
      <c r="C120" s="102"/>
      <c r="D120" s="102"/>
      <c r="E120" s="102"/>
      <c r="F120" s="102"/>
      <c r="G120" s="102"/>
      <c r="H120" s="102"/>
      <c r="I120" s="102"/>
      <c r="J120" s="102"/>
      <c r="K120" s="102"/>
      <c r="L120" s="102"/>
      <c r="M120" s="102"/>
      <c r="N120" s="102"/>
      <c r="O120" s="102"/>
    </row>
    <row r="121" customFormat="false" ht="15" hidden="false" customHeight="true" outlineLevel="0" collapsed="false">
      <c r="A121" s="102"/>
      <c r="B121" s="102"/>
      <c r="C121" s="102"/>
      <c r="D121" s="102"/>
      <c r="E121" s="102"/>
      <c r="F121" s="102"/>
      <c r="G121" s="102"/>
      <c r="H121" s="102"/>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 hidden="false" customHeight="true" outlineLevel="0" collapsed="false">
      <c r="A124" s="102"/>
      <c r="B124" s="102"/>
      <c r="C124" s="102"/>
      <c r="D124" s="102"/>
      <c r="E124" s="102"/>
      <c r="F124" s="102"/>
      <c r="G124" s="102"/>
      <c r="H124" s="102"/>
      <c r="I124" s="102"/>
      <c r="J124" s="102"/>
      <c r="K124" s="102"/>
      <c r="L124" s="102"/>
      <c r="M124" s="102"/>
      <c r="N124" s="102"/>
      <c r="O124" s="102"/>
    </row>
    <row r="125" customFormat="false" ht="15" hidden="false" customHeight="true" outlineLevel="0" collapsed="false">
      <c r="A125" s="102"/>
      <c r="B125" s="102"/>
      <c r="C125" s="102"/>
      <c r="D125" s="102"/>
      <c r="E125" s="102"/>
      <c r="F125" s="102"/>
      <c r="G125" s="102"/>
      <c r="H125" s="102"/>
      <c r="I125" s="102"/>
      <c r="J125" s="102"/>
      <c r="K125" s="102"/>
      <c r="L125" s="102"/>
      <c r="M125" s="102"/>
      <c r="N125" s="102"/>
      <c r="O125" s="102"/>
    </row>
    <row r="126" customFormat="false" ht="15" hidden="false" customHeight="true" outlineLevel="0" collapsed="false">
      <c r="A126" s="102"/>
      <c r="B126" s="102"/>
      <c r="C126" s="102"/>
      <c r="D126" s="102"/>
      <c r="E126" s="102"/>
      <c r="F126" s="102"/>
      <c r="G126" s="102"/>
      <c r="H126" s="102"/>
      <c r="I126" s="102"/>
      <c r="J126" s="102"/>
      <c r="K126" s="102"/>
      <c r="L126" s="102"/>
      <c r="M126" s="102"/>
      <c r="N126" s="102"/>
      <c r="O126" s="102"/>
    </row>
    <row r="127" customFormat="false" ht="15" hidden="false" customHeight="true" outlineLevel="0" collapsed="false">
      <c r="A127" s="102"/>
      <c r="B127" s="102"/>
      <c r="C127" s="102"/>
      <c r="D127" s="102"/>
      <c r="E127" s="102"/>
      <c r="F127" s="102"/>
      <c r="G127" s="102"/>
      <c r="H127" s="102"/>
      <c r="I127" s="102"/>
      <c r="J127" s="102"/>
      <c r="K127" s="102"/>
      <c r="L127" s="102"/>
      <c r="M127" s="102"/>
      <c r="N127" s="102"/>
      <c r="O127" s="102"/>
    </row>
    <row r="128" customFormat="false" ht="15.75" hidden="false" customHeight="true" outlineLevel="0" collapsed="false">
      <c r="A128" s="102"/>
      <c r="B128" s="103" t="s">
        <v>1493</v>
      </c>
      <c r="C128" s="104"/>
      <c r="D128" s="104"/>
      <c r="E128" s="104"/>
      <c r="F128" s="104"/>
      <c r="G128" s="104"/>
      <c r="H128" s="104"/>
      <c r="I128" s="104"/>
      <c r="J128" s="104"/>
      <c r="K128" s="104"/>
      <c r="L128" s="102"/>
      <c r="M128" s="102"/>
      <c r="N128" s="102"/>
      <c r="O128" s="102"/>
    </row>
    <row r="129" customFormat="false" ht="33.75" hidden="false" customHeight="true" outlineLevel="0" collapsed="false">
      <c r="A129" s="102"/>
      <c r="B129" s="105" t="s">
        <v>1494</v>
      </c>
      <c r="C129" s="117" t="str">
        <f aca="false">IF($C$80&lt;=1.2,"sigma_z = "&amp;TEXT($C$80,"0.00")&amp;" - little to no overdispersion; the plain p-chart on E-52 is essentially adequate here.","sigma_z = "&amp;TEXT($C$80,"0.00")&amp;" - real overdispersion present. Use the Laney p prime limits above, not the plain p-chart limits, or the process will look far less stable than it really is.")</f>
        <v>sigma_z = 2.61 - real overdispersion present. Use the Laney p prime limits above, not the plain p-chart limits, or the process will look far less stable than it really is.</v>
      </c>
      <c r="D129" s="117"/>
      <c r="E129" s="117"/>
      <c r="F129" s="117"/>
      <c r="G129" s="117"/>
      <c r="H129" s="102"/>
      <c r="I129" s="102"/>
      <c r="J129" s="102"/>
      <c r="K129" s="102"/>
      <c r="L129" s="102"/>
      <c r="M129" s="102"/>
      <c r="N129" s="102"/>
      <c r="O129" s="102"/>
    </row>
    <row r="130" customFormat="false" ht="15" hidden="false" customHeight="true" outlineLevel="0" collapsed="false">
      <c r="A130" s="102"/>
      <c r="B130" s="102"/>
      <c r="C130" s="102"/>
      <c r="D130" s="102"/>
      <c r="E130" s="102"/>
      <c r="F130" s="102"/>
      <c r="G130" s="102"/>
      <c r="H130" s="102"/>
      <c r="I130" s="102"/>
      <c r="J130" s="102"/>
      <c r="K130" s="102"/>
      <c r="L130" s="102"/>
      <c r="M130" s="102"/>
      <c r="N130" s="102"/>
      <c r="O130" s="102"/>
    </row>
    <row r="131" customFormat="false" ht="16.5" hidden="false" customHeight="true" outlineLevel="0" collapsed="false">
      <c r="A131" s="102"/>
      <c r="B131" s="108" t="s">
        <v>1495</v>
      </c>
      <c r="C131" s="108" t="s">
        <v>1496</v>
      </c>
      <c r="D131" s="108" t="s">
        <v>1497</v>
      </c>
      <c r="E131" s="102"/>
      <c r="F131" s="102"/>
      <c r="G131" s="102"/>
      <c r="H131" s="102"/>
      <c r="I131" s="102"/>
      <c r="J131" s="102"/>
      <c r="K131" s="102"/>
      <c r="L131" s="102"/>
      <c r="M131" s="102"/>
      <c r="N131" s="102"/>
      <c r="O131" s="102"/>
    </row>
    <row r="132" customFormat="false" ht="30.75" hidden="false" customHeight="true" outlineLevel="0" collapsed="false">
      <c r="A132" s="102"/>
      <c r="B132" s="110" t="s">
        <v>6107</v>
      </c>
      <c r="C132" s="111" t="s">
        <v>6108</v>
      </c>
      <c r="D132" s="15" t="s">
        <v>6109</v>
      </c>
      <c r="E132" s="102"/>
      <c r="F132" s="102"/>
      <c r="G132" s="102"/>
      <c r="H132" s="102"/>
      <c r="I132" s="102"/>
      <c r="J132" s="102"/>
      <c r="K132" s="102"/>
      <c r="L132" s="102"/>
      <c r="M132" s="102"/>
      <c r="N132" s="102"/>
      <c r="O132" s="102"/>
    </row>
    <row r="133" customFormat="false" ht="30.75" hidden="false" customHeight="true" outlineLevel="0" collapsed="false">
      <c r="A133" s="102"/>
      <c r="B133" s="110" t="s">
        <v>6110</v>
      </c>
      <c r="C133" s="111" t="s">
        <v>6111</v>
      </c>
      <c r="D133" s="15" t="s">
        <v>6112</v>
      </c>
      <c r="E133" s="102"/>
      <c r="F133" s="102"/>
      <c r="G133" s="102"/>
      <c r="H133" s="102"/>
      <c r="I133" s="102"/>
      <c r="J133" s="102"/>
      <c r="K133" s="102"/>
      <c r="L133" s="102"/>
      <c r="M133" s="102"/>
      <c r="N133" s="102"/>
      <c r="O133" s="102"/>
    </row>
    <row r="134" customFormat="false" ht="30.75" hidden="false" customHeight="true" outlineLevel="0" collapsed="false">
      <c r="A134" s="102"/>
      <c r="B134" s="110" t="s">
        <v>6113</v>
      </c>
      <c r="C134" s="111" t="s">
        <v>6114</v>
      </c>
      <c r="D134" s="15" t="s">
        <v>6115</v>
      </c>
      <c r="E134" s="102"/>
      <c r="F134" s="102"/>
      <c r="G134" s="102"/>
      <c r="H134" s="102"/>
      <c r="I134" s="102"/>
      <c r="J134" s="102"/>
      <c r="K134" s="102"/>
      <c r="L134" s="102"/>
      <c r="M134" s="102"/>
      <c r="N134" s="102"/>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 hidden="false" customHeight="true" outlineLevel="0" collapsed="false">
      <c r="A136" s="102"/>
      <c r="B136" s="105" t="s">
        <v>1507</v>
      </c>
      <c r="C136" s="102"/>
      <c r="D136" s="102"/>
      <c r="E136" s="102"/>
      <c r="F136" s="102"/>
      <c r="G136" s="102"/>
      <c r="H136" s="102"/>
      <c r="I136" s="102"/>
      <c r="J136" s="102"/>
      <c r="K136" s="102"/>
      <c r="L136" s="102"/>
      <c r="M136" s="102"/>
      <c r="N136" s="102"/>
      <c r="O136" s="102"/>
    </row>
    <row r="137" customFormat="false" ht="17.25" hidden="false" customHeight="true" outlineLevel="0" collapsed="false">
      <c r="A137" s="102"/>
      <c r="B137" s="106" t="s">
        <v>6116</v>
      </c>
      <c r="C137" s="106"/>
      <c r="D137" s="106"/>
      <c r="E137" s="106"/>
      <c r="F137" s="106"/>
      <c r="G137" s="106"/>
      <c r="H137" s="106"/>
      <c r="I137" s="102"/>
      <c r="J137" s="102"/>
      <c r="K137" s="102"/>
      <c r="L137" s="102"/>
      <c r="M137" s="102"/>
      <c r="N137" s="102"/>
      <c r="O137" s="102"/>
    </row>
    <row r="138" customFormat="false" ht="17.25" hidden="false" customHeight="true" outlineLevel="0" collapsed="false">
      <c r="A138" s="102"/>
      <c r="B138" s="106" t="s">
        <v>6117</v>
      </c>
      <c r="C138" s="106"/>
      <c r="D138" s="106"/>
      <c r="E138" s="106"/>
      <c r="F138" s="106"/>
      <c r="G138" s="106"/>
      <c r="H138" s="106"/>
      <c r="I138" s="102"/>
      <c r="J138" s="102"/>
      <c r="K138" s="102"/>
      <c r="L138" s="102"/>
      <c r="M138" s="102"/>
      <c r="N138" s="102"/>
      <c r="O138" s="102"/>
    </row>
    <row r="139" customFormat="false" ht="17.25" hidden="false" customHeight="true" outlineLevel="0" collapsed="false">
      <c r="A139" s="102"/>
      <c r="B139" s="106" t="s">
        <v>6118</v>
      </c>
      <c r="C139" s="106"/>
      <c r="D139" s="106"/>
      <c r="E139" s="106"/>
      <c r="F139" s="106"/>
      <c r="G139" s="106"/>
      <c r="H139" s="106"/>
      <c r="I139" s="102"/>
      <c r="J139" s="102"/>
      <c r="K139" s="102"/>
      <c r="L139" s="102"/>
      <c r="M139" s="102"/>
      <c r="N139" s="102"/>
      <c r="O139" s="102"/>
    </row>
    <row r="140" customFormat="false" ht="31.5" hidden="false" customHeight="true" outlineLevel="0" collapsed="false">
      <c r="A140" s="102"/>
      <c r="B140" s="106" t="s">
        <v>6119</v>
      </c>
      <c r="C140" s="106"/>
      <c r="D140" s="106"/>
      <c r="E140" s="106"/>
      <c r="F140" s="106"/>
      <c r="G140" s="106"/>
      <c r="H140" s="106"/>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75" hidden="false" customHeight="true" outlineLevel="0" collapsed="false">
      <c r="A142" s="102"/>
      <c r="B142" s="103" t="s">
        <v>1513</v>
      </c>
      <c r="C142" s="104"/>
      <c r="D142" s="104"/>
      <c r="E142" s="104"/>
      <c r="F142" s="104"/>
      <c r="G142" s="104"/>
      <c r="H142" s="104"/>
      <c r="I142" s="104"/>
      <c r="J142" s="104"/>
      <c r="K142" s="104"/>
      <c r="L142" s="102"/>
      <c r="M142" s="102"/>
      <c r="N142" s="102"/>
      <c r="O142" s="102"/>
    </row>
    <row r="143" customFormat="false" ht="17.25" hidden="false" customHeight="true" outlineLevel="0" collapsed="false">
      <c r="A143" s="102"/>
      <c r="B143" s="118" t="s">
        <v>1514</v>
      </c>
      <c r="C143" s="118"/>
      <c r="D143" s="118"/>
      <c r="E143" s="118"/>
      <c r="F143" s="102"/>
      <c r="G143" s="102"/>
      <c r="H143" s="102"/>
      <c r="I143" s="102"/>
      <c r="J143" s="102"/>
      <c r="K143" s="102"/>
      <c r="L143" s="102"/>
      <c r="M143" s="102"/>
      <c r="N143" s="119" t="s">
        <v>1515</v>
      </c>
      <c r="O143" s="102"/>
    </row>
    <row r="144" customFormat="false" ht="58.5" hidden="false" customHeight="true" outlineLevel="0" collapsed="false">
      <c r="A144" s="102"/>
      <c r="B144" s="106" t="s">
        <v>6120</v>
      </c>
      <c r="C144" s="106"/>
      <c r="D144" s="106"/>
      <c r="E144" s="106"/>
      <c r="F144" s="102"/>
      <c r="G144" s="102"/>
      <c r="H144" s="102"/>
      <c r="I144" s="102"/>
      <c r="J144" s="102"/>
      <c r="K144" s="102"/>
      <c r="L144" s="102"/>
      <c r="M144" s="102"/>
      <c r="N144" s="120" t="s">
        <v>6121</v>
      </c>
      <c r="O144" s="102"/>
    </row>
    <row r="145" customFormat="false" ht="44.25" hidden="false" customHeight="true" outlineLevel="0" collapsed="false">
      <c r="A145" s="102"/>
      <c r="B145" s="106" t="s">
        <v>6122</v>
      </c>
      <c r="C145" s="106"/>
      <c r="D145" s="106"/>
      <c r="E145" s="106"/>
      <c r="F145" s="102"/>
      <c r="G145" s="102"/>
      <c r="H145" s="102"/>
      <c r="I145" s="102"/>
      <c r="J145" s="102"/>
      <c r="K145" s="102"/>
      <c r="L145" s="102"/>
      <c r="M145" s="102"/>
      <c r="N145" s="120" t="s">
        <v>6123</v>
      </c>
      <c r="O145" s="102"/>
    </row>
    <row r="146" customFormat="false" ht="44.25" hidden="false" customHeight="true" outlineLevel="0" collapsed="false">
      <c r="A146" s="102"/>
      <c r="B146" s="106" t="s">
        <v>6124</v>
      </c>
      <c r="C146" s="106"/>
      <c r="D146" s="106"/>
      <c r="E146" s="106"/>
      <c r="F146" s="102"/>
      <c r="G146" s="102"/>
      <c r="H146" s="102"/>
      <c r="I146" s="102"/>
      <c r="J146" s="102"/>
      <c r="K146" s="102"/>
      <c r="L146" s="102"/>
      <c r="M146" s="102"/>
      <c r="N146" s="120" t="s">
        <v>6125</v>
      </c>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75" hidden="false" customHeight="true" outlineLevel="0" collapsed="false">
      <c r="A148" s="102"/>
      <c r="B148" s="103" t="s">
        <v>1522</v>
      </c>
      <c r="C148" s="104"/>
      <c r="D148" s="104"/>
      <c r="E148" s="104"/>
      <c r="F148" s="104"/>
      <c r="G148" s="104"/>
      <c r="H148" s="104"/>
      <c r="I148" s="104"/>
      <c r="J148" s="104"/>
      <c r="K148" s="104"/>
      <c r="L148" s="102"/>
      <c r="M148" s="102"/>
      <c r="N148" s="102"/>
      <c r="O148" s="102"/>
    </row>
    <row r="149" customFormat="false" ht="16.5" hidden="false" customHeight="true" outlineLevel="0" collapsed="false">
      <c r="A149" s="102"/>
      <c r="B149" s="108" t="s">
        <v>1523</v>
      </c>
      <c r="C149" s="108" t="s">
        <v>1524</v>
      </c>
      <c r="D149" s="108" t="s">
        <v>1615</v>
      </c>
      <c r="E149" s="102"/>
      <c r="F149" s="102"/>
      <c r="G149" s="102"/>
      <c r="H149" s="102"/>
      <c r="I149" s="102"/>
      <c r="J149" s="102"/>
      <c r="K149" s="102"/>
      <c r="L149" s="102"/>
      <c r="M149" s="102"/>
      <c r="N149" s="102"/>
      <c r="O149" s="102"/>
    </row>
    <row r="150" customFormat="false" ht="15" hidden="false" customHeight="true" outlineLevel="0" collapsed="false">
      <c r="A150" s="102"/>
      <c r="B150" s="121" t="s">
        <v>1072</v>
      </c>
      <c r="C150" s="121" t="s">
        <v>1095</v>
      </c>
      <c r="D150" s="121" t="s">
        <v>1645</v>
      </c>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59">
    <mergeCell ref="B2:J2"/>
    <mergeCell ref="D3:F3"/>
    <mergeCell ref="C6:G6"/>
    <mergeCell ref="C7:G7"/>
    <mergeCell ref="C8:G8"/>
    <mergeCell ref="B11:H11"/>
    <mergeCell ref="B12:H15"/>
    <mergeCell ref="B16:H18"/>
    <mergeCell ref="B21:D21"/>
    <mergeCell ref="E21:H21"/>
    <mergeCell ref="B22:D22"/>
    <mergeCell ref="E22:H22"/>
    <mergeCell ref="B23:D23"/>
    <mergeCell ref="E23:H23"/>
    <mergeCell ref="B24:H24"/>
    <mergeCell ref="B32:H33"/>
    <mergeCell ref="B34:H34"/>
    <mergeCell ref="B35:H35"/>
    <mergeCell ref="B36:H36"/>
    <mergeCell ref="B37:H37"/>
    <mergeCell ref="B38:H39"/>
    <mergeCell ref="B48:H48"/>
    <mergeCell ref="C49:D49"/>
    <mergeCell ref="B81:H81"/>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C129:G129"/>
    <mergeCell ref="B137:H137"/>
    <mergeCell ref="B138:H138"/>
    <mergeCell ref="B139:H139"/>
    <mergeCell ref="B140:H140"/>
    <mergeCell ref="B143:E143"/>
    <mergeCell ref="B144:E144"/>
    <mergeCell ref="B145:E145"/>
    <mergeCell ref="B146:E146"/>
  </mergeCells>
  <hyperlinks>
    <hyperlink ref="B3" location="'N-03 Index DMAIC'!A1" display="← Back to Index"/>
    <hyperlink ref="E27" location="'E-20 Sample Size'!A1" display="E-20  Sample Size Determination"/>
    <hyperlink ref="E28" location="'E-47 Common vs Special Cause'!A1" display="E-47  Common Cause vs Special Cause Variation"/>
    <hyperlink ref="E29" location="'E-52 p and np Charts'!A1" display="E-52  p and np Charts"/>
    <hyperlink ref="B150" location="'E-52 p and np Charts'!A1" display="E-52  p and np Charts"/>
    <hyperlink ref="C150" location="'E-53 c and u Charts'!A1" display="E-53  c and u Charts"/>
    <hyperlink ref="D150" location="'E-47 Common vs Special Cause'!A1" display="E-47  Common Cause vs Special Cause Vari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6126</v>
      </c>
      <c r="C2" s="3"/>
      <c r="D2" s="3"/>
      <c r="E2" s="3"/>
      <c r="F2" s="3"/>
      <c r="G2" s="3"/>
      <c r="H2" s="3"/>
      <c r="I2" s="3"/>
      <c r="J2" s="3"/>
      <c r="K2" s="141" t="s">
        <v>5631</v>
      </c>
    </row>
    <row r="3" customFormat="false" ht="28.5" hidden="false" customHeight="true" outlineLevel="0" collapsed="false">
      <c r="B3" s="5" t="s">
        <v>3</v>
      </c>
      <c r="D3" s="6" t="s">
        <v>6127</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6128</v>
      </c>
      <c r="D6" s="106"/>
      <c r="E6" s="106"/>
      <c r="F6" s="106"/>
      <c r="G6" s="106"/>
      <c r="H6" s="102"/>
      <c r="I6" s="102"/>
      <c r="J6" s="102"/>
      <c r="K6" s="102"/>
      <c r="L6" s="102"/>
      <c r="M6" s="102"/>
      <c r="N6" s="102"/>
      <c r="O6" s="102"/>
    </row>
    <row r="7" customFormat="false" ht="31.5" hidden="false" customHeight="true" outlineLevel="0" collapsed="false">
      <c r="A7" s="102"/>
      <c r="B7" s="105" t="s">
        <v>1394</v>
      </c>
      <c r="C7" s="106" t="s">
        <v>6129</v>
      </c>
      <c r="D7" s="106"/>
      <c r="E7" s="106"/>
      <c r="F7" s="106"/>
      <c r="G7" s="106"/>
      <c r="H7" s="102"/>
      <c r="I7" s="102"/>
      <c r="J7" s="102"/>
      <c r="K7" s="102"/>
      <c r="L7" s="102"/>
      <c r="M7" s="102"/>
      <c r="N7" s="102"/>
      <c r="O7" s="102"/>
    </row>
    <row r="8" customFormat="false" ht="31.5" hidden="false" customHeight="true" outlineLevel="0" collapsed="false">
      <c r="A8" s="102"/>
      <c r="B8" s="105" t="s">
        <v>1396</v>
      </c>
      <c r="C8" s="106" t="s">
        <v>6130</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2" hidden="false" customHeight="true" outlineLevel="0" collapsed="false">
      <c r="A11" s="102"/>
      <c r="B11" s="106" t="s">
        <v>6131</v>
      </c>
      <c r="C11" s="106"/>
      <c r="D11" s="106"/>
      <c r="E11" s="106"/>
      <c r="F11" s="106"/>
      <c r="G11" s="106"/>
      <c r="H11" s="106"/>
      <c r="I11" s="102"/>
      <c r="J11" s="102"/>
      <c r="K11" s="102"/>
      <c r="L11" s="102"/>
      <c r="M11" s="102"/>
      <c r="N11" s="102"/>
      <c r="O11" s="102"/>
    </row>
    <row r="12" customFormat="false" ht="12" hidden="false" customHeight="true" outlineLevel="0" collapsed="false">
      <c r="A12" s="102"/>
      <c r="B12" s="106"/>
      <c r="C12" s="106"/>
      <c r="D12" s="106"/>
      <c r="E12" s="106"/>
      <c r="F12" s="106"/>
      <c r="G12" s="106"/>
      <c r="H12" s="106"/>
      <c r="I12" s="102"/>
      <c r="J12" s="102"/>
      <c r="K12" s="102"/>
      <c r="L12" s="102"/>
      <c r="M12" s="102"/>
      <c r="N12" s="102"/>
      <c r="O12" s="102"/>
    </row>
    <row r="13" customFormat="false" ht="12" hidden="false" customHeight="true" outlineLevel="0" collapsed="false">
      <c r="A13" s="102"/>
      <c r="B13" s="106"/>
      <c r="C13" s="106"/>
      <c r="D13" s="106"/>
      <c r="E13" s="106"/>
      <c r="F13" s="106"/>
      <c r="G13" s="106"/>
      <c r="H13" s="106"/>
      <c r="I13" s="102"/>
      <c r="J13" s="102"/>
      <c r="K13" s="102"/>
      <c r="L13" s="102"/>
      <c r="M13" s="102"/>
      <c r="N13" s="102"/>
      <c r="O13" s="102"/>
    </row>
    <row r="14" customFormat="false" ht="12" hidden="false" customHeight="true" outlineLevel="0" collapsed="false">
      <c r="A14" s="102"/>
      <c r="B14" s="106"/>
      <c r="C14" s="106"/>
      <c r="D14" s="106"/>
      <c r="E14" s="106"/>
      <c r="F14" s="106"/>
      <c r="G14" s="106"/>
      <c r="H14" s="106"/>
      <c r="I14" s="102"/>
      <c r="J14" s="102"/>
      <c r="K14" s="102"/>
      <c r="L14" s="102"/>
      <c r="M14" s="102"/>
      <c r="N14" s="102"/>
      <c r="O14" s="102"/>
    </row>
    <row r="15" customFormat="false" ht="12" hidden="false" customHeight="true" outlineLevel="0" collapsed="false">
      <c r="A15" s="102"/>
      <c r="B15" s="106"/>
      <c r="C15" s="106"/>
      <c r="D15" s="106"/>
      <c r="E15" s="106"/>
      <c r="F15" s="106"/>
      <c r="G15" s="106"/>
      <c r="H15" s="106"/>
      <c r="I15" s="102"/>
      <c r="J15" s="102"/>
      <c r="K15" s="102"/>
      <c r="L15" s="102"/>
      <c r="M15" s="102"/>
      <c r="N15" s="102"/>
      <c r="O15" s="102"/>
    </row>
    <row r="16" customFormat="false" ht="10.5" hidden="false" customHeight="true" outlineLevel="0" collapsed="false">
      <c r="A16" s="102"/>
      <c r="B16" s="106" t="s">
        <v>6132</v>
      </c>
      <c r="C16" s="106"/>
      <c r="D16" s="106"/>
      <c r="E16" s="106"/>
      <c r="F16" s="106"/>
      <c r="G16" s="106"/>
      <c r="H16" s="106"/>
      <c r="I16" s="102"/>
      <c r="J16" s="102"/>
      <c r="K16" s="102"/>
      <c r="L16" s="102"/>
      <c r="M16" s="102"/>
      <c r="N16" s="102"/>
      <c r="O16" s="102"/>
    </row>
    <row r="17" customFormat="false" ht="10.5" hidden="false" customHeight="true" outlineLevel="0" collapsed="false">
      <c r="A17" s="102"/>
      <c r="B17" s="106"/>
      <c r="C17" s="106"/>
      <c r="D17" s="106"/>
      <c r="E17" s="106"/>
      <c r="F17" s="106"/>
      <c r="G17" s="106"/>
      <c r="H17" s="106"/>
      <c r="I17" s="102"/>
      <c r="J17" s="102"/>
      <c r="K17" s="102"/>
      <c r="L17" s="102"/>
      <c r="M17" s="102"/>
      <c r="N17" s="102"/>
      <c r="O17" s="102"/>
    </row>
    <row r="18" customFormat="false" ht="10.5" hidden="false" customHeight="true" outlineLevel="0" collapsed="false">
      <c r="A18" s="102"/>
      <c r="B18" s="106"/>
      <c r="C18" s="106"/>
      <c r="D18" s="106"/>
      <c r="E18" s="106"/>
      <c r="F18" s="106"/>
      <c r="G18" s="106"/>
      <c r="H18" s="106"/>
      <c r="I18" s="102"/>
      <c r="J18" s="102"/>
      <c r="K18" s="102"/>
      <c r="L18" s="102"/>
      <c r="M18" s="102"/>
      <c r="N18" s="102"/>
      <c r="O18" s="102"/>
    </row>
    <row r="19" customFormat="false" ht="15.75" hidden="false" customHeight="true" outlineLevel="0" collapsed="false">
      <c r="A19" s="102"/>
      <c r="B19" s="106" t="s">
        <v>6133</v>
      </c>
      <c r="C19" s="106"/>
      <c r="D19" s="106"/>
      <c r="E19" s="106"/>
      <c r="F19" s="106"/>
      <c r="G19" s="106"/>
      <c r="H19" s="106"/>
      <c r="I19" s="102"/>
      <c r="J19" s="102"/>
      <c r="K19" s="102"/>
      <c r="L19" s="102"/>
      <c r="M19" s="102"/>
      <c r="N19" s="102"/>
      <c r="O19" s="102"/>
    </row>
    <row r="20" customFormat="false" ht="15.75" hidden="false" customHeight="true" outlineLevel="0" collapsed="false">
      <c r="A20" s="102"/>
      <c r="B20" s="106"/>
      <c r="C20" s="106"/>
      <c r="D20" s="106"/>
      <c r="E20" s="106"/>
      <c r="F20" s="106"/>
      <c r="G20" s="106"/>
      <c r="H20" s="106"/>
      <c r="I20" s="102"/>
      <c r="J20" s="102"/>
      <c r="K20" s="102"/>
      <c r="L20" s="102"/>
      <c r="M20" s="102"/>
      <c r="N20" s="102"/>
      <c r="O20" s="102"/>
    </row>
    <row r="21" customFormat="false" ht="17.25" hidden="false" customHeight="true" outlineLevel="0" collapsed="false">
      <c r="A21" s="102"/>
      <c r="B21" s="106" t="s">
        <v>6134</v>
      </c>
      <c r="C21" s="106"/>
      <c r="D21" s="106"/>
      <c r="E21" s="106"/>
      <c r="F21" s="106"/>
      <c r="G21" s="106"/>
      <c r="H21" s="106"/>
      <c r="I21" s="102"/>
      <c r="J21" s="102"/>
      <c r="K21" s="102"/>
      <c r="L21" s="102"/>
      <c r="M21" s="102"/>
      <c r="N21" s="102"/>
      <c r="O21" s="102"/>
    </row>
    <row r="22" customFormat="false" ht="15" hidden="false" customHeight="true" outlineLevel="0" collapsed="false">
      <c r="A22" s="102"/>
      <c r="B22" s="102"/>
      <c r="C22" s="102"/>
      <c r="D22" s="102"/>
      <c r="E22" s="102"/>
      <c r="F22" s="102"/>
      <c r="G22" s="102"/>
      <c r="H22" s="102"/>
      <c r="I22" s="102"/>
      <c r="J22" s="102"/>
      <c r="K22" s="102"/>
      <c r="L22" s="102"/>
      <c r="M22" s="102"/>
      <c r="N22" s="102"/>
      <c r="O22" s="102"/>
    </row>
    <row r="23" customFormat="false" ht="15.75" hidden="false" customHeight="true" outlineLevel="0" collapsed="false">
      <c r="A23" s="102"/>
      <c r="B23" s="103" t="s">
        <v>1406</v>
      </c>
      <c r="C23" s="104"/>
      <c r="D23" s="104"/>
      <c r="E23" s="104"/>
      <c r="F23" s="104"/>
      <c r="G23" s="104"/>
      <c r="H23" s="104"/>
      <c r="I23" s="104"/>
      <c r="J23" s="104"/>
      <c r="K23" s="104"/>
      <c r="L23" s="102"/>
      <c r="M23" s="102"/>
      <c r="N23" s="102"/>
      <c r="O23" s="102"/>
    </row>
    <row r="24" customFormat="false" ht="17.25" hidden="false" customHeight="true" outlineLevel="0" collapsed="false">
      <c r="A24" s="102"/>
      <c r="B24" s="107" t="s">
        <v>1407</v>
      </c>
      <c r="C24" s="107"/>
      <c r="D24" s="107"/>
      <c r="E24" s="107" t="s">
        <v>1408</v>
      </c>
      <c r="F24" s="107"/>
      <c r="G24" s="107"/>
      <c r="H24" s="107"/>
      <c r="I24" s="102"/>
      <c r="J24" s="102"/>
      <c r="K24" s="102"/>
      <c r="L24" s="102"/>
      <c r="M24" s="102"/>
      <c r="N24" s="102"/>
      <c r="O24" s="102"/>
    </row>
    <row r="25" customFormat="false" ht="31.5" hidden="false" customHeight="true" outlineLevel="0" collapsed="false">
      <c r="A25" s="102"/>
      <c r="B25" s="106" t="s">
        <v>6135</v>
      </c>
      <c r="C25" s="106"/>
      <c r="D25" s="106"/>
      <c r="E25" s="106" t="s">
        <v>6136</v>
      </c>
      <c r="F25" s="106"/>
      <c r="G25" s="106"/>
      <c r="H25" s="106"/>
      <c r="I25" s="102"/>
      <c r="J25" s="102"/>
      <c r="K25" s="102"/>
      <c r="L25" s="102"/>
      <c r="M25" s="102"/>
      <c r="N25" s="102"/>
      <c r="O25" s="102"/>
    </row>
    <row r="26" customFormat="false" ht="31.5" hidden="false" customHeight="true" outlineLevel="0" collapsed="false">
      <c r="A26" s="102"/>
      <c r="B26" s="106" t="s">
        <v>6137</v>
      </c>
      <c r="C26" s="106"/>
      <c r="D26" s="106"/>
      <c r="E26" s="106" t="s">
        <v>6138</v>
      </c>
      <c r="F26" s="106"/>
      <c r="G26" s="106"/>
      <c r="H26" s="106"/>
      <c r="I26" s="102"/>
      <c r="J26" s="102"/>
      <c r="K26" s="102"/>
      <c r="L26" s="102"/>
      <c r="M26" s="102"/>
      <c r="N26" s="102"/>
      <c r="O26" s="102"/>
    </row>
    <row r="27" customFormat="false" ht="17.25" hidden="false" customHeight="true" outlineLevel="0" collapsed="false">
      <c r="A27" s="102"/>
      <c r="B27" s="106" t="s">
        <v>6139</v>
      </c>
      <c r="C27" s="106"/>
      <c r="D27" s="106"/>
      <c r="E27" s="106"/>
      <c r="F27" s="106"/>
      <c r="G27" s="106"/>
      <c r="H27" s="106"/>
      <c r="I27" s="102"/>
      <c r="J27" s="102"/>
      <c r="K27" s="102"/>
      <c r="L27" s="102"/>
      <c r="M27" s="102"/>
      <c r="N27" s="102"/>
      <c r="O27" s="102"/>
    </row>
    <row r="28" customFormat="false" ht="15" hidden="false" customHeight="true" outlineLevel="0" collapsed="false">
      <c r="A28" s="102"/>
      <c r="B28" s="102"/>
      <c r="C28" s="102"/>
      <c r="D28" s="102"/>
      <c r="E28" s="102"/>
      <c r="F28" s="102"/>
      <c r="G28" s="102"/>
      <c r="H28" s="102"/>
      <c r="I28" s="102"/>
      <c r="J28" s="102"/>
      <c r="K28" s="102"/>
      <c r="L28" s="102"/>
      <c r="M28" s="102"/>
      <c r="N28" s="102"/>
      <c r="O28" s="102"/>
    </row>
    <row r="29" customFormat="false" ht="30.75" hidden="false" customHeight="true" outlineLevel="0" collapsed="false">
      <c r="A29" s="102"/>
      <c r="B29" s="108" t="s">
        <v>1416</v>
      </c>
      <c r="C29" s="108" t="s">
        <v>1417</v>
      </c>
      <c r="D29" s="108" t="s">
        <v>1418</v>
      </c>
      <c r="E29" s="108" t="s">
        <v>1419</v>
      </c>
      <c r="F29" s="102"/>
      <c r="G29" s="102"/>
      <c r="H29" s="102"/>
      <c r="I29" s="102"/>
      <c r="J29" s="102"/>
      <c r="K29" s="102"/>
      <c r="L29" s="102"/>
      <c r="M29" s="102"/>
      <c r="N29" s="102"/>
      <c r="O29" s="102"/>
    </row>
    <row r="30" customFormat="false" ht="72" hidden="false" customHeight="true" outlineLevel="0" collapsed="false">
      <c r="A30" s="102"/>
      <c r="B30" s="15" t="s">
        <v>6140</v>
      </c>
      <c r="C30" s="15" t="s">
        <v>6141</v>
      </c>
      <c r="D30" s="15" t="s">
        <v>6142</v>
      </c>
      <c r="E30" s="109" t="s">
        <v>1060</v>
      </c>
      <c r="F30" s="102"/>
      <c r="G30" s="102"/>
      <c r="H30" s="102"/>
      <c r="I30" s="102"/>
      <c r="J30" s="102"/>
      <c r="K30" s="102"/>
      <c r="L30" s="102"/>
      <c r="M30" s="102"/>
      <c r="N30" s="102"/>
      <c r="O30" s="102"/>
    </row>
    <row r="31" customFormat="false" ht="72" hidden="false" customHeight="true" outlineLevel="0" collapsed="false">
      <c r="A31" s="102"/>
      <c r="B31" s="15" t="s">
        <v>6143</v>
      </c>
      <c r="C31" s="15" t="s">
        <v>6144</v>
      </c>
      <c r="D31" s="15" t="s">
        <v>6145</v>
      </c>
      <c r="E31" s="109" t="s">
        <v>2892</v>
      </c>
      <c r="F31" s="102"/>
      <c r="G31" s="102"/>
      <c r="H31" s="102"/>
      <c r="I31" s="102"/>
      <c r="J31" s="102"/>
      <c r="K31" s="102"/>
      <c r="L31" s="102"/>
      <c r="M31" s="102"/>
      <c r="N31" s="102"/>
      <c r="O31" s="102"/>
    </row>
    <row r="32" customFormat="false" ht="30.75" hidden="false" customHeight="true" outlineLevel="0" collapsed="false">
      <c r="A32" s="102"/>
      <c r="B32" s="15" t="s">
        <v>6146</v>
      </c>
      <c r="C32" s="15" t="s">
        <v>6147</v>
      </c>
      <c r="D32" s="15" t="s">
        <v>6148</v>
      </c>
      <c r="E32" s="109" t="s">
        <v>1025</v>
      </c>
      <c r="F32" s="102"/>
      <c r="G32" s="102"/>
      <c r="H32" s="102"/>
      <c r="I32" s="102"/>
      <c r="J32" s="102"/>
      <c r="K32" s="102"/>
      <c r="L32" s="102"/>
      <c r="M32" s="102"/>
      <c r="N32" s="102"/>
      <c r="O32" s="102"/>
    </row>
    <row r="33" customFormat="false" ht="15" hidden="false" customHeight="true" outlineLevel="0" collapsed="false">
      <c r="A33" s="102"/>
      <c r="B33" s="102"/>
      <c r="C33" s="102"/>
      <c r="D33" s="102"/>
      <c r="E33" s="102"/>
      <c r="F33" s="102"/>
      <c r="G33" s="102"/>
      <c r="H33" s="102"/>
      <c r="I33" s="102"/>
      <c r="J33" s="102"/>
      <c r="K33" s="102"/>
      <c r="L33" s="102"/>
      <c r="M33" s="102"/>
      <c r="N33" s="102"/>
      <c r="O33" s="102"/>
    </row>
    <row r="34" customFormat="false" ht="15.75" hidden="false" customHeight="true" outlineLevel="0" collapsed="false">
      <c r="A34" s="102"/>
      <c r="B34" s="103" t="s">
        <v>1429</v>
      </c>
      <c r="C34" s="104"/>
      <c r="D34" s="104"/>
      <c r="E34" s="104"/>
      <c r="F34" s="104"/>
      <c r="G34" s="104"/>
      <c r="H34" s="104"/>
      <c r="I34" s="104"/>
      <c r="J34" s="104"/>
      <c r="K34" s="104"/>
      <c r="L34" s="102"/>
      <c r="M34" s="102"/>
      <c r="N34" s="102"/>
      <c r="O34" s="102"/>
    </row>
    <row r="35" customFormat="false" ht="17.25" hidden="false" customHeight="true" outlineLevel="0" collapsed="false">
      <c r="A35" s="102"/>
      <c r="B35" s="106" t="s">
        <v>6149</v>
      </c>
      <c r="C35" s="106"/>
      <c r="D35" s="106"/>
      <c r="E35" s="106"/>
      <c r="F35" s="106"/>
      <c r="G35" s="106"/>
      <c r="H35" s="106"/>
      <c r="I35" s="102"/>
      <c r="J35" s="102"/>
      <c r="K35" s="102"/>
      <c r="L35" s="102"/>
      <c r="M35" s="102"/>
      <c r="N35" s="102"/>
      <c r="O35" s="102"/>
    </row>
    <row r="36" customFormat="false" ht="8.25" hidden="false" customHeight="true" outlineLevel="0" collapsed="false">
      <c r="A36" s="102"/>
      <c r="B36" s="106" t="s">
        <v>6150</v>
      </c>
      <c r="C36" s="106"/>
      <c r="D36" s="106"/>
      <c r="E36" s="106"/>
      <c r="F36" s="106"/>
      <c r="G36" s="106"/>
      <c r="H36" s="106"/>
      <c r="I36" s="102"/>
      <c r="J36" s="102"/>
      <c r="K36" s="102"/>
      <c r="L36" s="102"/>
      <c r="M36" s="102"/>
      <c r="N36" s="102"/>
      <c r="O36" s="102"/>
    </row>
    <row r="37" customFormat="false" ht="8.25" hidden="false" customHeight="true" outlineLevel="0" collapsed="false">
      <c r="A37" s="102"/>
      <c r="B37" s="106"/>
      <c r="C37" s="106"/>
      <c r="D37" s="106"/>
      <c r="E37" s="106"/>
      <c r="F37" s="106"/>
      <c r="G37" s="106"/>
      <c r="H37" s="106"/>
      <c r="I37" s="102"/>
      <c r="J37" s="102"/>
      <c r="K37" s="102"/>
      <c r="L37" s="102"/>
      <c r="M37" s="102"/>
      <c r="N37" s="102"/>
      <c r="O37" s="102"/>
    </row>
    <row r="38" customFormat="false" ht="17.25" hidden="false" customHeight="true" outlineLevel="0" collapsed="false">
      <c r="A38" s="102"/>
      <c r="B38" s="106" t="s">
        <v>6151</v>
      </c>
      <c r="C38" s="106"/>
      <c r="D38" s="106"/>
      <c r="E38" s="106"/>
      <c r="F38" s="106"/>
      <c r="G38" s="106"/>
      <c r="H38" s="106"/>
      <c r="I38" s="102"/>
      <c r="J38" s="102"/>
      <c r="K38" s="102"/>
      <c r="L38" s="102"/>
      <c r="M38" s="102"/>
      <c r="N38" s="102"/>
      <c r="O38" s="102"/>
    </row>
    <row r="39" customFormat="false" ht="17.25" hidden="false" customHeight="true" outlineLevel="0" collapsed="false">
      <c r="A39" s="102"/>
      <c r="B39" s="106" t="s">
        <v>6152</v>
      </c>
      <c r="C39" s="106"/>
      <c r="D39" s="106"/>
      <c r="E39" s="106"/>
      <c r="F39" s="106"/>
      <c r="G39" s="106"/>
      <c r="H39" s="106"/>
      <c r="I39" s="102"/>
      <c r="J39" s="102"/>
      <c r="K39" s="102"/>
      <c r="L39" s="102"/>
      <c r="M39" s="102"/>
      <c r="N39" s="102"/>
      <c r="O39" s="102"/>
    </row>
    <row r="40" customFormat="false" ht="15" hidden="false" customHeight="true" outlineLevel="0" collapsed="false">
      <c r="A40" s="102"/>
      <c r="B40" s="106" t="s">
        <v>6153</v>
      </c>
      <c r="C40" s="106"/>
      <c r="D40" s="106"/>
      <c r="E40" s="106"/>
      <c r="F40" s="106"/>
      <c r="G40" s="106"/>
      <c r="H40" s="106"/>
      <c r="I40" s="102"/>
      <c r="J40" s="102"/>
      <c r="K40" s="102"/>
      <c r="L40" s="102"/>
      <c r="M40" s="102"/>
      <c r="N40" s="102"/>
      <c r="O40" s="102"/>
    </row>
    <row r="41" customFormat="false" ht="15" hidden="false" customHeight="true" outlineLevel="0" collapsed="false">
      <c r="A41" s="102"/>
      <c r="B41" s="106"/>
      <c r="C41" s="106"/>
      <c r="D41" s="106"/>
      <c r="E41" s="106"/>
      <c r="F41" s="106"/>
      <c r="G41" s="106"/>
      <c r="H41" s="106"/>
      <c r="I41" s="102"/>
      <c r="J41" s="102"/>
      <c r="K41" s="102"/>
      <c r="L41" s="102"/>
      <c r="M41" s="102"/>
      <c r="N41" s="102"/>
      <c r="O41" s="102"/>
    </row>
    <row r="42" customFormat="false" ht="15" hidden="false" customHeight="true" outlineLevel="0" collapsed="false">
      <c r="A42" s="102"/>
      <c r="B42" s="106"/>
      <c r="C42" s="106"/>
      <c r="D42" s="106"/>
      <c r="E42" s="106"/>
      <c r="F42" s="106"/>
      <c r="G42" s="106"/>
      <c r="H42" s="106"/>
      <c r="I42" s="102"/>
      <c r="J42" s="102"/>
      <c r="K42" s="102"/>
      <c r="L42" s="102"/>
      <c r="M42" s="102"/>
      <c r="N42" s="102"/>
      <c r="O42" s="102"/>
    </row>
    <row r="43" customFormat="false" ht="15" hidden="false" customHeight="true" outlineLevel="0" collapsed="false">
      <c r="A43" s="102"/>
      <c r="B43" s="102"/>
      <c r="C43" s="102"/>
      <c r="D43" s="102"/>
      <c r="E43" s="102"/>
      <c r="F43" s="102"/>
      <c r="G43" s="102"/>
      <c r="H43" s="102"/>
      <c r="I43" s="102"/>
      <c r="J43" s="102"/>
      <c r="K43" s="102"/>
      <c r="L43" s="102"/>
      <c r="M43" s="102"/>
      <c r="N43" s="102"/>
      <c r="O43" s="102"/>
    </row>
    <row r="44" customFormat="false" ht="15.75" hidden="false" customHeight="true" outlineLevel="0" collapsed="false">
      <c r="A44" s="102"/>
      <c r="B44" s="103" t="s">
        <v>1437</v>
      </c>
      <c r="C44" s="104"/>
      <c r="D44" s="104"/>
      <c r="E44" s="104"/>
      <c r="F44" s="104"/>
      <c r="G44" s="104"/>
      <c r="H44" s="104"/>
      <c r="I44" s="104"/>
      <c r="J44" s="104"/>
      <c r="K44" s="104"/>
      <c r="L44" s="102"/>
      <c r="M44" s="102"/>
      <c r="N44" s="102"/>
      <c r="O44" s="102"/>
    </row>
    <row r="45" customFormat="false" ht="17.25" hidden="false" customHeight="true" outlineLevel="0" collapsed="false">
      <c r="A45" s="102"/>
      <c r="B45" s="108" t="s">
        <v>1438</v>
      </c>
      <c r="C45" s="108" t="s">
        <v>1439</v>
      </c>
      <c r="D45" s="108" t="s">
        <v>1440</v>
      </c>
      <c r="E45" s="108"/>
      <c r="F45" s="102"/>
      <c r="G45" s="102"/>
      <c r="H45" s="102"/>
      <c r="I45" s="102"/>
      <c r="J45" s="102"/>
      <c r="K45" s="102"/>
      <c r="L45" s="102"/>
      <c r="M45" s="102"/>
      <c r="N45" s="102"/>
      <c r="O45" s="102"/>
    </row>
    <row r="46" customFormat="false" ht="31.5" hidden="false" customHeight="true" outlineLevel="0" collapsed="false">
      <c r="A46" s="102"/>
      <c r="B46" s="110" t="s">
        <v>2588</v>
      </c>
      <c r="C46" s="111" t="s">
        <v>6154</v>
      </c>
      <c r="D46" s="15" t="s">
        <v>6155</v>
      </c>
      <c r="E46" s="15"/>
      <c r="F46" s="102"/>
      <c r="G46" s="102"/>
      <c r="H46" s="102"/>
      <c r="I46" s="102"/>
      <c r="J46" s="102"/>
      <c r="K46" s="102"/>
      <c r="L46" s="102"/>
      <c r="M46" s="102"/>
      <c r="N46" s="102"/>
      <c r="O46" s="102"/>
    </row>
    <row r="47" customFormat="false" ht="17.25" hidden="false" customHeight="true" outlineLevel="0" collapsed="false">
      <c r="A47" s="102"/>
      <c r="B47" s="110" t="s">
        <v>6156</v>
      </c>
      <c r="C47" s="111" t="s">
        <v>6157</v>
      </c>
      <c r="D47" s="15" t="s">
        <v>6158</v>
      </c>
      <c r="E47" s="15"/>
      <c r="F47" s="102"/>
      <c r="G47" s="102"/>
      <c r="H47" s="102"/>
      <c r="I47" s="102"/>
      <c r="J47" s="102"/>
      <c r="K47" s="102"/>
      <c r="L47" s="102"/>
      <c r="M47" s="102"/>
      <c r="N47" s="102"/>
      <c r="O47" s="102"/>
    </row>
    <row r="48" customFormat="false" ht="15" hidden="false" customHeight="true" outlineLevel="0" collapsed="false">
      <c r="A48" s="102"/>
      <c r="B48" s="102"/>
      <c r="C48" s="102"/>
      <c r="D48" s="102"/>
      <c r="E48" s="102"/>
      <c r="F48" s="102"/>
      <c r="G48" s="102"/>
      <c r="H48" s="102"/>
      <c r="I48" s="102"/>
      <c r="J48" s="102"/>
      <c r="K48" s="102"/>
      <c r="L48" s="102"/>
      <c r="M48" s="102"/>
      <c r="N48" s="102"/>
      <c r="O48" s="102"/>
    </row>
    <row r="49" customFormat="false" ht="15.75" hidden="false" customHeight="true" outlineLevel="0" collapsed="false">
      <c r="A49" s="102"/>
      <c r="B49" s="103" t="s">
        <v>1454</v>
      </c>
      <c r="C49" s="104"/>
      <c r="D49" s="104"/>
      <c r="E49" s="104"/>
      <c r="F49" s="104"/>
      <c r="G49" s="104"/>
      <c r="H49" s="104"/>
      <c r="I49" s="104"/>
      <c r="J49" s="104"/>
      <c r="K49" s="104"/>
      <c r="L49" s="102"/>
      <c r="M49" s="102"/>
      <c r="N49" s="102"/>
      <c r="O49" s="102"/>
    </row>
    <row r="50" customFormat="false" ht="17.25" hidden="false" customHeight="true" outlineLevel="0" collapsed="false">
      <c r="A50" s="102"/>
      <c r="B50" s="106" t="s">
        <v>6159</v>
      </c>
      <c r="C50" s="106"/>
      <c r="D50" s="106"/>
      <c r="E50" s="106"/>
      <c r="F50" s="106"/>
      <c r="G50" s="106"/>
      <c r="H50" s="106"/>
      <c r="I50" s="102"/>
      <c r="J50" s="102"/>
      <c r="K50" s="102"/>
      <c r="L50" s="102"/>
      <c r="M50" s="102"/>
      <c r="N50" s="102"/>
      <c r="O50" s="102"/>
    </row>
    <row r="51" customFormat="false" ht="17.25" hidden="false" customHeight="true" outlineLevel="0" collapsed="false">
      <c r="A51" s="102"/>
      <c r="B51" s="112" t="s">
        <v>85</v>
      </c>
      <c r="C51" s="113" t="s">
        <v>86</v>
      </c>
      <c r="D51" s="113"/>
      <c r="E51" s="102"/>
      <c r="F51" s="102"/>
      <c r="G51" s="102"/>
      <c r="H51" s="102"/>
      <c r="I51" s="102"/>
      <c r="J51" s="102"/>
      <c r="K51" s="102"/>
      <c r="L51" s="102"/>
      <c r="M51" s="102"/>
      <c r="N51" s="102"/>
      <c r="O51" s="102"/>
    </row>
    <row r="52" customFormat="false" ht="15" hidden="false" customHeight="true" outlineLevel="0" collapsed="false">
      <c r="A52" s="102"/>
      <c r="B52" s="102"/>
      <c r="C52" s="102"/>
      <c r="D52" s="102"/>
      <c r="E52" s="102"/>
      <c r="F52" s="102"/>
      <c r="G52" s="102"/>
      <c r="H52" s="102"/>
      <c r="I52" s="102"/>
      <c r="J52" s="102"/>
      <c r="K52" s="102"/>
      <c r="L52" s="102"/>
      <c r="M52" s="102"/>
      <c r="N52" s="102"/>
      <c r="O52" s="102"/>
    </row>
    <row r="53" customFormat="false" ht="15" hidden="false" customHeight="true" outlineLevel="0" collapsed="false">
      <c r="A53" s="102"/>
      <c r="B53" s="105" t="s">
        <v>6160</v>
      </c>
      <c r="C53" s="139" t="n">
        <v>500</v>
      </c>
      <c r="D53" s="102"/>
      <c r="E53" s="102"/>
      <c r="F53" s="102"/>
      <c r="G53" s="102"/>
      <c r="H53" s="102"/>
      <c r="I53" s="102"/>
      <c r="J53" s="102"/>
      <c r="K53" s="102"/>
      <c r="L53" s="102"/>
      <c r="M53" s="102"/>
      <c r="N53" s="102"/>
      <c r="O53" s="102"/>
    </row>
    <row r="54" customFormat="false" ht="15" hidden="false" customHeight="true" outlineLevel="0" collapsed="false">
      <c r="A54" s="102"/>
      <c r="B54" s="105" t="s">
        <v>6161</v>
      </c>
      <c r="C54" s="131" t="n">
        <v>1.3</v>
      </c>
      <c r="D54" s="102"/>
      <c r="E54" s="102"/>
      <c r="F54" s="102"/>
      <c r="G54" s="102"/>
      <c r="H54" s="102"/>
      <c r="I54" s="102"/>
      <c r="J54" s="102"/>
      <c r="K54" s="102"/>
      <c r="L54" s="102"/>
      <c r="M54" s="102"/>
      <c r="N54" s="102"/>
      <c r="O54" s="102"/>
    </row>
    <row r="55" customFormat="false" ht="15" hidden="false" customHeight="true" outlineLevel="0" collapsed="false">
      <c r="A55" s="102"/>
      <c r="B55" s="105" t="s">
        <v>6162</v>
      </c>
      <c r="C55" s="133" t="n">
        <f aca="false">0.5*C54</f>
        <v>0.65</v>
      </c>
      <c r="D55" s="102"/>
      <c r="E55" s="102"/>
      <c r="F55" s="102"/>
      <c r="G55" s="102"/>
      <c r="H55" s="102"/>
      <c r="I55" s="102"/>
      <c r="J55" s="102"/>
      <c r="K55" s="102"/>
      <c r="L55" s="102"/>
      <c r="M55" s="102"/>
      <c r="N55" s="102"/>
      <c r="O55" s="102"/>
    </row>
    <row r="56" customFormat="false" ht="15" hidden="false" customHeight="true" outlineLevel="0" collapsed="false">
      <c r="A56" s="102"/>
      <c r="B56" s="105" t="s">
        <v>6163</v>
      </c>
      <c r="C56" s="133" t="n">
        <f aca="false">5*C54</f>
        <v>6.5</v>
      </c>
      <c r="D56" s="102"/>
      <c r="E56" s="102"/>
      <c r="F56" s="102"/>
      <c r="G56" s="102"/>
      <c r="H56" s="102"/>
      <c r="I56" s="102"/>
      <c r="J56" s="102"/>
      <c r="K56" s="102"/>
      <c r="L56" s="102"/>
      <c r="M56" s="102"/>
      <c r="N56" s="102"/>
      <c r="O56" s="102"/>
    </row>
    <row r="57" customFormat="false" ht="15" hidden="false" customHeight="true" outlineLevel="0" collapsed="false">
      <c r="A57" s="102"/>
      <c r="B57" s="105" t="s">
        <v>6164</v>
      </c>
      <c r="C57" s="131" t="n">
        <v>0.2</v>
      </c>
      <c r="D57" s="102"/>
      <c r="E57" s="102"/>
      <c r="F57" s="102"/>
      <c r="G57" s="102"/>
      <c r="H57" s="102"/>
      <c r="I57" s="102"/>
      <c r="J57" s="102"/>
      <c r="K57" s="102"/>
      <c r="L57" s="102"/>
      <c r="M57" s="102"/>
      <c r="N57" s="102"/>
      <c r="O57" s="102"/>
    </row>
    <row r="58" customFormat="false" ht="15" hidden="false" customHeight="true" outlineLevel="0" collapsed="false">
      <c r="A58" s="102"/>
      <c r="B58" s="105" t="s">
        <v>6165</v>
      </c>
      <c r="C58" s="139" t="n">
        <v>3</v>
      </c>
      <c r="D58" s="102"/>
      <c r="E58" s="102"/>
      <c r="F58" s="102"/>
      <c r="G58" s="102"/>
      <c r="H58" s="102"/>
      <c r="I58" s="102"/>
      <c r="J58" s="102"/>
      <c r="K58" s="102"/>
      <c r="L58" s="102"/>
      <c r="M58" s="102"/>
      <c r="N58" s="102"/>
      <c r="O58" s="102"/>
    </row>
    <row r="59" customFormat="false" ht="15" hidden="false" customHeight="true" outlineLevel="0" collapsed="false">
      <c r="A59" s="102"/>
      <c r="B59" s="102"/>
      <c r="C59" s="102"/>
      <c r="D59" s="102"/>
      <c r="E59" s="102"/>
      <c r="F59" s="102"/>
      <c r="G59" s="102"/>
      <c r="H59" s="102"/>
      <c r="I59" s="102"/>
      <c r="J59" s="102"/>
      <c r="K59" s="102"/>
      <c r="L59" s="102"/>
      <c r="M59" s="102"/>
      <c r="N59" s="102"/>
      <c r="O59" s="102"/>
    </row>
    <row r="60" customFormat="false" ht="30.75" hidden="false" customHeight="true" outlineLevel="0" collapsed="false">
      <c r="A60" s="102"/>
      <c r="B60" s="108" t="s">
        <v>5798</v>
      </c>
      <c r="C60" s="108" t="s">
        <v>6166</v>
      </c>
      <c r="D60" s="108" t="s">
        <v>6167</v>
      </c>
      <c r="E60" s="108" t="s">
        <v>6168</v>
      </c>
      <c r="F60" s="108" t="s">
        <v>6169</v>
      </c>
      <c r="G60" s="108" t="s">
        <v>6170</v>
      </c>
      <c r="H60" s="108" t="s">
        <v>6171</v>
      </c>
      <c r="I60" s="108" t="s">
        <v>6172</v>
      </c>
      <c r="J60" s="108" t="s">
        <v>6173</v>
      </c>
      <c r="K60" s="102"/>
      <c r="L60" s="102"/>
      <c r="M60" s="102"/>
      <c r="N60" s="102"/>
      <c r="O60" s="102"/>
    </row>
    <row r="61" customFormat="false" ht="15" hidden="false" customHeight="true" outlineLevel="0" collapsed="false">
      <c r="A61" s="102"/>
      <c r="B61" s="123" t="n">
        <v>1</v>
      </c>
      <c r="C61" s="131" t="n">
        <v>502.69</v>
      </c>
      <c r="D61" s="133" t="n">
        <f aca="false">MAX(0,0+(C61-$C$53)-$C$55)</f>
        <v>2.04</v>
      </c>
      <c r="E61" s="133" t="n">
        <f aca="false">MAX(0,0-(C61-$C$53)-$C$55)</f>
        <v>0</v>
      </c>
      <c r="F61" s="132" t="str">
        <f aca="false">IF(OR(D61&gt;$C$56,E61&gt;$C$56),"OOC","OK")</f>
        <v>OK</v>
      </c>
      <c r="G61" s="133" t="n">
        <f aca="false">$C$57*C61+(1-$C$57)*$C$53</f>
        <v>500.538</v>
      </c>
      <c r="H61" s="133" t="n">
        <f aca="false">$C$53+$C$58*$C$54*SQRT($C$57/(2-$C$57)*(1-(1-$C$57)^(2*(B61))))</f>
        <v>500.78</v>
      </c>
      <c r="I61" s="133" t="n">
        <f aca="false">$C$53-$C$58*$C$54*SQRT($C$57/(2-$C$57)*(1-(1-$C$57)^(2*(B61))))</f>
        <v>499.22</v>
      </c>
      <c r="J61" s="132" t="str">
        <f aca="false">IF(G61&gt;H61,"OOC high",IF(G61&lt;I61,"OOC low","OK"))</f>
        <v>OK</v>
      </c>
      <c r="K61" s="102"/>
      <c r="L61" s="102"/>
      <c r="M61" s="102"/>
      <c r="N61" s="102"/>
      <c r="O61" s="102"/>
    </row>
    <row r="62" customFormat="false" ht="15" hidden="false" customHeight="true" outlineLevel="0" collapsed="false">
      <c r="A62" s="102"/>
      <c r="B62" s="123" t="n">
        <v>2</v>
      </c>
      <c r="C62" s="131" t="n">
        <v>501.71</v>
      </c>
      <c r="D62" s="133" t="n">
        <f aca="false">MAX(0,D61+(C62-$C$53)-$C$55)</f>
        <v>3.09999999999998</v>
      </c>
      <c r="E62" s="133" t="n">
        <f aca="false">MAX(0,E61-(C62-$C$53)-$C$55)</f>
        <v>0</v>
      </c>
      <c r="F62" s="132" t="str">
        <f aca="false">IF(OR(D62&gt;$C$56,E62&gt;$C$56),"OOC","OK")</f>
        <v>OK</v>
      </c>
      <c r="G62" s="133" t="n">
        <f aca="false">$C$57*C62+(1-$C$57)*G61</f>
        <v>500.7724</v>
      </c>
      <c r="H62" s="133" t="n">
        <f aca="false">$C$53+$C$58*$C$54*SQRT($C$57/(2-$C$57)*(1-(1-$C$57)^(2*(B62))))</f>
        <v>500.99888738104</v>
      </c>
      <c r="I62" s="133" t="n">
        <f aca="false">$C$53-$C$58*$C$54*SQRT($C$57/(2-$C$57)*(1-(1-$C$57)^(2*(B62))))</f>
        <v>499.00111261896</v>
      </c>
      <c r="J62" s="132" t="str">
        <f aca="false">IF(G62&gt;H62,"OOC high",IF(G62&lt;I62,"OOC low","OK"))</f>
        <v>OK</v>
      </c>
      <c r="K62" s="102"/>
      <c r="L62" s="102"/>
      <c r="M62" s="102"/>
      <c r="N62" s="102"/>
      <c r="O62" s="102"/>
    </row>
    <row r="63" customFormat="false" ht="15" hidden="false" customHeight="true" outlineLevel="0" collapsed="false">
      <c r="A63" s="102"/>
      <c r="B63" s="123" t="n">
        <v>3</v>
      </c>
      <c r="C63" s="131" t="n">
        <v>501.25</v>
      </c>
      <c r="D63" s="133" t="n">
        <f aca="false">MAX(0,D62+(C63-$C$53)-$C$55)</f>
        <v>3.69999999999998</v>
      </c>
      <c r="E63" s="133" t="n">
        <f aca="false">MAX(0,E62-(C63-$C$53)-$C$55)</f>
        <v>0</v>
      </c>
      <c r="F63" s="132" t="str">
        <f aca="false">IF(OR(D63&gt;$C$56,E63&gt;$C$56),"OOC","OK")</f>
        <v>OK</v>
      </c>
      <c r="G63" s="133" t="n">
        <f aca="false">$C$57*C63+(1-$C$57)*G62</f>
        <v>500.86792</v>
      </c>
      <c r="H63" s="133" t="n">
        <f aca="false">$C$53+$C$58*$C$54*SQRT($C$57/(2-$C$57)*(1-(1-$C$57)^(2*(B63))))</f>
        <v>501.116681082494</v>
      </c>
      <c r="I63" s="133" t="n">
        <f aca="false">$C$53-$C$58*$C$54*SQRT($C$57/(2-$C$57)*(1-(1-$C$57)^(2*(B63))))</f>
        <v>498.883318917506</v>
      </c>
      <c r="J63" s="132" t="str">
        <f aca="false">IF(G63&gt;H63,"OOC high",IF(G63&lt;I63,"OOC low","OK"))</f>
        <v>OK</v>
      </c>
      <c r="K63" s="102"/>
      <c r="L63" s="102"/>
      <c r="M63" s="102"/>
      <c r="N63" s="102"/>
      <c r="O63" s="102"/>
    </row>
    <row r="64" customFormat="false" ht="15" hidden="false" customHeight="true" outlineLevel="0" collapsed="false">
      <c r="A64" s="102"/>
      <c r="B64" s="123" t="n">
        <v>4</v>
      </c>
      <c r="C64" s="131" t="n">
        <v>501.72</v>
      </c>
      <c r="D64" s="133" t="n">
        <f aca="false">MAX(0,D63+(C64-$C$53)-$C$55)</f>
        <v>4.77000000000001</v>
      </c>
      <c r="E64" s="133" t="n">
        <f aca="false">MAX(0,E63-(C64-$C$53)-$C$55)</f>
        <v>0</v>
      </c>
      <c r="F64" s="132" t="str">
        <f aca="false">IF(OR(D64&gt;$C$56,E64&gt;$C$56),"OOC","OK")</f>
        <v>OK</v>
      </c>
      <c r="G64" s="133" t="n">
        <f aca="false">$C$57*C64+(1-$C$57)*G63</f>
        <v>501.038336</v>
      </c>
      <c r="H64" s="133" t="n">
        <f aca="false">$C$53+$C$58*$C$54*SQRT($C$57/(2-$C$57)*(1-(1-$C$57)^(2*(B64))))</f>
        <v>501.18594479197</v>
      </c>
      <c r="I64" s="133" t="n">
        <f aca="false">$C$53-$C$58*$C$54*SQRT($C$57/(2-$C$57)*(1-(1-$C$57)^(2*(B64))))</f>
        <v>498.81405520803</v>
      </c>
      <c r="J64" s="132" t="str">
        <f aca="false">IF(G64&gt;H64,"OOC high",IF(G64&lt;I64,"OOC low","OK"))</f>
        <v>OK</v>
      </c>
      <c r="K64" s="102"/>
      <c r="L64" s="102"/>
      <c r="M64" s="102"/>
      <c r="N64" s="102"/>
      <c r="O64" s="102"/>
    </row>
    <row r="65" customFormat="false" ht="15" hidden="false" customHeight="true" outlineLevel="0" collapsed="false">
      <c r="A65" s="102"/>
      <c r="B65" s="123" t="n">
        <v>5</v>
      </c>
      <c r="C65" s="131" t="n">
        <v>501.17</v>
      </c>
      <c r="D65" s="133" t="n">
        <f aca="false">MAX(0,D64+(C65-$C$53)-$C$55)</f>
        <v>5.29000000000002</v>
      </c>
      <c r="E65" s="133" t="n">
        <f aca="false">MAX(0,E64-(C65-$C$53)-$C$55)</f>
        <v>0</v>
      </c>
      <c r="F65" s="132" t="str">
        <f aca="false">IF(OR(D65&gt;$C$56,E65&gt;$C$56),"OOC","OK")</f>
        <v>OK</v>
      </c>
      <c r="G65" s="133" t="n">
        <f aca="false">$C$57*C65+(1-$C$57)*G64</f>
        <v>501.0646688</v>
      </c>
      <c r="H65" s="133" t="n">
        <f aca="false">$C$53+$C$58*$C$54*SQRT($C$57/(2-$C$57)*(1-(1-$C$57)^(2*(B65))))</f>
        <v>501.228225399405</v>
      </c>
      <c r="I65" s="133" t="n">
        <f aca="false">$C$53-$C$58*$C$54*SQRT($C$57/(2-$C$57)*(1-(1-$C$57)^(2*(B65))))</f>
        <v>498.771774600595</v>
      </c>
      <c r="J65" s="132" t="str">
        <f aca="false">IF(G65&gt;H65,"OOC high",IF(G65&lt;I65,"OOC low","OK"))</f>
        <v>OK</v>
      </c>
      <c r="K65" s="102"/>
      <c r="L65" s="102"/>
      <c r="M65" s="102"/>
      <c r="N65" s="102"/>
      <c r="O65" s="102"/>
    </row>
    <row r="66" customFormat="false" ht="15" hidden="false" customHeight="true" outlineLevel="0" collapsed="false">
      <c r="A66" s="102"/>
      <c r="B66" s="123" t="n">
        <v>6</v>
      </c>
      <c r="C66" s="131" t="n">
        <v>498.19</v>
      </c>
      <c r="D66" s="133" t="n">
        <f aca="false">MAX(0,D65+(C66-$C$53)-$C$55)</f>
        <v>2.83000000000002</v>
      </c>
      <c r="E66" s="133" t="n">
        <f aca="false">MAX(0,E65-(C66-$C$53)-$C$55)</f>
        <v>1.16</v>
      </c>
      <c r="F66" s="132" t="str">
        <f aca="false">IF(OR(D66&gt;$C$56,E66&gt;$C$56),"OOC","OK")</f>
        <v>OK</v>
      </c>
      <c r="G66" s="133" t="n">
        <f aca="false">$C$57*C66+(1-$C$57)*G65</f>
        <v>500.48973504</v>
      </c>
      <c r="H66" s="133" t="n">
        <f aca="false">$C$53+$C$58*$C$54*SQRT($C$57/(2-$C$57)*(1-(1-$C$57)^(2*(B66))))</f>
        <v>501.254537398532</v>
      </c>
      <c r="I66" s="133" t="n">
        <f aca="false">$C$53-$C$58*$C$54*SQRT($C$57/(2-$C$57)*(1-(1-$C$57)^(2*(B66))))</f>
        <v>498.745462601468</v>
      </c>
      <c r="J66" s="132" t="str">
        <f aca="false">IF(G66&gt;H66,"OOC high",IF(G66&lt;I66,"OOC low","OK"))</f>
        <v>OK</v>
      </c>
      <c r="K66" s="102"/>
      <c r="L66" s="102"/>
      <c r="M66" s="102"/>
      <c r="N66" s="102"/>
      <c r="O66" s="102"/>
    </row>
    <row r="67" customFormat="false" ht="15" hidden="false" customHeight="true" outlineLevel="0" collapsed="false">
      <c r="A67" s="102"/>
      <c r="B67" s="123" t="n">
        <v>7</v>
      </c>
      <c r="C67" s="131" t="n">
        <v>499.61</v>
      </c>
      <c r="D67" s="133" t="n">
        <f aca="false">MAX(0,D66+(C67-$C$53)-$C$55)</f>
        <v>1.79000000000003</v>
      </c>
      <c r="E67" s="133" t="n">
        <f aca="false">MAX(0,E66-(C67-$C$53)-$C$55)</f>
        <v>0.899999999999989</v>
      </c>
      <c r="F67" s="132" t="str">
        <f aca="false">IF(OR(D67&gt;$C$56,E67&gt;$C$56),"OOC","OK")</f>
        <v>OK</v>
      </c>
      <c r="G67" s="133" t="n">
        <f aca="false">$C$57*C67+(1-$C$57)*G66</f>
        <v>500.313788032</v>
      </c>
      <c r="H67" s="133" t="n">
        <f aca="false">$C$53+$C$58*$C$54*SQRT($C$57/(2-$C$57)*(1-(1-$C$57)^(2*(B67))))</f>
        <v>501.271091268935</v>
      </c>
      <c r="I67" s="133" t="n">
        <f aca="false">$C$53-$C$58*$C$54*SQRT($C$57/(2-$C$57)*(1-(1-$C$57)^(2*(B67))))</f>
        <v>498.728908731065</v>
      </c>
      <c r="J67" s="132" t="str">
        <f aca="false">IF(G67&gt;H67,"OOC high",IF(G67&lt;I67,"OOC low","OK"))</f>
        <v>OK</v>
      </c>
      <c r="K67" s="102"/>
      <c r="L67" s="102"/>
      <c r="M67" s="102"/>
      <c r="N67" s="102"/>
      <c r="O67" s="102"/>
    </row>
    <row r="68" customFormat="false" ht="15" hidden="false" customHeight="true" outlineLevel="0" collapsed="false">
      <c r="A68" s="102"/>
      <c r="B68" s="123" t="n">
        <v>8</v>
      </c>
      <c r="C68" s="131" t="n">
        <v>501.15</v>
      </c>
      <c r="D68" s="133" t="n">
        <f aca="false">MAX(0,D67+(C68-$C$53)-$C$55)</f>
        <v>2.29000000000001</v>
      </c>
      <c r="E68" s="133" t="n">
        <f aca="false">MAX(0,E67-(C68-$C$53)-$C$55)</f>
        <v>0</v>
      </c>
      <c r="F68" s="132" t="str">
        <f aca="false">IF(OR(D68&gt;$C$56,E68&gt;$C$56),"OOC","OK")</f>
        <v>OK</v>
      </c>
      <c r="G68" s="133" t="n">
        <f aca="false">$C$57*C68+(1-$C$57)*G67</f>
        <v>500.4810304256</v>
      </c>
      <c r="H68" s="133" t="n">
        <f aca="false">$C$53+$C$58*$C$54*SQRT($C$57/(2-$C$57)*(1-(1-$C$57)^(2*(B68))))</f>
        <v>501.281573536297</v>
      </c>
      <c r="I68" s="133" t="n">
        <f aca="false">$C$53-$C$58*$C$54*SQRT($C$57/(2-$C$57)*(1-(1-$C$57)^(2*(B68))))</f>
        <v>498.718426463703</v>
      </c>
      <c r="J68" s="132" t="str">
        <f aca="false">IF(G68&gt;H68,"OOC high",IF(G68&lt;I68,"OOC low","OK"))</f>
        <v>OK</v>
      </c>
      <c r="K68" s="102"/>
      <c r="L68" s="102"/>
      <c r="M68" s="102"/>
      <c r="N68" s="102"/>
      <c r="O68" s="102"/>
    </row>
    <row r="69" customFormat="false" ht="15" hidden="false" customHeight="true" outlineLevel="0" collapsed="false">
      <c r="A69" s="102"/>
      <c r="B69" s="123" t="n">
        <v>9</v>
      </c>
      <c r="C69" s="131" t="n">
        <v>499.41</v>
      </c>
      <c r="D69" s="133" t="n">
        <f aca="false">MAX(0,D68+(C69-$C$53)-$C$55)</f>
        <v>1.05000000000003</v>
      </c>
      <c r="E69" s="133" t="n">
        <f aca="false">MAX(0,E68-(C69-$C$53)-$C$55)</f>
        <v>0</v>
      </c>
      <c r="F69" s="132" t="str">
        <f aca="false">IF(OR(D69&gt;$C$56,E69&gt;$C$56),"OOC","OK")</f>
        <v>OK</v>
      </c>
      <c r="G69" s="133" t="n">
        <f aca="false">$C$57*C69+(1-$C$57)*G68</f>
        <v>500.26682434048</v>
      </c>
      <c r="H69" s="133" t="n">
        <f aca="false">$C$53+$C$58*$C$54*SQRT($C$57/(2-$C$57)*(1-(1-$C$57)^(2*(B69))))</f>
        <v>501.2882374263</v>
      </c>
      <c r="I69" s="133" t="n">
        <f aca="false">$C$53-$C$58*$C$54*SQRT($C$57/(2-$C$57)*(1-(1-$C$57)^(2*(B69))))</f>
        <v>498.7117625737</v>
      </c>
      <c r="J69" s="132" t="str">
        <f aca="false">IF(G69&gt;H69,"OOC high",IF(G69&lt;I69,"OOC low","OK"))</f>
        <v>OK</v>
      </c>
      <c r="K69" s="102"/>
      <c r="L69" s="102"/>
      <c r="M69" s="102"/>
      <c r="N69" s="102"/>
      <c r="O69" s="102"/>
    </row>
    <row r="70" customFormat="false" ht="15" hidden="false" customHeight="true" outlineLevel="0" collapsed="false">
      <c r="A70" s="102"/>
      <c r="B70" s="123" t="n">
        <v>10</v>
      </c>
      <c r="C70" s="131" t="n">
        <v>496.68</v>
      </c>
      <c r="D70" s="133" t="n">
        <f aca="false">MAX(0,D69+(C70-$C$53)-$C$55)</f>
        <v>0</v>
      </c>
      <c r="E70" s="133" t="n">
        <f aca="false">MAX(0,E69-(C70-$C$53)-$C$55)</f>
        <v>2.66999999999999</v>
      </c>
      <c r="F70" s="132" t="str">
        <f aca="false">IF(OR(D70&gt;$C$56,E70&gt;$C$56),"OOC","OK")</f>
        <v>OK</v>
      </c>
      <c r="G70" s="133" t="n">
        <f aca="false">$C$57*C70+(1-$C$57)*G69</f>
        <v>499.549459472384</v>
      </c>
      <c r="H70" s="133" t="n">
        <f aca="false">$C$53+$C$58*$C$54*SQRT($C$57/(2-$C$57)*(1-(1-$C$57)^(2*(B70))))</f>
        <v>501.292484284845</v>
      </c>
      <c r="I70" s="133" t="n">
        <f aca="false">$C$53-$C$58*$C$54*SQRT($C$57/(2-$C$57)*(1-(1-$C$57)^(2*(B70))))</f>
        <v>498.707515715155</v>
      </c>
      <c r="J70" s="132" t="str">
        <f aca="false">IF(G70&gt;H70,"OOC high",IF(G70&lt;I70,"OOC low","OK"))</f>
        <v>OK</v>
      </c>
      <c r="K70" s="102"/>
      <c r="L70" s="102"/>
      <c r="M70" s="102"/>
      <c r="N70" s="102"/>
      <c r="O70" s="102"/>
    </row>
    <row r="71" customFormat="false" ht="15" hidden="false" customHeight="true" outlineLevel="0" collapsed="false">
      <c r="A71" s="102"/>
      <c r="B71" s="123" t="n">
        <v>11</v>
      </c>
      <c r="C71" s="131" t="n">
        <v>499.15</v>
      </c>
      <c r="D71" s="133" t="n">
        <f aca="false">MAX(0,D70+(C71-$C$53)-$C$55)</f>
        <v>0</v>
      </c>
      <c r="E71" s="133" t="n">
        <f aca="false">MAX(0,E70-(C71-$C$53)-$C$55)</f>
        <v>2.87000000000002</v>
      </c>
      <c r="F71" s="132" t="str">
        <f aca="false">IF(OR(D71&gt;$C$56,E71&gt;$C$56),"OOC","OK")</f>
        <v>OK</v>
      </c>
      <c r="G71" s="133" t="n">
        <f aca="false">$C$57*C71+(1-$C$57)*G70</f>
        <v>499.469567577907</v>
      </c>
      <c r="H71" s="133" t="n">
        <f aca="false">$C$53+$C$58*$C$54*SQRT($C$57/(2-$C$57)*(1-(1-$C$57)^(2*(B71))))</f>
        <v>501.295194966407</v>
      </c>
      <c r="I71" s="133" t="n">
        <f aca="false">$C$53-$C$58*$C$54*SQRT($C$57/(2-$C$57)*(1-(1-$C$57)^(2*(B71))))</f>
        <v>498.704805033593</v>
      </c>
      <c r="J71" s="132" t="str">
        <f aca="false">IF(G71&gt;H71,"OOC high",IF(G71&lt;I71,"OOC low","OK"))</f>
        <v>OK</v>
      </c>
      <c r="K71" s="102"/>
      <c r="L71" s="102"/>
      <c r="M71" s="102"/>
      <c r="N71" s="102"/>
      <c r="O71" s="102"/>
    </row>
    <row r="72" customFormat="false" ht="15" hidden="false" customHeight="true" outlineLevel="0" collapsed="false">
      <c r="A72" s="102"/>
      <c r="B72" s="123" t="n">
        <v>12</v>
      </c>
      <c r="C72" s="131" t="n">
        <v>498.62</v>
      </c>
      <c r="D72" s="133" t="n">
        <f aca="false">MAX(0,D71+(C72-$C$53)-$C$55)</f>
        <v>0</v>
      </c>
      <c r="E72" s="133" t="n">
        <f aca="false">MAX(0,E71-(C72-$C$53)-$C$55)</f>
        <v>3.60000000000001</v>
      </c>
      <c r="F72" s="132" t="str">
        <f aca="false">IF(OR(D72&gt;$C$56,E72&gt;$C$56),"OOC","OK")</f>
        <v>OK</v>
      </c>
      <c r="G72" s="133" t="n">
        <f aca="false">$C$57*C72+(1-$C$57)*G71</f>
        <v>499.299654062326</v>
      </c>
      <c r="H72" s="133" t="n">
        <f aca="false">$C$53+$C$58*$C$54*SQRT($C$57/(2-$C$57)*(1-(1-$C$57)^(2*(B72))))</f>
        <v>501.296926829333</v>
      </c>
      <c r="I72" s="133" t="n">
        <f aca="false">$C$53-$C$58*$C$54*SQRT($C$57/(2-$C$57)*(1-(1-$C$57)^(2*(B72))))</f>
        <v>498.703073170667</v>
      </c>
      <c r="J72" s="132" t="str">
        <f aca="false">IF(G72&gt;H72,"OOC high",IF(G72&lt;I72,"OOC low","OK"))</f>
        <v>OK</v>
      </c>
      <c r="K72" s="102"/>
      <c r="L72" s="102"/>
      <c r="M72" s="102"/>
      <c r="N72" s="102"/>
      <c r="O72" s="102"/>
    </row>
    <row r="73" customFormat="false" ht="15" hidden="false" customHeight="true" outlineLevel="0" collapsed="false">
      <c r="A73" s="102"/>
      <c r="B73" s="123" t="n">
        <v>13</v>
      </c>
      <c r="C73" s="131" t="n">
        <v>498.99</v>
      </c>
      <c r="D73" s="133" t="n">
        <f aca="false">MAX(0,D72+(C73-$C$53)-$C$55)</f>
        <v>0</v>
      </c>
      <c r="E73" s="133" t="n">
        <f aca="false">MAX(0,E72-(C73-$C$53)-$C$55)</f>
        <v>3.96</v>
      </c>
      <c r="F73" s="132" t="str">
        <f aca="false">IF(OR(D73&gt;$C$56,E73&gt;$C$56),"OOC","OK")</f>
        <v>OK</v>
      </c>
      <c r="G73" s="133" t="n">
        <f aca="false">$C$57*C73+(1-$C$57)*G72</f>
        <v>499.237723249861</v>
      </c>
      <c r="H73" s="133" t="n">
        <f aca="false">$C$53+$C$58*$C$54*SQRT($C$57/(2-$C$57)*(1-(1-$C$57)^(2*(B73))))</f>
        <v>501.298034008958</v>
      </c>
      <c r="I73" s="133" t="n">
        <f aca="false">$C$53-$C$58*$C$54*SQRT($C$57/(2-$C$57)*(1-(1-$C$57)^(2*(B73))))</f>
        <v>498.701965991042</v>
      </c>
      <c r="J73" s="132" t="str">
        <f aca="false">IF(G73&gt;H73,"OOC high",IF(G73&lt;I73,"OOC low","OK"))</f>
        <v>OK</v>
      </c>
      <c r="K73" s="102"/>
      <c r="L73" s="102"/>
      <c r="M73" s="102"/>
      <c r="N73" s="102"/>
      <c r="O73" s="102"/>
    </row>
    <row r="74" customFormat="false" ht="15" hidden="false" customHeight="true" outlineLevel="0" collapsed="false">
      <c r="A74" s="102"/>
      <c r="B74" s="123" t="n">
        <v>14</v>
      </c>
      <c r="C74" s="131" t="n">
        <v>500.86</v>
      </c>
      <c r="D74" s="133" t="n">
        <f aca="false">MAX(0,D73+(C74-$C$53)-$C$55)</f>
        <v>0.210000000000014</v>
      </c>
      <c r="E74" s="133" t="n">
        <f aca="false">MAX(0,E73-(C74-$C$53)-$C$55)</f>
        <v>2.44999999999999</v>
      </c>
      <c r="F74" s="132" t="str">
        <f aca="false">IF(OR(D74&gt;$C$56,E74&gt;$C$56),"OOC","OK")</f>
        <v>OK</v>
      </c>
      <c r="G74" s="133" t="n">
        <f aca="false">$C$57*C74+(1-$C$57)*G73</f>
        <v>499.562178599889</v>
      </c>
      <c r="H74" s="133" t="n">
        <f aca="false">$C$53+$C$58*$C$54*SQRT($C$57/(2-$C$57)*(1-(1-$C$57)^(2*(B74))))</f>
        <v>501.298742108574</v>
      </c>
      <c r="I74" s="133" t="n">
        <f aca="false">$C$53-$C$58*$C$54*SQRT($C$57/(2-$C$57)*(1-(1-$C$57)^(2*(B74))))</f>
        <v>498.701257891426</v>
      </c>
      <c r="J74" s="132" t="str">
        <f aca="false">IF(G74&gt;H74,"OOC high",IF(G74&lt;I74,"OOC low","OK"))</f>
        <v>OK</v>
      </c>
      <c r="K74" s="102"/>
      <c r="L74" s="102"/>
      <c r="M74" s="102"/>
      <c r="N74" s="102"/>
      <c r="O74" s="102"/>
    </row>
    <row r="75" customFormat="false" ht="15" hidden="false" customHeight="true" outlineLevel="0" collapsed="false">
      <c r="A75" s="102"/>
      <c r="B75" s="123" t="n">
        <v>15</v>
      </c>
      <c r="C75" s="131" t="n">
        <v>501.73</v>
      </c>
      <c r="D75" s="133" t="n">
        <f aca="false">MAX(0,D74+(C75-$C$53)-$C$55)</f>
        <v>1.29000000000003</v>
      </c>
      <c r="E75" s="133" t="n">
        <f aca="false">MAX(0,E74-(C75-$C$53)-$C$55)</f>
        <v>0.0699999999999713</v>
      </c>
      <c r="F75" s="132" t="str">
        <f aca="false">IF(OR(D75&gt;$C$56,E75&gt;$C$56),"OOC","OK")</f>
        <v>OK</v>
      </c>
      <c r="G75" s="133" t="n">
        <f aca="false">$C$57*C75+(1-$C$57)*G74</f>
        <v>499.995742879911</v>
      </c>
      <c r="H75" s="133" t="n">
        <f aca="false">$C$53+$C$58*$C$54*SQRT($C$57/(2-$C$57)*(1-(1-$C$57)^(2*(B75))))</f>
        <v>501.29919508979</v>
      </c>
      <c r="I75" s="133" t="n">
        <f aca="false">$C$53-$C$58*$C$54*SQRT($C$57/(2-$C$57)*(1-(1-$C$57)^(2*(B75))))</f>
        <v>498.70080491021</v>
      </c>
      <c r="J75" s="132" t="str">
        <f aca="false">IF(G75&gt;H75,"OOC high",IF(G75&lt;I75,"OOC low","OK"))</f>
        <v>OK</v>
      </c>
      <c r="K75" s="102"/>
      <c r="L75" s="102"/>
      <c r="M75" s="102"/>
      <c r="N75" s="102"/>
      <c r="O75" s="102"/>
    </row>
    <row r="76" customFormat="false" ht="15" hidden="false" customHeight="true" outlineLevel="0" collapsed="false">
      <c r="A76" s="102"/>
      <c r="B76" s="123" t="n">
        <v>16</v>
      </c>
      <c r="C76" s="131" t="n">
        <v>500.65</v>
      </c>
      <c r="D76" s="133" t="n">
        <f aca="false">MAX(0,D75+(C76-$C$53)-$C$55)</f>
        <v>1.29000000000001</v>
      </c>
      <c r="E76" s="133" t="n">
        <f aca="false">MAX(0,E75-(C76-$C$53)-$C$55)</f>
        <v>0</v>
      </c>
      <c r="F76" s="132" t="str">
        <f aca="false">IF(OR(D76&gt;$C$56,E76&gt;$C$56),"OOC","OK")</f>
        <v>OK</v>
      </c>
      <c r="G76" s="133" t="n">
        <f aca="false">$C$57*C76+(1-$C$57)*G75</f>
        <v>500.126594303929</v>
      </c>
      <c r="H76" s="133" t="n">
        <f aca="false">$C$53+$C$58*$C$54*SQRT($C$57/(2-$C$57)*(1-(1-$C$57)^(2*(B76))))</f>
        <v>501.2994849149</v>
      </c>
      <c r="I76" s="133" t="n">
        <f aca="false">$C$53-$C$58*$C$54*SQRT($C$57/(2-$C$57)*(1-(1-$C$57)^(2*(B76))))</f>
        <v>498.7005150851</v>
      </c>
      <c r="J76" s="132" t="str">
        <f aca="false">IF(G76&gt;H76,"OOC high",IF(G76&lt;I76,"OOC low","OK"))</f>
        <v>OK</v>
      </c>
      <c r="K76" s="102"/>
      <c r="L76" s="102"/>
      <c r="M76" s="102"/>
      <c r="N76" s="102"/>
      <c r="O76" s="102"/>
    </row>
    <row r="77" customFormat="false" ht="15" hidden="false" customHeight="true" outlineLevel="0" collapsed="false">
      <c r="A77" s="102"/>
      <c r="B77" s="123" t="n">
        <v>17</v>
      </c>
      <c r="C77" s="131" t="n">
        <v>500.21</v>
      </c>
      <c r="D77" s="133" t="n">
        <f aca="false">MAX(0,D76+(C77-$C$53)-$C$55)</f>
        <v>0.849999999999989</v>
      </c>
      <c r="E77" s="133" t="n">
        <f aca="false">MAX(0,E76-(C77-$C$53)-$C$55)</f>
        <v>0</v>
      </c>
      <c r="F77" s="132" t="str">
        <f aca="false">IF(OR(D77&gt;$C$56,E77&gt;$C$56),"OOC","OK")</f>
        <v>OK</v>
      </c>
      <c r="G77" s="133" t="n">
        <f aca="false">$C$57*C77+(1-$C$57)*G76</f>
        <v>500.143275443143</v>
      </c>
      <c r="H77" s="133" t="n">
        <f aca="false">$C$53+$C$58*$C$54*SQRT($C$57/(2-$C$57)*(1-(1-$C$57)^(2*(B77))))</f>
        <v>501.299670369053</v>
      </c>
      <c r="I77" s="133" t="n">
        <f aca="false">$C$53-$C$58*$C$54*SQRT($C$57/(2-$C$57)*(1-(1-$C$57)^(2*(B77))))</f>
        <v>498.700329630947</v>
      </c>
      <c r="J77" s="132" t="str">
        <f aca="false">IF(G77&gt;H77,"OOC high",IF(G77&lt;I77,"OOC low","OK"))</f>
        <v>OK</v>
      </c>
      <c r="K77" s="102"/>
      <c r="L77" s="102"/>
      <c r="M77" s="102"/>
      <c r="N77" s="102"/>
      <c r="O77" s="102"/>
    </row>
    <row r="78" customFormat="false" ht="15" hidden="false" customHeight="true" outlineLevel="0" collapsed="false">
      <c r="A78" s="102"/>
      <c r="B78" s="123" t="n">
        <v>18</v>
      </c>
      <c r="C78" s="131" t="n">
        <v>501.61</v>
      </c>
      <c r="D78" s="133" t="n">
        <f aca="false">MAX(0,D77+(C78-$C$53)-$C$55)</f>
        <v>1.81</v>
      </c>
      <c r="E78" s="133" t="n">
        <f aca="false">MAX(0,E77-(C78-$C$53)-$C$55)</f>
        <v>0</v>
      </c>
      <c r="F78" s="132" t="str">
        <f aca="false">IF(OR(D78&gt;$C$56,E78&gt;$C$56),"OOC","OK")</f>
        <v>OK</v>
      </c>
      <c r="G78" s="133" t="n">
        <f aca="false">$C$57*C78+(1-$C$57)*G77</f>
        <v>500.436620354514</v>
      </c>
      <c r="H78" s="133" t="n">
        <f aca="false">$C$53+$C$58*$C$54*SQRT($C$57/(2-$C$57)*(1-(1-$C$57)^(2*(B78))))</f>
        <v>501.299789045824</v>
      </c>
      <c r="I78" s="133" t="n">
        <f aca="false">$C$53-$C$58*$C$54*SQRT($C$57/(2-$C$57)*(1-(1-$C$57)^(2*(B78))))</f>
        <v>498.700210954176</v>
      </c>
      <c r="J78" s="132" t="str">
        <f aca="false">IF(G78&gt;H78,"OOC high",IF(G78&lt;I78,"OOC low","OK"))</f>
        <v>OK</v>
      </c>
      <c r="K78" s="102"/>
      <c r="L78" s="102"/>
      <c r="M78" s="102"/>
      <c r="N78" s="102"/>
      <c r="O78" s="102"/>
    </row>
    <row r="79" customFormat="false" ht="15" hidden="false" customHeight="true" outlineLevel="0" collapsed="false">
      <c r="A79" s="102"/>
      <c r="B79" s="123" t="n">
        <v>19</v>
      </c>
      <c r="C79" s="131" t="n">
        <v>501.75</v>
      </c>
      <c r="D79" s="133" t="n">
        <f aca="false">MAX(0,D78+(C79-$C$53)-$C$55)</f>
        <v>2.91</v>
      </c>
      <c r="E79" s="133" t="n">
        <f aca="false">MAX(0,E78-(C79-$C$53)-$C$55)</f>
        <v>0</v>
      </c>
      <c r="F79" s="132" t="str">
        <f aca="false">IF(OR(D79&gt;$C$56,E79&gt;$C$56),"OOC","OK")</f>
        <v>OK</v>
      </c>
      <c r="G79" s="133" t="n">
        <f aca="false">$C$57*C79+(1-$C$57)*G78</f>
        <v>500.699296283612</v>
      </c>
      <c r="H79" s="133" t="n">
        <f aca="false">$C$53+$C$58*$C$54*SQRT($C$57/(2-$C$57)*(1-(1-$C$57)^(2*(B79))))</f>
        <v>501.299864993271</v>
      </c>
      <c r="I79" s="133" t="n">
        <f aca="false">$C$53-$C$58*$C$54*SQRT($C$57/(2-$C$57)*(1-(1-$C$57)^(2*(B79))))</f>
        <v>498.700135006729</v>
      </c>
      <c r="J79" s="132" t="str">
        <f aca="false">IF(G79&gt;H79,"OOC high",IF(G79&lt;I79,"OOC low","OK"))</f>
        <v>OK</v>
      </c>
      <c r="K79" s="102"/>
      <c r="L79" s="102"/>
      <c r="M79" s="102"/>
      <c r="N79" s="102"/>
      <c r="O79" s="102"/>
    </row>
    <row r="80" customFormat="false" ht="15" hidden="false" customHeight="true" outlineLevel="0" collapsed="false">
      <c r="A80" s="102"/>
      <c r="B80" s="123" t="n">
        <v>20</v>
      </c>
      <c r="C80" s="131" t="n">
        <v>501.72</v>
      </c>
      <c r="D80" s="133" t="n">
        <f aca="false">MAX(0,D79+(C80-$C$53)-$C$55)</f>
        <v>3.98000000000003</v>
      </c>
      <c r="E80" s="133" t="n">
        <f aca="false">MAX(0,E79-(C80-$C$53)-$C$55)</f>
        <v>0</v>
      </c>
      <c r="F80" s="132" t="str">
        <f aca="false">IF(OR(D80&gt;$C$56,E80&gt;$C$56),"OOC","OK")</f>
        <v>OK</v>
      </c>
      <c r="G80" s="133" t="n">
        <f aca="false">$C$57*C80+(1-$C$57)*G79</f>
        <v>500.903437026889</v>
      </c>
      <c r="H80" s="133" t="n">
        <f aca="false">$C$53+$C$58*$C$54*SQRT($C$57/(2-$C$57)*(1-(1-$C$57)^(2*(B80))))</f>
        <v>501.299913597309</v>
      </c>
      <c r="I80" s="133" t="n">
        <f aca="false">$C$53-$C$58*$C$54*SQRT($C$57/(2-$C$57)*(1-(1-$C$57)^(2*(B80))))</f>
        <v>498.700086402691</v>
      </c>
      <c r="J80" s="132" t="str">
        <f aca="false">IF(G80&gt;H80,"OOC high",IF(G80&lt;I80,"OOC low","OK"))</f>
        <v>OK</v>
      </c>
      <c r="K80" s="102"/>
      <c r="L80" s="102"/>
      <c r="M80" s="102"/>
      <c r="N80" s="102"/>
      <c r="O80" s="102"/>
    </row>
    <row r="81" customFormat="false" ht="15" hidden="false" customHeight="true" outlineLevel="0" collapsed="false">
      <c r="A81" s="102"/>
      <c r="B81" s="123" t="n">
        <v>21</v>
      </c>
      <c r="C81" s="131" t="n">
        <v>502.25</v>
      </c>
      <c r="D81" s="133" t="n">
        <f aca="false">MAX(0,D80+(C81-$C$53)-$C$55)</f>
        <v>5.58000000000003</v>
      </c>
      <c r="E81" s="133" t="n">
        <f aca="false">MAX(0,E80-(C81-$C$53)-$C$55)</f>
        <v>0</v>
      </c>
      <c r="F81" s="132" t="str">
        <f aca="false">IF(OR(D81&gt;$C$56,E81&gt;$C$56),"OOC","OK")</f>
        <v>OK</v>
      </c>
      <c r="G81" s="133" t="n">
        <f aca="false">$C$57*C81+(1-$C$57)*G80</f>
        <v>501.172749621511</v>
      </c>
      <c r="H81" s="133" t="n">
        <f aca="false">$C$53+$C$58*$C$54*SQRT($C$57/(2-$C$57)*(1-(1-$C$57)^(2*(B81))))</f>
        <v>501.299944702939</v>
      </c>
      <c r="I81" s="133" t="n">
        <f aca="false">$C$53-$C$58*$C$54*SQRT($C$57/(2-$C$57)*(1-(1-$C$57)^(2*(B81))))</f>
        <v>498.700055297061</v>
      </c>
      <c r="J81" s="132" t="str">
        <f aca="false">IF(G81&gt;H81,"OOC high",IF(G81&lt;I81,"OOC low","OK"))</f>
        <v>OK</v>
      </c>
      <c r="K81" s="102"/>
      <c r="L81" s="102"/>
      <c r="M81" s="102"/>
      <c r="N81" s="102"/>
      <c r="O81" s="102"/>
    </row>
    <row r="82" customFormat="false" ht="15" hidden="false" customHeight="true" outlineLevel="0" collapsed="false">
      <c r="A82" s="102"/>
      <c r="B82" s="123" t="n">
        <v>22</v>
      </c>
      <c r="C82" s="131" t="n">
        <v>504.02</v>
      </c>
      <c r="D82" s="133" t="n">
        <f aca="false">MAX(0,D81+(C82-$C$53)-$C$55)</f>
        <v>8.95000000000001</v>
      </c>
      <c r="E82" s="133" t="n">
        <f aca="false">MAX(0,E81-(C82-$C$53)-$C$55)</f>
        <v>0</v>
      </c>
      <c r="F82" s="132" t="str">
        <f aca="false">IF(OR(D82&gt;$C$56,E82&gt;$C$56),"OOC","OK")</f>
        <v>OOC</v>
      </c>
      <c r="G82" s="133" t="n">
        <f aca="false">$C$57*C82+(1-$C$57)*G81</f>
        <v>501.742199697209</v>
      </c>
      <c r="H82" s="133" t="n">
        <f aca="false">$C$53+$C$58*$C$54*SQRT($C$57/(2-$C$57)*(1-(1-$C$57)^(2*(B82))))</f>
        <v>501.299964610152</v>
      </c>
      <c r="I82" s="133" t="n">
        <f aca="false">$C$53-$C$58*$C$54*SQRT($C$57/(2-$C$57)*(1-(1-$C$57)^(2*(B82))))</f>
        <v>498.700035389848</v>
      </c>
      <c r="J82" s="132" t="str">
        <f aca="false">IF(G82&gt;H82,"OOC high",IF(G82&lt;I82,"OOC low","OK"))</f>
        <v>OOC high</v>
      </c>
      <c r="K82" s="102"/>
      <c r="L82" s="102"/>
      <c r="M82" s="102"/>
      <c r="N82" s="102"/>
      <c r="O82" s="102"/>
    </row>
    <row r="83" customFormat="false" ht="15" hidden="false" customHeight="true" outlineLevel="0" collapsed="false">
      <c r="A83" s="102"/>
      <c r="B83" s="123" t="n">
        <v>23</v>
      </c>
      <c r="C83" s="131" t="n">
        <v>499.76</v>
      </c>
      <c r="D83" s="133" t="n">
        <f aca="false">MAX(0,D82+(C83-$C$53)-$C$55)</f>
        <v>8.06</v>
      </c>
      <c r="E83" s="133" t="n">
        <f aca="false">MAX(0,E82-(C83-$C$53)-$C$55)</f>
        <v>0</v>
      </c>
      <c r="F83" s="132" t="str">
        <f aca="false">IF(OR(D83&gt;$C$56,E83&gt;$C$56),"OOC","OK")</f>
        <v>OOC</v>
      </c>
      <c r="G83" s="133" t="n">
        <f aca="false">$C$57*C83+(1-$C$57)*G82</f>
        <v>501.345759757767</v>
      </c>
      <c r="H83" s="133" t="n">
        <f aca="false">$C$53+$C$58*$C$54*SQRT($C$57/(2-$C$57)*(1-(1-$C$57)^(2*(B83))))</f>
        <v>501.299977350608</v>
      </c>
      <c r="I83" s="133" t="n">
        <f aca="false">$C$53-$C$58*$C$54*SQRT($C$57/(2-$C$57)*(1-(1-$C$57)^(2*(B83))))</f>
        <v>498.700022649392</v>
      </c>
      <c r="J83" s="132" t="str">
        <f aca="false">IF(G83&gt;H83,"OOC high",IF(G83&lt;I83,"OOC low","OK"))</f>
        <v>OOC high</v>
      </c>
      <c r="K83" s="102"/>
      <c r="L83" s="102"/>
      <c r="M83" s="102"/>
      <c r="N83" s="102"/>
      <c r="O83" s="102"/>
    </row>
    <row r="84" customFormat="false" ht="15" hidden="false" customHeight="true" outlineLevel="0" collapsed="false">
      <c r="A84" s="102"/>
      <c r="B84" s="123" t="n">
        <v>24</v>
      </c>
      <c r="C84" s="131" t="n">
        <v>500.94</v>
      </c>
      <c r="D84" s="133" t="n">
        <f aca="false">MAX(0,D83+(C84-$C$53)-$C$55)</f>
        <v>8.35</v>
      </c>
      <c r="E84" s="133" t="n">
        <f aca="false">MAX(0,E83-(C84-$C$53)-$C$55)</f>
        <v>0</v>
      </c>
      <c r="F84" s="132" t="str">
        <f aca="false">IF(OR(D84&gt;$C$56,E84&gt;$C$56),"OOC","OK")</f>
        <v>OOC</v>
      </c>
      <c r="G84" s="133" t="n">
        <f aca="false">$C$57*C84+(1-$C$57)*G83</f>
        <v>501.264607806214</v>
      </c>
      <c r="H84" s="133" t="n">
        <f aca="false">$C$53+$C$58*$C$54*SQRT($C$57/(2-$C$57)*(1-(1-$C$57)^(2*(B84))))</f>
        <v>501.299985504435</v>
      </c>
      <c r="I84" s="133" t="n">
        <f aca="false">$C$53-$C$58*$C$54*SQRT($C$57/(2-$C$57)*(1-(1-$C$57)^(2*(B84))))</f>
        <v>498.700014495565</v>
      </c>
      <c r="J84" s="132" t="str">
        <f aca="false">IF(G84&gt;H84,"OOC high",IF(G84&lt;I84,"OOC low","OK"))</f>
        <v>OK</v>
      </c>
      <c r="K84" s="102"/>
      <c r="L84" s="102"/>
      <c r="M84" s="102"/>
      <c r="N84" s="102"/>
      <c r="O84" s="102"/>
    </row>
    <row r="85" customFormat="false" ht="15" hidden="false" customHeight="true" outlineLevel="0" collapsed="false">
      <c r="A85" s="102"/>
      <c r="B85" s="123" t="n">
        <v>25</v>
      </c>
      <c r="C85" s="131" t="n">
        <v>502.89</v>
      </c>
      <c r="D85" s="133" t="n">
        <f aca="false">MAX(0,D84+(C85-$C$53)-$C$55)</f>
        <v>10.59</v>
      </c>
      <c r="E85" s="133" t="n">
        <f aca="false">MAX(0,E84-(C85-$C$53)-$C$55)</f>
        <v>0</v>
      </c>
      <c r="F85" s="132" t="str">
        <f aca="false">IF(OR(D85&gt;$C$56,E85&gt;$C$56),"OOC","OK")</f>
        <v>OOC</v>
      </c>
      <c r="G85" s="133" t="n">
        <f aca="false">$C$57*C85+(1-$C$57)*G84</f>
        <v>501.589686244971</v>
      </c>
      <c r="H85" s="133" t="n">
        <f aca="false">$C$53+$C$58*$C$54*SQRT($C$57/(2-$C$57)*(1-(1-$C$57)^(2*(B85))))</f>
        <v>501.299990722857</v>
      </c>
      <c r="I85" s="133" t="n">
        <f aca="false">$C$53-$C$58*$C$54*SQRT($C$57/(2-$C$57)*(1-(1-$C$57)^(2*(B85))))</f>
        <v>498.700009277143</v>
      </c>
      <c r="J85" s="132" t="str">
        <f aca="false">IF(G85&gt;H85,"OOC high",IF(G85&lt;I85,"OOC low","OK"))</f>
        <v>OOC high</v>
      </c>
      <c r="K85" s="102"/>
      <c r="L85" s="102"/>
      <c r="M85" s="102"/>
      <c r="N85" s="102"/>
      <c r="O85" s="102"/>
    </row>
    <row r="86" customFormat="false" ht="15" hidden="false" customHeight="true" outlineLevel="0" collapsed="false">
      <c r="A86" s="102"/>
      <c r="B86" s="102"/>
      <c r="C86" s="102"/>
      <c r="D86" s="102"/>
      <c r="E86" s="102"/>
      <c r="F86" s="102"/>
      <c r="G86" s="102"/>
      <c r="H86" s="102"/>
      <c r="I86" s="102"/>
      <c r="J86" s="102"/>
      <c r="K86" s="102"/>
      <c r="L86" s="102"/>
      <c r="M86" s="102"/>
      <c r="N86" s="102"/>
      <c r="O86" s="102"/>
    </row>
    <row r="87" customFormat="false" ht="16.5" hidden="false" customHeight="true" outlineLevel="0" collapsed="false">
      <c r="A87" s="102"/>
      <c r="B87" s="108" t="s">
        <v>5798</v>
      </c>
      <c r="C87" s="108" t="s">
        <v>6170</v>
      </c>
      <c r="D87" s="108" t="s">
        <v>5809</v>
      </c>
      <c r="E87" s="108" t="s">
        <v>5810</v>
      </c>
      <c r="F87" s="108" t="s">
        <v>5811</v>
      </c>
      <c r="G87" s="102"/>
      <c r="H87" s="102"/>
      <c r="I87" s="102"/>
      <c r="J87" s="102"/>
      <c r="K87" s="102"/>
      <c r="L87" s="102"/>
      <c r="M87" s="102"/>
      <c r="N87" s="102"/>
      <c r="O87" s="102"/>
    </row>
    <row r="88" customFormat="false" ht="15" hidden="false" customHeight="true" outlineLevel="0" collapsed="false">
      <c r="A88" s="102"/>
      <c r="B88" s="123" t="n">
        <v>1</v>
      </c>
      <c r="C88" s="133" t="n">
        <f aca="false">G61</f>
        <v>500.538</v>
      </c>
      <c r="D88" s="133" t="n">
        <f aca="false">$C$53</f>
        <v>500</v>
      </c>
      <c r="E88" s="133" t="n">
        <f aca="false">H61</f>
        <v>500.78</v>
      </c>
      <c r="F88" s="133" t="n">
        <f aca="false">I61</f>
        <v>499.22</v>
      </c>
      <c r="G88" s="102"/>
      <c r="H88" s="102"/>
      <c r="I88" s="102"/>
      <c r="J88" s="102"/>
      <c r="K88" s="102"/>
      <c r="L88" s="102"/>
      <c r="M88" s="102"/>
      <c r="N88" s="102"/>
      <c r="O88" s="102"/>
    </row>
    <row r="89" customFormat="false" ht="15" hidden="false" customHeight="true" outlineLevel="0" collapsed="false">
      <c r="A89" s="102"/>
      <c r="B89" s="123" t="n">
        <v>2</v>
      </c>
      <c r="C89" s="133" t="n">
        <f aca="false">G62</f>
        <v>500.7724</v>
      </c>
      <c r="D89" s="133" t="n">
        <f aca="false">$C$53</f>
        <v>500</v>
      </c>
      <c r="E89" s="133" t="n">
        <f aca="false">H62</f>
        <v>500.99888738104</v>
      </c>
      <c r="F89" s="133" t="n">
        <f aca="false">I62</f>
        <v>499.00111261896</v>
      </c>
      <c r="G89" s="102"/>
      <c r="H89" s="102"/>
      <c r="I89" s="102"/>
      <c r="J89" s="102"/>
      <c r="K89" s="102"/>
      <c r="L89" s="102"/>
      <c r="M89" s="102"/>
      <c r="N89" s="102"/>
      <c r="O89" s="102"/>
    </row>
    <row r="90" customFormat="false" ht="15" hidden="false" customHeight="true" outlineLevel="0" collapsed="false">
      <c r="A90" s="102"/>
      <c r="B90" s="123" t="n">
        <v>3</v>
      </c>
      <c r="C90" s="133" t="n">
        <f aca="false">G63</f>
        <v>500.86792</v>
      </c>
      <c r="D90" s="133" t="n">
        <f aca="false">$C$53</f>
        <v>500</v>
      </c>
      <c r="E90" s="133" t="n">
        <f aca="false">H63</f>
        <v>501.116681082494</v>
      </c>
      <c r="F90" s="133" t="n">
        <f aca="false">I63</f>
        <v>498.883318917506</v>
      </c>
      <c r="G90" s="102"/>
      <c r="H90" s="102"/>
      <c r="I90" s="102"/>
      <c r="J90" s="102"/>
      <c r="K90" s="102"/>
      <c r="L90" s="102"/>
      <c r="M90" s="102"/>
      <c r="N90" s="102"/>
      <c r="O90" s="102"/>
    </row>
    <row r="91" customFormat="false" ht="15" hidden="false" customHeight="true" outlineLevel="0" collapsed="false">
      <c r="A91" s="102"/>
      <c r="B91" s="123" t="n">
        <v>4</v>
      </c>
      <c r="C91" s="133" t="n">
        <f aca="false">G64</f>
        <v>501.038336</v>
      </c>
      <c r="D91" s="133" t="n">
        <f aca="false">$C$53</f>
        <v>500</v>
      </c>
      <c r="E91" s="133" t="n">
        <f aca="false">H64</f>
        <v>501.18594479197</v>
      </c>
      <c r="F91" s="133" t="n">
        <f aca="false">I64</f>
        <v>498.81405520803</v>
      </c>
      <c r="G91" s="102"/>
      <c r="H91" s="102"/>
      <c r="I91" s="102"/>
      <c r="J91" s="102"/>
      <c r="K91" s="102"/>
      <c r="L91" s="102"/>
      <c r="M91" s="102"/>
      <c r="N91" s="102"/>
      <c r="O91" s="102"/>
    </row>
    <row r="92" customFormat="false" ht="15" hidden="false" customHeight="true" outlineLevel="0" collapsed="false">
      <c r="A92" s="102"/>
      <c r="B92" s="123" t="n">
        <v>5</v>
      </c>
      <c r="C92" s="133" t="n">
        <f aca="false">G65</f>
        <v>501.0646688</v>
      </c>
      <c r="D92" s="133" t="n">
        <f aca="false">$C$53</f>
        <v>500</v>
      </c>
      <c r="E92" s="133" t="n">
        <f aca="false">H65</f>
        <v>501.228225399405</v>
      </c>
      <c r="F92" s="133" t="n">
        <f aca="false">I65</f>
        <v>498.771774600595</v>
      </c>
      <c r="G92" s="102"/>
      <c r="H92" s="102"/>
      <c r="I92" s="102"/>
      <c r="J92" s="102"/>
      <c r="K92" s="102"/>
      <c r="L92" s="102"/>
      <c r="M92" s="102"/>
      <c r="N92" s="102"/>
      <c r="O92" s="102"/>
    </row>
    <row r="93" customFormat="false" ht="15" hidden="false" customHeight="true" outlineLevel="0" collapsed="false">
      <c r="A93" s="102"/>
      <c r="B93" s="123" t="n">
        <v>6</v>
      </c>
      <c r="C93" s="133" t="n">
        <f aca="false">G66</f>
        <v>500.48973504</v>
      </c>
      <c r="D93" s="133" t="n">
        <f aca="false">$C$53</f>
        <v>500</v>
      </c>
      <c r="E93" s="133" t="n">
        <f aca="false">H66</f>
        <v>501.254537398532</v>
      </c>
      <c r="F93" s="133" t="n">
        <f aca="false">I66</f>
        <v>498.745462601468</v>
      </c>
      <c r="G93" s="102"/>
      <c r="H93" s="102"/>
      <c r="I93" s="102"/>
      <c r="J93" s="102"/>
      <c r="K93" s="102"/>
      <c r="L93" s="102"/>
      <c r="M93" s="102"/>
      <c r="N93" s="102"/>
      <c r="O93" s="102"/>
    </row>
    <row r="94" customFormat="false" ht="15" hidden="false" customHeight="true" outlineLevel="0" collapsed="false">
      <c r="A94" s="102"/>
      <c r="B94" s="123" t="n">
        <v>7</v>
      </c>
      <c r="C94" s="133" t="n">
        <f aca="false">G67</f>
        <v>500.313788032</v>
      </c>
      <c r="D94" s="133" t="n">
        <f aca="false">$C$53</f>
        <v>500</v>
      </c>
      <c r="E94" s="133" t="n">
        <f aca="false">H67</f>
        <v>501.271091268935</v>
      </c>
      <c r="F94" s="133" t="n">
        <f aca="false">I67</f>
        <v>498.728908731065</v>
      </c>
      <c r="G94" s="102"/>
      <c r="H94" s="102"/>
      <c r="I94" s="102"/>
      <c r="J94" s="102"/>
      <c r="K94" s="102"/>
      <c r="L94" s="102"/>
      <c r="M94" s="102"/>
      <c r="N94" s="102"/>
      <c r="O94" s="102"/>
    </row>
    <row r="95" customFormat="false" ht="15" hidden="false" customHeight="true" outlineLevel="0" collapsed="false">
      <c r="A95" s="102"/>
      <c r="B95" s="123" t="n">
        <v>8</v>
      </c>
      <c r="C95" s="133" t="n">
        <f aca="false">G68</f>
        <v>500.4810304256</v>
      </c>
      <c r="D95" s="133" t="n">
        <f aca="false">$C$53</f>
        <v>500</v>
      </c>
      <c r="E95" s="133" t="n">
        <f aca="false">H68</f>
        <v>501.281573536297</v>
      </c>
      <c r="F95" s="133" t="n">
        <f aca="false">I68</f>
        <v>498.718426463703</v>
      </c>
      <c r="G95" s="102"/>
      <c r="H95" s="102"/>
      <c r="I95" s="102"/>
      <c r="J95" s="102"/>
      <c r="K95" s="102"/>
      <c r="L95" s="102"/>
      <c r="M95" s="102"/>
      <c r="N95" s="102"/>
      <c r="O95" s="102"/>
    </row>
    <row r="96" customFormat="false" ht="15" hidden="false" customHeight="true" outlineLevel="0" collapsed="false">
      <c r="A96" s="102"/>
      <c r="B96" s="123" t="n">
        <v>9</v>
      </c>
      <c r="C96" s="133" t="n">
        <f aca="false">G69</f>
        <v>500.26682434048</v>
      </c>
      <c r="D96" s="133" t="n">
        <f aca="false">$C$53</f>
        <v>500</v>
      </c>
      <c r="E96" s="133" t="n">
        <f aca="false">H69</f>
        <v>501.2882374263</v>
      </c>
      <c r="F96" s="133" t="n">
        <f aca="false">I69</f>
        <v>498.7117625737</v>
      </c>
      <c r="G96" s="102"/>
      <c r="H96" s="102"/>
      <c r="I96" s="102"/>
      <c r="J96" s="102"/>
      <c r="K96" s="102"/>
      <c r="L96" s="102"/>
      <c r="M96" s="102"/>
      <c r="N96" s="102"/>
      <c r="O96" s="102"/>
    </row>
    <row r="97" customFormat="false" ht="15" hidden="false" customHeight="true" outlineLevel="0" collapsed="false">
      <c r="A97" s="102"/>
      <c r="B97" s="123" t="n">
        <v>10</v>
      </c>
      <c r="C97" s="133" t="n">
        <f aca="false">G70</f>
        <v>499.549459472384</v>
      </c>
      <c r="D97" s="133" t="n">
        <f aca="false">$C$53</f>
        <v>500</v>
      </c>
      <c r="E97" s="133" t="n">
        <f aca="false">H70</f>
        <v>501.292484284845</v>
      </c>
      <c r="F97" s="133" t="n">
        <f aca="false">I70</f>
        <v>498.707515715155</v>
      </c>
      <c r="G97" s="102"/>
      <c r="H97" s="102"/>
      <c r="I97" s="102"/>
      <c r="J97" s="102"/>
      <c r="K97" s="102"/>
      <c r="L97" s="102"/>
      <c r="M97" s="102"/>
      <c r="N97" s="102"/>
      <c r="O97" s="102"/>
    </row>
    <row r="98" customFormat="false" ht="15" hidden="false" customHeight="true" outlineLevel="0" collapsed="false">
      <c r="A98" s="102"/>
      <c r="B98" s="123" t="n">
        <v>11</v>
      </c>
      <c r="C98" s="133" t="n">
        <f aca="false">G71</f>
        <v>499.469567577907</v>
      </c>
      <c r="D98" s="133" t="n">
        <f aca="false">$C$53</f>
        <v>500</v>
      </c>
      <c r="E98" s="133" t="n">
        <f aca="false">H71</f>
        <v>501.295194966407</v>
      </c>
      <c r="F98" s="133" t="n">
        <f aca="false">I71</f>
        <v>498.704805033593</v>
      </c>
      <c r="G98" s="102"/>
      <c r="H98" s="102"/>
      <c r="I98" s="102"/>
      <c r="J98" s="102"/>
      <c r="K98" s="102"/>
      <c r="L98" s="102"/>
      <c r="M98" s="102"/>
      <c r="N98" s="102"/>
      <c r="O98" s="102"/>
    </row>
    <row r="99" customFormat="false" ht="15" hidden="false" customHeight="true" outlineLevel="0" collapsed="false">
      <c r="A99" s="102"/>
      <c r="B99" s="123" t="n">
        <v>12</v>
      </c>
      <c r="C99" s="133" t="n">
        <f aca="false">G72</f>
        <v>499.299654062326</v>
      </c>
      <c r="D99" s="133" t="n">
        <f aca="false">$C$53</f>
        <v>500</v>
      </c>
      <c r="E99" s="133" t="n">
        <f aca="false">H72</f>
        <v>501.296926829333</v>
      </c>
      <c r="F99" s="133" t="n">
        <f aca="false">I72</f>
        <v>498.703073170667</v>
      </c>
      <c r="G99" s="102"/>
      <c r="H99" s="102"/>
      <c r="I99" s="102"/>
      <c r="J99" s="102"/>
      <c r="K99" s="102"/>
      <c r="L99" s="102"/>
      <c r="M99" s="102"/>
      <c r="N99" s="102"/>
      <c r="O99" s="102"/>
    </row>
    <row r="100" customFormat="false" ht="15" hidden="false" customHeight="true" outlineLevel="0" collapsed="false">
      <c r="A100" s="102"/>
      <c r="B100" s="123" t="n">
        <v>13</v>
      </c>
      <c r="C100" s="133" t="n">
        <f aca="false">G73</f>
        <v>499.237723249861</v>
      </c>
      <c r="D100" s="133" t="n">
        <f aca="false">$C$53</f>
        <v>500</v>
      </c>
      <c r="E100" s="133" t="n">
        <f aca="false">H73</f>
        <v>501.298034008958</v>
      </c>
      <c r="F100" s="133" t="n">
        <f aca="false">I73</f>
        <v>498.701965991042</v>
      </c>
      <c r="G100" s="102"/>
      <c r="H100" s="102"/>
      <c r="I100" s="102"/>
      <c r="J100" s="102"/>
      <c r="K100" s="102"/>
      <c r="L100" s="102"/>
      <c r="M100" s="102"/>
      <c r="N100" s="102"/>
      <c r="O100" s="102"/>
    </row>
    <row r="101" customFormat="false" ht="15" hidden="false" customHeight="true" outlineLevel="0" collapsed="false">
      <c r="A101" s="102"/>
      <c r="B101" s="123" t="n">
        <v>14</v>
      </c>
      <c r="C101" s="133" t="n">
        <f aca="false">G74</f>
        <v>499.562178599889</v>
      </c>
      <c r="D101" s="133" t="n">
        <f aca="false">$C$53</f>
        <v>500</v>
      </c>
      <c r="E101" s="133" t="n">
        <f aca="false">H74</f>
        <v>501.298742108574</v>
      </c>
      <c r="F101" s="133" t="n">
        <f aca="false">I74</f>
        <v>498.701257891426</v>
      </c>
      <c r="G101" s="102"/>
      <c r="H101" s="102"/>
      <c r="I101" s="102"/>
      <c r="J101" s="102"/>
      <c r="K101" s="102"/>
      <c r="L101" s="102"/>
      <c r="M101" s="102"/>
      <c r="N101" s="102"/>
      <c r="O101" s="102"/>
    </row>
    <row r="102" customFormat="false" ht="15" hidden="false" customHeight="true" outlineLevel="0" collapsed="false">
      <c r="A102" s="102"/>
      <c r="B102" s="123" t="n">
        <v>15</v>
      </c>
      <c r="C102" s="133" t="n">
        <f aca="false">G75</f>
        <v>499.995742879911</v>
      </c>
      <c r="D102" s="133" t="n">
        <f aca="false">$C$53</f>
        <v>500</v>
      </c>
      <c r="E102" s="133" t="n">
        <f aca="false">H75</f>
        <v>501.29919508979</v>
      </c>
      <c r="F102" s="133" t="n">
        <f aca="false">I75</f>
        <v>498.70080491021</v>
      </c>
      <c r="G102" s="102"/>
      <c r="H102" s="102"/>
      <c r="I102" s="102"/>
      <c r="J102" s="102"/>
      <c r="K102" s="102"/>
      <c r="L102" s="102"/>
      <c r="M102" s="102"/>
      <c r="N102" s="102"/>
      <c r="O102" s="102"/>
    </row>
    <row r="103" customFormat="false" ht="15" hidden="false" customHeight="true" outlineLevel="0" collapsed="false">
      <c r="A103" s="102"/>
      <c r="B103" s="123" t="n">
        <v>16</v>
      </c>
      <c r="C103" s="133" t="n">
        <f aca="false">G76</f>
        <v>500.126594303929</v>
      </c>
      <c r="D103" s="133" t="n">
        <f aca="false">$C$53</f>
        <v>500</v>
      </c>
      <c r="E103" s="133" t="n">
        <f aca="false">H76</f>
        <v>501.2994849149</v>
      </c>
      <c r="F103" s="133" t="n">
        <f aca="false">I76</f>
        <v>498.7005150851</v>
      </c>
      <c r="G103" s="102"/>
      <c r="H103" s="102"/>
      <c r="I103" s="102"/>
      <c r="J103" s="102"/>
      <c r="K103" s="102"/>
      <c r="L103" s="102"/>
      <c r="M103" s="102"/>
      <c r="N103" s="102"/>
      <c r="O103" s="102"/>
    </row>
    <row r="104" customFormat="false" ht="15" hidden="false" customHeight="true" outlineLevel="0" collapsed="false">
      <c r="A104" s="102"/>
      <c r="B104" s="123" t="n">
        <v>17</v>
      </c>
      <c r="C104" s="133" t="n">
        <f aca="false">G77</f>
        <v>500.143275443143</v>
      </c>
      <c r="D104" s="133" t="n">
        <f aca="false">$C$53</f>
        <v>500</v>
      </c>
      <c r="E104" s="133" t="n">
        <f aca="false">H77</f>
        <v>501.299670369053</v>
      </c>
      <c r="F104" s="133" t="n">
        <f aca="false">I77</f>
        <v>498.700329630947</v>
      </c>
      <c r="G104" s="102"/>
      <c r="H104" s="102"/>
      <c r="I104" s="102"/>
      <c r="J104" s="102"/>
      <c r="K104" s="102"/>
      <c r="L104" s="102"/>
      <c r="M104" s="102"/>
      <c r="N104" s="102"/>
      <c r="O104" s="102"/>
    </row>
    <row r="105" customFormat="false" ht="15" hidden="false" customHeight="true" outlineLevel="0" collapsed="false">
      <c r="A105" s="102"/>
      <c r="B105" s="123" t="n">
        <v>18</v>
      </c>
      <c r="C105" s="133" t="n">
        <f aca="false">G78</f>
        <v>500.436620354514</v>
      </c>
      <c r="D105" s="133" t="n">
        <f aca="false">$C$53</f>
        <v>500</v>
      </c>
      <c r="E105" s="133" t="n">
        <f aca="false">H78</f>
        <v>501.299789045824</v>
      </c>
      <c r="F105" s="133" t="n">
        <f aca="false">I78</f>
        <v>498.700210954176</v>
      </c>
      <c r="G105" s="102"/>
      <c r="H105" s="102"/>
      <c r="I105" s="102"/>
      <c r="J105" s="102"/>
      <c r="K105" s="102"/>
      <c r="L105" s="102"/>
      <c r="M105" s="102"/>
      <c r="N105" s="102"/>
      <c r="O105" s="102"/>
    </row>
    <row r="106" customFormat="false" ht="15" hidden="false" customHeight="true" outlineLevel="0" collapsed="false">
      <c r="A106" s="102"/>
      <c r="B106" s="123" t="n">
        <v>19</v>
      </c>
      <c r="C106" s="133" t="n">
        <f aca="false">G79</f>
        <v>500.699296283612</v>
      </c>
      <c r="D106" s="133" t="n">
        <f aca="false">$C$53</f>
        <v>500</v>
      </c>
      <c r="E106" s="133" t="n">
        <f aca="false">H79</f>
        <v>501.299864993271</v>
      </c>
      <c r="F106" s="133" t="n">
        <f aca="false">I79</f>
        <v>498.700135006729</v>
      </c>
      <c r="G106" s="102"/>
      <c r="H106" s="102"/>
      <c r="I106" s="102"/>
      <c r="J106" s="102"/>
      <c r="K106" s="102"/>
      <c r="L106" s="102"/>
      <c r="M106" s="102"/>
      <c r="N106" s="102"/>
      <c r="O106" s="102"/>
    </row>
    <row r="107" customFormat="false" ht="15" hidden="false" customHeight="true" outlineLevel="0" collapsed="false">
      <c r="A107" s="102"/>
      <c r="B107" s="123" t="n">
        <v>20</v>
      </c>
      <c r="C107" s="133" t="n">
        <f aca="false">G80</f>
        <v>500.903437026889</v>
      </c>
      <c r="D107" s="133" t="n">
        <f aca="false">$C$53</f>
        <v>500</v>
      </c>
      <c r="E107" s="133" t="n">
        <f aca="false">H80</f>
        <v>501.299913597309</v>
      </c>
      <c r="F107" s="133" t="n">
        <f aca="false">I80</f>
        <v>498.700086402691</v>
      </c>
      <c r="G107" s="102"/>
      <c r="H107" s="102"/>
      <c r="I107" s="102"/>
      <c r="J107" s="102"/>
      <c r="K107" s="102"/>
      <c r="L107" s="102"/>
      <c r="M107" s="102"/>
      <c r="N107" s="102"/>
      <c r="O107" s="102"/>
    </row>
    <row r="108" customFormat="false" ht="15" hidden="false" customHeight="true" outlineLevel="0" collapsed="false">
      <c r="A108" s="102"/>
      <c r="B108" s="123" t="n">
        <v>21</v>
      </c>
      <c r="C108" s="133" t="n">
        <f aca="false">G81</f>
        <v>501.172749621511</v>
      </c>
      <c r="D108" s="133" t="n">
        <f aca="false">$C$53</f>
        <v>500</v>
      </c>
      <c r="E108" s="133" t="n">
        <f aca="false">H81</f>
        <v>501.299944702939</v>
      </c>
      <c r="F108" s="133" t="n">
        <f aca="false">I81</f>
        <v>498.700055297061</v>
      </c>
      <c r="G108" s="102"/>
      <c r="H108" s="102"/>
      <c r="I108" s="102"/>
      <c r="J108" s="102"/>
      <c r="K108" s="102"/>
      <c r="L108" s="102"/>
      <c r="M108" s="102"/>
      <c r="N108" s="102"/>
      <c r="O108" s="102"/>
    </row>
    <row r="109" customFormat="false" ht="15" hidden="false" customHeight="true" outlineLevel="0" collapsed="false">
      <c r="A109" s="102"/>
      <c r="B109" s="123" t="n">
        <v>22</v>
      </c>
      <c r="C109" s="133" t="n">
        <f aca="false">G82</f>
        <v>501.742199697209</v>
      </c>
      <c r="D109" s="133" t="n">
        <f aca="false">$C$53</f>
        <v>500</v>
      </c>
      <c r="E109" s="133" t="n">
        <f aca="false">H82</f>
        <v>501.299964610152</v>
      </c>
      <c r="F109" s="133" t="n">
        <f aca="false">I82</f>
        <v>498.700035389848</v>
      </c>
      <c r="G109" s="102"/>
      <c r="H109" s="102"/>
      <c r="I109" s="102"/>
      <c r="J109" s="102"/>
      <c r="K109" s="102"/>
      <c r="L109" s="102"/>
      <c r="M109" s="102"/>
      <c r="N109" s="102"/>
      <c r="O109" s="102"/>
    </row>
    <row r="110" customFormat="false" ht="15" hidden="false" customHeight="true" outlineLevel="0" collapsed="false">
      <c r="A110" s="102"/>
      <c r="B110" s="123" t="n">
        <v>23</v>
      </c>
      <c r="C110" s="133" t="n">
        <f aca="false">G83</f>
        <v>501.345759757767</v>
      </c>
      <c r="D110" s="133" t="n">
        <f aca="false">$C$53</f>
        <v>500</v>
      </c>
      <c r="E110" s="133" t="n">
        <f aca="false">H83</f>
        <v>501.299977350608</v>
      </c>
      <c r="F110" s="133" t="n">
        <f aca="false">I83</f>
        <v>498.700022649392</v>
      </c>
      <c r="G110" s="102"/>
      <c r="H110" s="102"/>
      <c r="I110" s="102"/>
      <c r="J110" s="102"/>
      <c r="K110" s="102"/>
      <c r="L110" s="102"/>
      <c r="M110" s="102"/>
      <c r="N110" s="102"/>
      <c r="O110" s="102"/>
    </row>
    <row r="111" customFormat="false" ht="15" hidden="false" customHeight="true" outlineLevel="0" collapsed="false">
      <c r="A111" s="102"/>
      <c r="B111" s="123" t="n">
        <v>24</v>
      </c>
      <c r="C111" s="133" t="n">
        <f aca="false">G84</f>
        <v>501.264607806214</v>
      </c>
      <c r="D111" s="133" t="n">
        <f aca="false">$C$53</f>
        <v>500</v>
      </c>
      <c r="E111" s="133" t="n">
        <f aca="false">H84</f>
        <v>501.299985504435</v>
      </c>
      <c r="F111" s="133" t="n">
        <f aca="false">I84</f>
        <v>498.700014495565</v>
      </c>
      <c r="G111" s="102"/>
      <c r="H111" s="102"/>
      <c r="I111" s="102"/>
      <c r="J111" s="102"/>
      <c r="K111" s="102"/>
      <c r="L111" s="102"/>
      <c r="M111" s="102"/>
      <c r="N111" s="102"/>
      <c r="O111" s="102"/>
    </row>
    <row r="112" customFormat="false" ht="15" hidden="false" customHeight="true" outlineLevel="0" collapsed="false">
      <c r="A112" s="102"/>
      <c r="B112" s="123" t="n">
        <v>25</v>
      </c>
      <c r="C112" s="133" t="n">
        <f aca="false">G85</f>
        <v>501.589686244971</v>
      </c>
      <c r="D112" s="133" t="n">
        <f aca="false">$C$53</f>
        <v>500</v>
      </c>
      <c r="E112" s="133" t="n">
        <f aca="false">H85</f>
        <v>501.299990722857</v>
      </c>
      <c r="F112" s="133" t="n">
        <f aca="false">I85</f>
        <v>498.700009277143</v>
      </c>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 hidden="false" customHeight="true" outlineLevel="0" collapsed="false">
      <c r="A120" s="102"/>
      <c r="B120" s="102"/>
      <c r="C120" s="102"/>
      <c r="D120" s="102"/>
      <c r="E120" s="102"/>
      <c r="F120" s="102"/>
      <c r="G120" s="102"/>
      <c r="H120" s="102"/>
      <c r="I120" s="102"/>
      <c r="J120" s="102"/>
      <c r="K120" s="102"/>
      <c r="L120" s="102"/>
      <c r="M120" s="102"/>
      <c r="N120" s="102"/>
      <c r="O120" s="102"/>
    </row>
    <row r="121" customFormat="false" ht="15" hidden="false" customHeight="true" outlineLevel="0" collapsed="false">
      <c r="A121" s="102"/>
      <c r="B121" s="102"/>
      <c r="C121" s="102"/>
      <c r="D121" s="102"/>
      <c r="E121" s="102"/>
      <c r="F121" s="102"/>
      <c r="G121" s="102"/>
      <c r="H121" s="102"/>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 hidden="false" customHeight="true" outlineLevel="0" collapsed="false">
      <c r="A124" s="102"/>
      <c r="B124" s="102"/>
      <c r="C124" s="102"/>
      <c r="D124" s="102"/>
      <c r="E124" s="102"/>
      <c r="F124" s="102"/>
      <c r="G124" s="102"/>
      <c r="H124" s="102"/>
      <c r="I124" s="102"/>
      <c r="J124" s="102"/>
      <c r="K124" s="102"/>
      <c r="L124" s="102"/>
      <c r="M124" s="102"/>
      <c r="N124" s="102"/>
      <c r="O124" s="102"/>
    </row>
    <row r="125" customFormat="false" ht="15" hidden="false" customHeight="true" outlineLevel="0" collapsed="false">
      <c r="A125" s="102"/>
      <c r="B125" s="102"/>
      <c r="C125" s="102"/>
      <c r="D125" s="102"/>
      <c r="E125" s="102"/>
      <c r="F125" s="102"/>
      <c r="G125" s="102"/>
      <c r="H125" s="102"/>
      <c r="I125" s="102"/>
      <c r="J125" s="102"/>
      <c r="K125" s="102"/>
      <c r="L125" s="102"/>
      <c r="M125" s="102"/>
      <c r="N125" s="102"/>
      <c r="O125" s="102"/>
    </row>
    <row r="126" customFormat="false" ht="15" hidden="false" customHeight="true" outlineLevel="0" collapsed="false">
      <c r="A126" s="102"/>
      <c r="B126" s="102"/>
      <c r="C126" s="102"/>
      <c r="D126" s="102"/>
      <c r="E126" s="102"/>
      <c r="F126" s="102"/>
      <c r="G126" s="102"/>
      <c r="H126" s="102"/>
      <c r="I126" s="102"/>
      <c r="J126" s="102"/>
      <c r="K126" s="102"/>
      <c r="L126" s="102"/>
      <c r="M126" s="102"/>
      <c r="N126" s="102"/>
      <c r="O126" s="102"/>
    </row>
    <row r="127" customFormat="false" ht="15" hidden="false" customHeight="true" outlineLevel="0" collapsed="false">
      <c r="A127" s="102"/>
      <c r="B127" s="102"/>
      <c r="C127" s="102"/>
      <c r="D127" s="102"/>
      <c r="E127" s="102"/>
      <c r="F127" s="102"/>
      <c r="G127" s="102"/>
      <c r="H127" s="102"/>
      <c r="I127" s="102"/>
      <c r="J127" s="102"/>
      <c r="K127" s="102"/>
      <c r="L127" s="102"/>
      <c r="M127" s="102"/>
      <c r="N127" s="102"/>
      <c r="O127" s="102"/>
    </row>
    <row r="128" customFormat="false" ht="15" hidden="false" customHeight="true" outlineLevel="0" collapsed="false">
      <c r="A128" s="102"/>
      <c r="B128" s="102"/>
      <c r="C128" s="102"/>
      <c r="D128" s="102"/>
      <c r="E128" s="102"/>
      <c r="F128" s="102"/>
      <c r="G128" s="102"/>
      <c r="H128" s="102"/>
      <c r="I128" s="102"/>
      <c r="J128" s="102"/>
      <c r="K128" s="102"/>
      <c r="L128" s="102"/>
      <c r="M128" s="102"/>
      <c r="N128" s="102"/>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5" hidden="false" customHeight="true" outlineLevel="0" collapsed="false">
      <c r="A130" s="102"/>
      <c r="B130" s="102"/>
      <c r="C130" s="102"/>
      <c r="D130" s="102"/>
      <c r="E130" s="102"/>
      <c r="F130" s="102"/>
      <c r="G130" s="102"/>
      <c r="H130" s="102"/>
      <c r="I130" s="102"/>
      <c r="J130" s="102"/>
      <c r="K130" s="102"/>
      <c r="L130" s="102"/>
      <c r="M130" s="102"/>
      <c r="N130" s="102"/>
      <c r="O130" s="102"/>
    </row>
    <row r="131" customFormat="false" ht="15" hidden="false" customHeight="true" outlineLevel="0" collapsed="false">
      <c r="A131" s="102"/>
      <c r="B131" s="102"/>
      <c r="C131" s="102"/>
      <c r="D131" s="102"/>
      <c r="E131" s="102"/>
      <c r="F131" s="102"/>
      <c r="G131" s="102"/>
      <c r="H131" s="102"/>
      <c r="I131" s="102"/>
      <c r="J131" s="102"/>
      <c r="K131" s="102"/>
      <c r="L131" s="102"/>
      <c r="M131" s="102"/>
      <c r="N131" s="102"/>
      <c r="O131" s="102"/>
    </row>
    <row r="132" customFormat="false" ht="15.75" hidden="false" customHeight="true" outlineLevel="0" collapsed="false">
      <c r="A132" s="102"/>
      <c r="B132" s="103" t="s">
        <v>1493</v>
      </c>
      <c r="C132" s="104"/>
      <c r="D132" s="104"/>
      <c r="E132" s="104"/>
      <c r="F132" s="104"/>
      <c r="G132" s="104"/>
      <c r="H132" s="104"/>
      <c r="I132" s="104"/>
      <c r="J132" s="104"/>
      <c r="K132" s="104"/>
      <c r="L132" s="102"/>
      <c r="M132" s="102"/>
      <c r="N132" s="102"/>
      <c r="O132" s="102"/>
    </row>
    <row r="133" customFormat="false" ht="33.75" hidden="false" customHeight="true" outlineLevel="0" collapsed="false">
      <c r="A133" s="102"/>
      <c r="B133" s="105" t="s">
        <v>1494</v>
      </c>
      <c r="C133" s="117" t="str">
        <f aca="false">IF(AND(COUNTIF(F61:F85,"OK")=(85-61+1),COUNTIF(J61:J85,"OK")=(85-61+1)),"Neither CUSUM nor EWMA signals - no evidence yet of a sustained shift.","At least one of CUSUM or EWMA signals a sustained shift. Investigate what changed around the point where the signal first appears, not just the point itself.")</f>
        <v>At least one of CUSUM or EWMA signals a sustained shift. Investigate what changed around the point where the signal first appears, not just the point itself.</v>
      </c>
      <c r="D133" s="117"/>
      <c r="E133" s="117"/>
      <c r="F133" s="117"/>
      <c r="G133" s="117"/>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7.25" hidden="false" customHeight="true" outlineLevel="0" collapsed="false">
      <c r="A135" s="102"/>
      <c r="B135" s="108" t="s">
        <v>1495</v>
      </c>
      <c r="C135" s="108" t="s">
        <v>1496</v>
      </c>
      <c r="D135" s="108" t="s">
        <v>1497</v>
      </c>
      <c r="E135" s="108"/>
      <c r="F135" s="102"/>
      <c r="G135" s="102"/>
      <c r="H135" s="102"/>
      <c r="I135" s="102"/>
      <c r="J135" s="102"/>
      <c r="K135" s="102"/>
      <c r="L135" s="102"/>
      <c r="M135" s="102"/>
      <c r="N135" s="102"/>
      <c r="O135" s="102"/>
    </row>
    <row r="136" customFormat="false" ht="17.25" hidden="false" customHeight="true" outlineLevel="0" collapsed="false">
      <c r="A136" s="102"/>
      <c r="B136" s="110" t="s">
        <v>6174</v>
      </c>
      <c r="C136" s="111" t="s">
        <v>6175</v>
      </c>
      <c r="D136" s="15" t="s">
        <v>6176</v>
      </c>
      <c r="E136" s="15"/>
      <c r="F136" s="102"/>
      <c r="G136" s="102"/>
      <c r="H136" s="102"/>
      <c r="I136" s="102"/>
      <c r="J136" s="102"/>
      <c r="K136" s="102"/>
      <c r="L136" s="102"/>
      <c r="M136" s="102"/>
      <c r="N136" s="102"/>
      <c r="O136" s="102"/>
    </row>
    <row r="137" customFormat="false" ht="31.5" hidden="false" customHeight="true" outlineLevel="0" collapsed="false">
      <c r="A137" s="102"/>
      <c r="B137" s="110" t="s">
        <v>6177</v>
      </c>
      <c r="C137" s="111" t="s">
        <v>6178</v>
      </c>
      <c r="D137" s="15" t="s">
        <v>6179</v>
      </c>
      <c r="E137" s="15"/>
      <c r="F137" s="102"/>
      <c r="G137" s="102"/>
      <c r="H137" s="102"/>
      <c r="I137" s="102"/>
      <c r="J137" s="102"/>
      <c r="K137" s="102"/>
      <c r="L137" s="102"/>
      <c r="M137" s="102"/>
      <c r="N137" s="102"/>
      <c r="O137" s="102"/>
    </row>
    <row r="138" customFormat="false" ht="17.25" hidden="false" customHeight="true" outlineLevel="0" collapsed="false">
      <c r="A138" s="102"/>
      <c r="B138" s="110" t="s">
        <v>6180</v>
      </c>
      <c r="C138" s="111" t="s">
        <v>6181</v>
      </c>
      <c r="D138" s="15" t="s">
        <v>6182</v>
      </c>
      <c r="E138" s="15"/>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5" t="s">
        <v>1507</v>
      </c>
      <c r="C140" s="102"/>
      <c r="D140" s="102"/>
      <c r="E140" s="102"/>
      <c r="F140" s="102"/>
      <c r="G140" s="102"/>
      <c r="H140" s="102"/>
      <c r="I140" s="102"/>
      <c r="J140" s="102"/>
      <c r="K140" s="102"/>
      <c r="L140" s="102"/>
      <c r="M140" s="102"/>
      <c r="N140" s="102"/>
      <c r="O140" s="102"/>
    </row>
    <row r="141" customFormat="false" ht="17.25" hidden="false" customHeight="true" outlineLevel="0" collapsed="false">
      <c r="A141" s="102"/>
      <c r="B141" s="106" t="s">
        <v>6183</v>
      </c>
      <c r="C141" s="106"/>
      <c r="D141" s="106"/>
      <c r="E141" s="106"/>
      <c r="F141" s="106"/>
      <c r="G141" s="106"/>
      <c r="H141" s="106"/>
      <c r="I141" s="102"/>
      <c r="J141" s="102"/>
      <c r="K141" s="102"/>
      <c r="L141" s="102"/>
      <c r="M141" s="102"/>
      <c r="N141" s="102"/>
      <c r="O141" s="102"/>
    </row>
    <row r="142" customFormat="false" ht="17.25" hidden="false" customHeight="true" outlineLevel="0" collapsed="false">
      <c r="A142" s="102"/>
      <c r="B142" s="106" t="s">
        <v>6184</v>
      </c>
      <c r="C142" s="106"/>
      <c r="D142" s="106"/>
      <c r="E142" s="106"/>
      <c r="F142" s="106"/>
      <c r="G142" s="106"/>
      <c r="H142" s="106"/>
      <c r="I142" s="102"/>
      <c r="J142" s="102"/>
      <c r="K142" s="102"/>
      <c r="L142" s="102"/>
      <c r="M142" s="102"/>
      <c r="N142" s="102"/>
      <c r="O142" s="102"/>
    </row>
    <row r="143" customFormat="false" ht="17.25" hidden="false" customHeight="true" outlineLevel="0" collapsed="false">
      <c r="A143" s="102"/>
      <c r="B143" s="106" t="s">
        <v>6185</v>
      </c>
      <c r="C143" s="106"/>
      <c r="D143" s="106"/>
      <c r="E143" s="106"/>
      <c r="F143" s="106"/>
      <c r="G143" s="106"/>
      <c r="H143" s="106"/>
      <c r="I143" s="102"/>
      <c r="J143" s="102"/>
      <c r="K143" s="102"/>
      <c r="L143" s="102"/>
      <c r="M143" s="102"/>
      <c r="N143" s="102"/>
      <c r="O143" s="102"/>
    </row>
    <row r="144" customFormat="false" ht="31.5" hidden="false" customHeight="true" outlineLevel="0" collapsed="false">
      <c r="A144" s="102"/>
      <c r="B144" s="106" t="s">
        <v>6186</v>
      </c>
      <c r="C144" s="106"/>
      <c r="D144" s="106"/>
      <c r="E144" s="106"/>
      <c r="F144" s="106"/>
      <c r="G144" s="106"/>
      <c r="H144" s="106"/>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75" hidden="false" customHeight="true" outlineLevel="0" collapsed="false">
      <c r="A146" s="102"/>
      <c r="B146" s="103" t="s">
        <v>1513</v>
      </c>
      <c r="C146" s="104"/>
      <c r="D146" s="104"/>
      <c r="E146" s="104"/>
      <c r="F146" s="104"/>
      <c r="G146" s="104"/>
      <c r="H146" s="104"/>
      <c r="I146" s="104"/>
      <c r="J146" s="104"/>
      <c r="K146" s="104"/>
      <c r="L146" s="102"/>
      <c r="M146" s="102"/>
      <c r="N146" s="102"/>
      <c r="O146" s="102"/>
    </row>
    <row r="147" customFormat="false" ht="17.25" hidden="false" customHeight="true" outlineLevel="0" collapsed="false">
      <c r="A147" s="102"/>
      <c r="B147" s="118" t="s">
        <v>1514</v>
      </c>
      <c r="C147" s="118"/>
      <c r="D147" s="118"/>
      <c r="E147" s="118"/>
      <c r="F147" s="102"/>
      <c r="G147" s="102"/>
      <c r="H147" s="102"/>
      <c r="I147" s="102"/>
      <c r="J147" s="102"/>
      <c r="K147" s="102"/>
      <c r="L147" s="102"/>
      <c r="M147" s="102"/>
      <c r="N147" s="119" t="s">
        <v>1515</v>
      </c>
      <c r="O147" s="102"/>
    </row>
    <row r="148" customFormat="false" ht="58.5" hidden="false" customHeight="true" outlineLevel="0" collapsed="false">
      <c r="A148" s="102"/>
      <c r="B148" s="106" t="s">
        <v>6187</v>
      </c>
      <c r="C148" s="106"/>
      <c r="D148" s="106"/>
      <c r="E148" s="106"/>
      <c r="F148" s="102"/>
      <c r="G148" s="102"/>
      <c r="H148" s="102"/>
      <c r="I148" s="102"/>
      <c r="J148" s="102"/>
      <c r="K148" s="102"/>
      <c r="L148" s="102"/>
      <c r="M148" s="102"/>
      <c r="N148" s="120" t="s">
        <v>6188</v>
      </c>
      <c r="O148" s="102"/>
    </row>
    <row r="149" customFormat="false" ht="44.25" hidden="false" customHeight="true" outlineLevel="0" collapsed="false">
      <c r="A149" s="102"/>
      <c r="B149" s="106" t="s">
        <v>6189</v>
      </c>
      <c r="C149" s="106"/>
      <c r="D149" s="106"/>
      <c r="E149" s="106"/>
      <c r="F149" s="102"/>
      <c r="G149" s="102"/>
      <c r="H149" s="102"/>
      <c r="I149" s="102"/>
      <c r="J149" s="102"/>
      <c r="K149" s="102"/>
      <c r="L149" s="102"/>
      <c r="M149" s="102"/>
      <c r="N149" s="120" t="s">
        <v>6190</v>
      </c>
      <c r="O149" s="102"/>
    </row>
    <row r="150" customFormat="false" ht="58.5" hidden="false" customHeight="true" outlineLevel="0" collapsed="false">
      <c r="A150" s="102"/>
      <c r="B150" s="106" t="s">
        <v>6191</v>
      </c>
      <c r="C150" s="106"/>
      <c r="D150" s="106"/>
      <c r="E150" s="106"/>
      <c r="F150" s="102"/>
      <c r="G150" s="102"/>
      <c r="H150" s="102"/>
      <c r="I150" s="102"/>
      <c r="J150" s="102"/>
      <c r="K150" s="102"/>
      <c r="L150" s="102"/>
      <c r="M150" s="102"/>
      <c r="N150" s="120" t="s">
        <v>6192</v>
      </c>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75" hidden="false" customHeight="true" outlineLevel="0" collapsed="false">
      <c r="A152" s="102"/>
      <c r="B152" s="103" t="s">
        <v>1522</v>
      </c>
      <c r="C152" s="104"/>
      <c r="D152" s="104"/>
      <c r="E152" s="104"/>
      <c r="F152" s="104"/>
      <c r="G152" s="104"/>
      <c r="H152" s="104"/>
      <c r="I152" s="104"/>
      <c r="J152" s="104"/>
      <c r="K152" s="104"/>
      <c r="L152" s="102"/>
      <c r="M152" s="102"/>
      <c r="N152" s="102"/>
      <c r="O152" s="102"/>
    </row>
    <row r="153" customFormat="false" ht="16.5" hidden="false" customHeight="true" outlineLevel="0" collapsed="false">
      <c r="A153" s="102"/>
      <c r="B153" s="108" t="s">
        <v>1523</v>
      </c>
      <c r="C153" s="108" t="s">
        <v>1524</v>
      </c>
      <c r="D153" s="108" t="s">
        <v>1615</v>
      </c>
      <c r="E153" s="102"/>
      <c r="F153" s="102"/>
      <c r="G153" s="102"/>
      <c r="H153" s="102"/>
      <c r="I153" s="102"/>
      <c r="J153" s="102"/>
      <c r="K153" s="102"/>
      <c r="L153" s="102"/>
      <c r="M153" s="102"/>
      <c r="N153" s="102"/>
      <c r="O153" s="102"/>
    </row>
    <row r="154" customFormat="false" ht="15" hidden="false" customHeight="true" outlineLevel="0" collapsed="false">
      <c r="A154" s="102"/>
      <c r="B154" s="121" t="s">
        <v>1060</v>
      </c>
      <c r="C154" s="121" t="s">
        <v>5687</v>
      </c>
      <c r="D154" s="121" t="s">
        <v>2892</v>
      </c>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39">
    <mergeCell ref="B2:J2"/>
    <mergeCell ref="D3:E3"/>
    <mergeCell ref="C6:G6"/>
    <mergeCell ref="C7:G7"/>
    <mergeCell ref="C8:G8"/>
    <mergeCell ref="B11:H15"/>
    <mergeCell ref="B16:H18"/>
    <mergeCell ref="B19:H20"/>
    <mergeCell ref="B21:H21"/>
    <mergeCell ref="B24:D24"/>
    <mergeCell ref="E24:H24"/>
    <mergeCell ref="B25:D25"/>
    <mergeCell ref="E25:H25"/>
    <mergeCell ref="B26:D26"/>
    <mergeCell ref="E26:H26"/>
    <mergeCell ref="B27:H27"/>
    <mergeCell ref="B35:H35"/>
    <mergeCell ref="B36:H37"/>
    <mergeCell ref="B38:H38"/>
    <mergeCell ref="B39:H39"/>
    <mergeCell ref="B40:H42"/>
    <mergeCell ref="D45:E45"/>
    <mergeCell ref="D46:E46"/>
    <mergeCell ref="D47:E47"/>
    <mergeCell ref="B50:H50"/>
    <mergeCell ref="C51:D51"/>
    <mergeCell ref="C133:G133"/>
    <mergeCell ref="D135:E135"/>
    <mergeCell ref="D136:E136"/>
    <mergeCell ref="D137:E137"/>
    <mergeCell ref="D138:E138"/>
    <mergeCell ref="B141:H141"/>
    <mergeCell ref="B142:H142"/>
    <mergeCell ref="B143:H143"/>
    <mergeCell ref="B144:H144"/>
    <mergeCell ref="B147:E147"/>
    <mergeCell ref="B148:E148"/>
    <mergeCell ref="B149:E149"/>
    <mergeCell ref="B150:E150"/>
  </mergeCells>
  <hyperlinks>
    <hyperlink ref="B3" location="'N-03 Index DMAIC'!A1" display="← Back to Index"/>
    <hyperlink ref="E30" location="'E-49 I-MR Chart'!A1" display="E-49  Individuals and Moving Range Chart"/>
    <hyperlink ref="E31" location="'E-19 Type I II Error Power'!A1" display="E-19  Type I Error, Type II Error and Power"/>
    <hyperlink ref="E32" location="'E-06 Data Collection Plan'!A1" display="E-06  Operational Definitions and Data Collection Plan"/>
    <hyperlink ref="B154" location="'E-49 I-MR Chart'!A1" display="E-49  Individuals and Moving Range Chart"/>
    <hyperlink ref="C154" location="'E-56 WE and Nelson Rules'!A1" display="E-56  Western Electric and Nelson Rules"/>
    <hyperlink ref="D154" location="'E-19 Type I II Error Power'!A1" display="E-19  Type I Error, Type II Error and Pow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6193</v>
      </c>
      <c r="C2" s="3"/>
      <c r="D2" s="3"/>
      <c r="E2" s="3"/>
      <c r="F2" s="3"/>
      <c r="G2" s="3"/>
      <c r="H2" s="3"/>
      <c r="I2" s="3"/>
      <c r="J2" s="3"/>
      <c r="K2" s="141" t="s">
        <v>5631</v>
      </c>
    </row>
    <row r="3" customFormat="false" ht="28.5" hidden="false" customHeight="true" outlineLevel="0" collapsed="false">
      <c r="B3" s="5" t="s">
        <v>3</v>
      </c>
      <c r="D3" s="6" t="s">
        <v>6194</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6195</v>
      </c>
      <c r="D6" s="106"/>
      <c r="E6" s="106"/>
      <c r="F6" s="106"/>
      <c r="G6" s="106"/>
      <c r="H6" s="102"/>
      <c r="I6" s="102"/>
      <c r="J6" s="102"/>
      <c r="K6" s="102"/>
      <c r="L6" s="102"/>
      <c r="M6" s="102"/>
      <c r="N6" s="102"/>
      <c r="O6" s="102"/>
    </row>
    <row r="7" customFormat="false" ht="31.5" hidden="false" customHeight="true" outlineLevel="0" collapsed="false">
      <c r="A7" s="102"/>
      <c r="B7" s="105" t="s">
        <v>1394</v>
      </c>
      <c r="C7" s="106" t="s">
        <v>6196</v>
      </c>
      <c r="D7" s="106"/>
      <c r="E7" s="106"/>
      <c r="F7" s="106"/>
      <c r="G7" s="106"/>
      <c r="H7" s="102"/>
      <c r="I7" s="102"/>
      <c r="J7" s="102"/>
      <c r="K7" s="102"/>
      <c r="L7" s="102"/>
      <c r="M7" s="102"/>
      <c r="N7" s="102"/>
      <c r="O7" s="102"/>
    </row>
    <row r="8" customFormat="false" ht="17.25" hidden="false" customHeight="true" outlineLevel="0" collapsed="false">
      <c r="A8" s="102"/>
      <c r="B8" s="105" t="s">
        <v>1396</v>
      </c>
      <c r="C8" s="106" t="s">
        <v>6197</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7.25" hidden="false" customHeight="true" outlineLevel="0" collapsed="false">
      <c r="A11" s="102"/>
      <c r="B11" s="106" t="s">
        <v>6198</v>
      </c>
      <c r="C11" s="106"/>
      <c r="D11" s="106"/>
      <c r="E11" s="106"/>
      <c r="F11" s="106"/>
      <c r="G11" s="106"/>
      <c r="H11" s="106"/>
      <c r="I11" s="102"/>
      <c r="J11" s="102"/>
      <c r="K11" s="102"/>
      <c r="L11" s="102"/>
      <c r="M11" s="102"/>
      <c r="N11" s="102"/>
      <c r="O11" s="102"/>
    </row>
    <row r="12" customFormat="false" ht="10.5" hidden="false" customHeight="true" outlineLevel="0" collapsed="false">
      <c r="A12" s="102"/>
      <c r="B12" s="106" t="s">
        <v>6199</v>
      </c>
      <c r="C12" s="106"/>
      <c r="D12" s="106"/>
      <c r="E12" s="106"/>
      <c r="F12" s="106"/>
      <c r="G12" s="106"/>
      <c r="H12" s="106"/>
      <c r="I12" s="102"/>
      <c r="J12" s="102"/>
      <c r="K12" s="102"/>
      <c r="L12" s="102"/>
      <c r="M12" s="102"/>
      <c r="N12" s="102"/>
      <c r="O12" s="102"/>
    </row>
    <row r="13" customFormat="false" ht="10.5" hidden="false" customHeight="true" outlineLevel="0" collapsed="false">
      <c r="A13" s="102"/>
      <c r="B13" s="106"/>
      <c r="C13" s="106"/>
      <c r="D13" s="106"/>
      <c r="E13" s="106"/>
      <c r="F13" s="106"/>
      <c r="G13" s="106"/>
      <c r="H13" s="106"/>
      <c r="I13" s="102"/>
      <c r="J13" s="102"/>
      <c r="K13" s="102"/>
      <c r="L13" s="102"/>
      <c r="M13" s="102"/>
      <c r="N13" s="102"/>
      <c r="O13" s="102"/>
    </row>
    <row r="14" customFormat="false" ht="10.5" hidden="false" customHeight="true" outlineLevel="0" collapsed="false">
      <c r="A14" s="102"/>
      <c r="B14" s="106"/>
      <c r="C14" s="106"/>
      <c r="D14" s="106"/>
      <c r="E14" s="106"/>
      <c r="F14" s="106"/>
      <c r="G14" s="106"/>
      <c r="H14" s="106"/>
      <c r="I14" s="102"/>
      <c r="J14" s="102"/>
      <c r="K14" s="102"/>
      <c r="L14" s="102"/>
      <c r="M14" s="102"/>
      <c r="N14" s="102"/>
      <c r="O14" s="102"/>
    </row>
    <row r="15" customFormat="false" ht="11.25" hidden="false" customHeight="true" outlineLevel="0" collapsed="false">
      <c r="A15" s="102"/>
      <c r="B15" s="106" t="s">
        <v>6200</v>
      </c>
      <c r="C15" s="106"/>
      <c r="D15" s="106"/>
      <c r="E15" s="106"/>
      <c r="F15" s="106"/>
      <c r="G15" s="106"/>
      <c r="H15" s="106"/>
      <c r="I15" s="102"/>
      <c r="J15" s="102"/>
      <c r="K15" s="102"/>
      <c r="L15" s="102"/>
      <c r="M15" s="102"/>
      <c r="N15" s="102"/>
      <c r="O15" s="102"/>
    </row>
    <row r="16" customFormat="false" ht="11.25" hidden="false" customHeight="true" outlineLevel="0" collapsed="false">
      <c r="A16" s="102"/>
      <c r="B16" s="106"/>
      <c r="C16" s="106"/>
      <c r="D16" s="106"/>
      <c r="E16" s="106"/>
      <c r="F16" s="106"/>
      <c r="G16" s="106"/>
      <c r="H16" s="106"/>
      <c r="I16" s="102"/>
      <c r="J16" s="102"/>
      <c r="K16" s="102"/>
      <c r="L16" s="102"/>
      <c r="M16" s="102"/>
      <c r="N16" s="102"/>
      <c r="O16" s="102"/>
    </row>
    <row r="17" customFormat="false" ht="11.25" hidden="false" customHeight="true" outlineLevel="0" collapsed="false">
      <c r="A17" s="102"/>
      <c r="B17" s="106"/>
      <c r="C17" s="106"/>
      <c r="D17" s="106"/>
      <c r="E17" s="106"/>
      <c r="F17" s="106"/>
      <c r="G17" s="106"/>
      <c r="H17" s="106"/>
      <c r="I17" s="102"/>
      <c r="J17" s="102"/>
      <c r="K17" s="102"/>
      <c r="L17" s="102"/>
      <c r="M17" s="102"/>
      <c r="N17" s="102"/>
      <c r="O17" s="102"/>
    </row>
    <row r="18" customFormat="false" ht="11.25" hidden="false" customHeight="true" outlineLevel="0" collapsed="false">
      <c r="A18" s="102"/>
      <c r="B18" s="106"/>
      <c r="C18" s="106"/>
      <c r="D18" s="106"/>
      <c r="E18" s="106"/>
      <c r="F18" s="106"/>
      <c r="G18" s="106"/>
      <c r="H18" s="106"/>
      <c r="I18" s="102"/>
      <c r="J18" s="102"/>
      <c r="K18" s="102"/>
      <c r="L18" s="102"/>
      <c r="M18" s="102"/>
      <c r="N18" s="102"/>
      <c r="O18" s="102"/>
    </row>
    <row r="19" customFormat="false" ht="15" hidden="false" customHeight="true" outlineLevel="0" collapsed="false">
      <c r="A19" s="102"/>
      <c r="B19" s="102"/>
      <c r="C19" s="102"/>
      <c r="D19" s="102"/>
      <c r="E19" s="102"/>
      <c r="F19" s="102"/>
      <c r="G19" s="102"/>
      <c r="H19" s="102"/>
      <c r="I19" s="102"/>
      <c r="J19" s="102"/>
      <c r="K19" s="102"/>
      <c r="L19" s="102"/>
      <c r="M19" s="102"/>
      <c r="N19" s="102"/>
      <c r="O19" s="102"/>
    </row>
    <row r="20" customFormat="false" ht="15.75" hidden="false" customHeight="true" outlineLevel="0" collapsed="false">
      <c r="A20" s="102"/>
      <c r="B20" s="103" t="s">
        <v>1406</v>
      </c>
      <c r="C20" s="104"/>
      <c r="D20" s="104"/>
      <c r="E20" s="104"/>
      <c r="F20" s="104"/>
      <c r="G20" s="104"/>
      <c r="H20" s="104"/>
      <c r="I20" s="104"/>
      <c r="J20" s="104"/>
      <c r="K20" s="104"/>
      <c r="L20" s="102"/>
      <c r="M20" s="102"/>
      <c r="N20" s="102"/>
      <c r="O20" s="102"/>
    </row>
    <row r="21" customFormat="false" ht="17.25" hidden="false" customHeight="true" outlineLevel="0" collapsed="false">
      <c r="A21" s="102"/>
      <c r="B21" s="107" t="s">
        <v>1407</v>
      </c>
      <c r="C21" s="107"/>
      <c r="D21" s="107"/>
      <c r="E21" s="107" t="s">
        <v>1408</v>
      </c>
      <c r="F21" s="107"/>
      <c r="G21" s="107"/>
      <c r="H21" s="107"/>
      <c r="I21" s="102"/>
      <c r="J21" s="102"/>
      <c r="K21" s="102"/>
      <c r="L21" s="102"/>
      <c r="M21" s="102"/>
      <c r="N21" s="102"/>
      <c r="O21" s="102"/>
    </row>
    <row r="22" customFormat="false" ht="31.5" hidden="false" customHeight="true" outlineLevel="0" collapsed="false">
      <c r="A22" s="102"/>
      <c r="B22" s="106" t="s">
        <v>6201</v>
      </c>
      <c r="C22" s="106"/>
      <c r="D22" s="106"/>
      <c r="E22" s="106" t="s">
        <v>6202</v>
      </c>
      <c r="F22" s="106"/>
      <c r="G22" s="106"/>
      <c r="H22" s="106"/>
      <c r="I22" s="102"/>
      <c r="J22" s="102"/>
      <c r="K22" s="102"/>
      <c r="L22" s="102"/>
      <c r="M22" s="102"/>
      <c r="N22" s="102"/>
      <c r="O22" s="102"/>
    </row>
    <row r="23" customFormat="false" ht="31.5" hidden="false" customHeight="true" outlineLevel="0" collapsed="false">
      <c r="A23" s="102"/>
      <c r="B23" s="106" t="s">
        <v>6203</v>
      </c>
      <c r="C23" s="106"/>
      <c r="D23" s="106"/>
      <c r="E23" s="106" t="s">
        <v>6204</v>
      </c>
      <c r="F23" s="106"/>
      <c r="G23" s="106"/>
      <c r="H23" s="106"/>
      <c r="I23" s="102"/>
      <c r="J23" s="102"/>
      <c r="K23" s="102"/>
      <c r="L23" s="102"/>
      <c r="M23" s="102"/>
      <c r="N23" s="102"/>
      <c r="O23" s="102"/>
    </row>
    <row r="24" customFormat="false" ht="17.25" hidden="false" customHeight="true" outlineLevel="0" collapsed="false">
      <c r="A24" s="102"/>
      <c r="B24" s="106" t="s">
        <v>6205</v>
      </c>
      <c r="C24" s="106"/>
      <c r="D24" s="106"/>
      <c r="E24" s="106"/>
      <c r="F24" s="106"/>
      <c r="G24" s="106"/>
      <c r="H24" s="106"/>
      <c r="I24" s="102"/>
      <c r="J24" s="102"/>
      <c r="K24" s="102"/>
      <c r="L24" s="102"/>
      <c r="M24" s="102"/>
      <c r="N24" s="102"/>
      <c r="O24" s="102"/>
    </row>
    <row r="25" customFormat="false" ht="15" hidden="false" customHeight="true" outlineLevel="0" collapsed="false">
      <c r="A25" s="102"/>
      <c r="B25" s="102"/>
      <c r="C25" s="102"/>
      <c r="D25" s="102"/>
      <c r="E25" s="102"/>
      <c r="F25" s="102"/>
      <c r="G25" s="102"/>
      <c r="H25" s="102"/>
      <c r="I25" s="102"/>
      <c r="J25" s="102"/>
      <c r="K25" s="102"/>
      <c r="L25" s="102"/>
      <c r="M25" s="102"/>
      <c r="N25" s="102"/>
      <c r="O25" s="102"/>
    </row>
    <row r="26" customFormat="false" ht="30.75" hidden="false" customHeight="true" outlineLevel="0" collapsed="false">
      <c r="A26" s="102"/>
      <c r="B26" s="108" t="s">
        <v>1416</v>
      </c>
      <c r="C26" s="108" t="s">
        <v>1417</v>
      </c>
      <c r="D26" s="108" t="s">
        <v>1418</v>
      </c>
      <c r="E26" s="108" t="s">
        <v>1419</v>
      </c>
      <c r="F26" s="102"/>
      <c r="G26" s="102"/>
      <c r="H26" s="102"/>
      <c r="I26" s="102"/>
      <c r="J26" s="102"/>
      <c r="K26" s="102"/>
      <c r="L26" s="102"/>
      <c r="M26" s="102"/>
      <c r="N26" s="102"/>
      <c r="O26" s="102"/>
    </row>
    <row r="27" customFormat="false" ht="58.5" hidden="false" customHeight="true" outlineLevel="0" collapsed="false">
      <c r="A27" s="102"/>
      <c r="B27" s="15" t="s">
        <v>6206</v>
      </c>
      <c r="C27" s="15" t="s">
        <v>6207</v>
      </c>
      <c r="D27" s="15" t="s">
        <v>6208</v>
      </c>
      <c r="E27" s="109" t="s">
        <v>1060</v>
      </c>
      <c r="F27" s="102"/>
      <c r="G27" s="102"/>
      <c r="H27" s="102"/>
      <c r="I27" s="102"/>
      <c r="J27" s="102"/>
      <c r="K27" s="102"/>
      <c r="L27" s="102"/>
      <c r="M27" s="102"/>
      <c r="N27" s="102"/>
      <c r="O27" s="102"/>
    </row>
    <row r="28" customFormat="false" ht="58.5" hidden="false" customHeight="true" outlineLevel="0" collapsed="false">
      <c r="A28" s="102"/>
      <c r="B28" s="15" t="s">
        <v>6209</v>
      </c>
      <c r="C28" s="15" t="s">
        <v>6210</v>
      </c>
      <c r="D28" s="15" t="s">
        <v>6211</v>
      </c>
      <c r="E28" s="109" t="s">
        <v>973</v>
      </c>
      <c r="F28" s="102"/>
      <c r="G28" s="102"/>
      <c r="H28" s="102"/>
      <c r="I28" s="102"/>
      <c r="J28" s="102"/>
      <c r="K28" s="102"/>
      <c r="L28" s="102"/>
      <c r="M28" s="102"/>
      <c r="N28" s="102"/>
      <c r="O28" s="102"/>
    </row>
    <row r="29" customFormat="false" ht="86.25" hidden="false" customHeight="true" outlineLevel="0" collapsed="false">
      <c r="A29" s="102"/>
      <c r="B29" s="15" t="s">
        <v>6212</v>
      </c>
      <c r="C29" s="15" t="s">
        <v>6213</v>
      </c>
      <c r="D29" s="15" t="s">
        <v>6214</v>
      </c>
      <c r="E29" s="109" t="s">
        <v>1645</v>
      </c>
      <c r="F29" s="102"/>
      <c r="G29" s="102"/>
      <c r="H29" s="102"/>
      <c r="I29" s="102"/>
      <c r="J29" s="102"/>
      <c r="K29" s="102"/>
      <c r="L29" s="102"/>
      <c r="M29" s="102"/>
      <c r="N29" s="102"/>
      <c r="O29" s="102"/>
    </row>
    <row r="30" customFormat="false" ht="15" hidden="false" customHeight="true" outlineLevel="0" collapsed="false">
      <c r="A30" s="102"/>
      <c r="B30" s="102"/>
      <c r="C30" s="102"/>
      <c r="D30" s="102"/>
      <c r="E30" s="102"/>
      <c r="F30" s="102"/>
      <c r="G30" s="102"/>
      <c r="H30" s="102"/>
      <c r="I30" s="102"/>
      <c r="J30" s="102"/>
      <c r="K30" s="102"/>
      <c r="L30" s="102"/>
      <c r="M30" s="102"/>
      <c r="N30" s="102"/>
      <c r="O30" s="102"/>
    </row>
    <row r="31" customFormat="false" ht="15.75" hidden="false" customHeight="true" outlineLevel="0" collapsed="false">
      <c r="A31" s="102"/>
      <c r="B31" s="103" t="s">
        <v>1429</v>
      </c>
      <c r="C31" s="104"/>
      <c r="D31" s="104"/>
      <c r="E31" s="104"/>
      <c r="F31" s="104"/>
      <c r="G31" s="104"/>
      <c r="H31" s="104"/>
      <c r="I31" s="104"/>
      <c r="J31" s="104"/>
      <c r="K31" s="104"/>
      <c r="L31" s="102"/>
      <c r="M31" s="102"/>
      <c r="N31" s="102"/>
      <c r="O31" s="102"/>
    </row>
    <row r="32" customFormat="false" ht="17.25" hidden="false" customHeight="true" outlineLevel="0" collapsed="false">
      <c r="A32" s="102"/>
      <c r="B32" s="106" t="s">
        <v>6215</v>
      </c>
      <c r="C32" s="106"/>
      <c r="D32" s="106"/>
      <c r="E32" s="106"/>
      <c r="F32" s="106"/>
      <c r="G32" s="106"/>
      <c r="H32" s="106"/>
      <c r="I32" s="102"/>
      <c r="J32" s="102"/>
      <c r="K32" s="102"/>
      <c r="L32" s="102"/>
      <c r="M32" s="102"/>
      <c r="N32" s="102"/>
      <c r="O32" s="102"/>
    </row>
    <row r="33" customFormat="false" ht="17.25" hidden="false" customHeight="true" outlineLevel="0" collapsed="false">
      <c r="A33" s="102"/>
      <c r="B33" s="106" t="s">
        <v>6216</v>
      </c>
      <c r="C33" s="106"/>
      <c r="D33" s="106"/>
      <c r="E33" s="106"/>
      <c r="F33" s="106"/>
      <c r="G33" s="106"/>
      <c r="H33" s="106"/>
      <c r="I33" s="102"/>
      <c r="J33" s="102"/>
      <c r="K33" s="102"/>
      <c r="L33" s="102"/>
      <c r="M33" s="102"/>
      <c r="N33" s="102"/>
      <c r="O33" s="102"/>
    </row>
    <row r="34" customFormat="false" ht="17.25" hidden="false" customHeight="true" outlineLevel="0" collapsed="false">
      <c r="A34" s="102"/>
      <c r="B34" s="106" t="s">
        <v>6217</v>
      </c>
      <c r="C34" s="106"/>
      <c r="D34" s="106"/>
      <c r="E34" s="106"/>
      <c r="F34" s="106"/>
      <c r="G34" s="106"/>
      <c r="H34" s="106"/>
      <c r="I34" s="102"/>
      <c r="J34" s="102"/>
      <c r="K34" s="102"/>
      <c r="L34" s="102"/>
      <c r="M34" s="102"/>
      <c r="N34" s="102"/>
      <c r="O34" s="102"/>
    </row>
    <row r="35" customFormat="false" ht="17.25" hidden="false" customHeight="true" outlineLevel="0" collapsed="false">
      <c r="A35" s="102"/>
      <c r="B35" s="106" t="s">
        <v>6218</v>
      </c>
      <c r="C35" s="106"/>
      <c r="D35" s="106"/>
      <c r="E35" s="106"/>
      <c r="F35" s="106"/>
      <c r="G35" s="106"/>
      <c r="H35" s="106"/>
      <c r="I35" s="102"/>
      <c r="J35" s="102"/>
      <c r="K35" s="102"/>
      <c r="L35" s="102"/>
      <c r="M35" s="102"/>
      <c r="N35" s="102"/>
      <c r="O35" s="102"/>
    </row>
    <row r="36" customFormat="false" ht="17.25" hidden="false" customHeight="true" outlineLevel="0" collapsed="false">
      <c r="A36" s="102"/>
      <c r="B36" s="106" t="s">
        <v>6219</v>
      </c>
      <c r="C36" s="106"/>
      <c r="D36" s="106"/>
      <c r="E36" s="106"/>
      <c r="F36" s="106"/>
      <c r="G36" s="106"/>
      <c r="H36" s="106"/>
      <c r="I36" s="102"/>
      <c r="J36" s="102"/>
      <c r="K36" s="102"/>
      <c r="L36" s="102"/>
      <c r="M36" s="102"/>
      <c r="N36" s="102"/>
      <c r="O36" s="102"/>
    </row>
    <row r="37" customFormat="false" ht="17.25" hidden="false" customHeight="true" outlineLevel="0" collapsed="false">
      <c r="A37" s="102"/>
      <c r="B37" s="106" t="s">
        <v>6220</v>
      </c>
      <c r="C37" s="106"/>
      <c r="D37" s="106"/>
      <c r="E37" s="106"/>
      <c r="F37" s="106"/>
      <c r="G37" s="106"/>
      <c r="H37" s="106"/>
      <c r="I37" s="102"/>
      <c r="J37" s="102"/>
      <c r="K37" s="102"/>
      <c r="L37" s="102"/>
      <c r="M37" s="102"/>
      <c r="N37" s="102"/>
      <c r="O37" s="102"/>
    </row>
    <row r="38" customFormat="false" ht="17.25" hidden="false" customHeight="true" outlineLevel="0" collapsed="false">
      <c r="A38" s="102"/>
      <c r="B38" s="106" t="s">
        <v>6221</v>
      </c>
      <c r="C38" s="106"/>
      <c r="D38" s="106"/>
      <c r="E38" s="106"/>
      <c r="F38" s="106"/>
      <c r="G38" s="106"/>
      <c r="H38" s="106"/>
      <c r="I38" s="102"/>
      <c r="J38" s="102"/>
      <c r="K38" s="102"/>
      <c r="L38" s="102"/>
      <c r="M38" s="102"/>
      <c r="N38" s="102"/>
      <c r="O38" s="102"/>
    </row>
    <row r="39" customFormat="false" ht="15" hidden="false" customHeight="true" outlineLevel="0" collapsed="false">
      <c r="A39" s="102"/>
      <c r="B39" s="102"/>
      <c r="C39" s="102"/>
      <c r="D39" s="102"/>
      <c r="E39" s="102"/>
      <c r="F39" s="102"/>
      <c r="G39" s="102"/>
      <c r="H39" s="102"/>
      <c r="I39" s="102"/>
      <c r="J39" s="102"/>
      <c r="K39" s="102"/>
      <c r="L39" s="102"/>
      <c r="M39" s="102"/>
      <c r="N39" s="102"/>
      <c r="O39" s="102"/>
    </row>
    <row r="40" customFormat="false" ht="15.75" hidden="false" customHeight="true" outlineLevel="0" collapsed="false">
      <c r="A40" s="102"/>
      <c r="B40" s="103" t="s">
        <v>1437</v>
      </c>
      <c r="C40" s="104"/>
      <c r="D40" s="104"/>
      <c r="E40" s="104"/>
      <c r="F40" s="104"/>
      <c r="G40" s="104"/>
      <c r="H40" s="104"/>
      <c r="I40" s="104"/>
      <c r="J40" s="104"/>
      <c r="K40" s="104"/>
      <c r="L40" s="102"/>
      <c r="M40" s="102"/>
      <c r="N40" s="102"/>
      <c r="O40" s="102"/>
    </row>
    <row r="41" customFormat="false" ht="16.5" hidden="false" customHeight="true" outlineLevel="0" collapsed="false">
      <c r="A41" s="102"/>
      <c r="B41" s="108" t="s">
        <v>1438</v>
      </c>
      <c r="C41" s="108" t="s">
        <v>1439</v>
      </c>
      <c r="D41" s="108" t="s">
        <v>1440</v>
      </c>
      <c r="E41" s="102"/>
      <c r="F41" s="102"/>
      <c r="G41" s="102"/>
      <c r="H41" s="102"/>
      <c r="I41" s="102"/>
      <c r="J41" s="102"/>
      <c r="K41" s="102"/>
      <c r="L41" s="102"/>
      <c r="M41" s="102"/>
      <c r="N41" s="102"/>
      <c r="O41" s="102"/>
    </row>
    <row r="42" customFormat="false" ht="44.25" hidden="false" customHeight="true" outlineLevel="0" collapsed="false">
      <c r="A42" s="102"/>
      <c r="B42" s="110" t="s">
        <v>1920</v>
      </c>
      <c r="C42" s="111" t="s">
        <v>6222</v>
      </c>
      <c r="D42" s="15" t="s">
        <v>6223</v>
      </c>
      <c r="E42" s="102"/>
      <c r="F42" s="102"/>
      <c r="G42" s="102"/>
      <c r="H42" s="102"/>
      <c r="I42" s="102"/>
      <c r="J42" s="102"/>
      <c r="K42" s="102"/>
      <c r="L42" s="102"/>
      <c r="M42" s="102"/>
      <c r="N42" s="102"/>
      <c r="O42" s="102"/>
    </row>
    <row r="43" customFormat="false" ht="30.75" hidden="false" customHeight="true" outlineLevel="0" collapsed="false">
      <c r="A43" s="102"/>
      <c r="B43" s="110" t="s">
        <v>6224</v>
      </c>
      <c r="C43" s="111" t="s">
        <v>6225</v>
      </c>
      <c r="D43" s="15" t="s">
        <v>6226</v>
      </c>
      <c r="E43" s="102"/>
      <c r="F43" s="102"/>
      <c r="G43" s="102"/>
      <c r="H43" s="102"/>
      <c r="I43" s="102"/>
      <c r="J43" s="102"/>
      <c r="K43" s="102"/>
      <c r="L43" s="102"/>
      <c r="M43" s="102"/>
      <c r="N43" s="102"/>
      <c r="O43" s="102"/>
    </row>
    <row r="44" customFormat="false" ht="30.75" hidden="false" customHeight="true" outlineLevel="0" collapsed="false">
      <c r="A44" s="102"/>
      <c r="B44" s="110" t="s">
        <v>1447</v>
      </c>
      <c r="C44" s="111" t="s">
        <v>6227</v>
      </c>
      <c r="D44" s="15" t="s">
        <v>6228</v>
      </c>
      <c r="E44" s="102"/>
      <c r="F44" s="102"/>
      <c r="G44" s="102"/>
      <c r="H44" s="102"/>
      <c r="I44" s="102"/>
      <c r="J44" s="102"/>
      <c r="K44" s="102"/>
      <c r="L44" s="102"/>
      <c r="M44" s="102"/>
      <c r="N44" s="102"/>
      <c r="O44" s="102"/>
    </row>
    <row r="45" customFormat="false" ht="15" hidden="false" customHeight="true" outlineLevel="0" collapsed="false">
      <c r="A45" s="102"/>
      <c r="B45" s="102"/>
      <c r="C45" s="102"/>
      <c r="D45" s="102"/>
      <c r="E45" s="102"/>
      <c r="F45" s="102"/>
      <c r="G45" s="102"/>
      <c r="H45" s="102"/>
      <c r="I45" s="102"/>
      <c r="J45" s="102"/>
      <c r="K45" s="102"/>
      <c r="L45" s="102"/>
      <c r="M45" s="102"/>
      <c r="N45" s="102"/>
      <c r="O45" s="102"/>
    </row>
    <row r="46" customFormat="false" ht="15.75" hidden="false" customHeight="true" outlineLevel="0" collapsed="false">
      <c r="A46" s="102"/>
      <c r="B46" s="103" t="s">
        <v>1454</v>
      </c>
      <c r="C46" s="104"/>
      <c r="D46" s="104"/>
      <c r="E46" s="104"/>
      <c r="F46" s="104"/>
      <c r="G46" s="104"/>
      <c r="H46" s="104"/>
      <c r="I46" s="104"/>
      <c r="J46" s="104"/>
      <c r="K46" s="104"/>
      <c r="L46" s="102"/>
      <c r="M46" s="102"/>
      <c r="N46" s="102"/>
      <c r="O46" s="102"/>
    </row>
    <row r="47" customFormat="false" ht="17.25" hidden="false" customHeight="true" outlineLevel="0" collapsed="false">
      <c r="A47" s="102"/>
      <c r="B47" s="106" t="s">
        <v>6229</v>
      </c>
      <c r="C47" s="106"/>
      <c r="D47" s="106"/>
      <c r="E47" s="106"/>
      <c r="F47" s="106"/>
      <c r="G47" s="106"/>
      <c r="H47" s="106"/>
      <c r="I47" s="102"/>
      <c r="J47" s="102"/>
      <c r="K47" s="102"/>
      <c r="L47" s="102"/>
      <c r="M47" s="102"/>
      <c r="N47" s="102"/>
      <c r="O47" s="102"/>
    </row>
    <row r="48" customFormat="false" ht="17.25" hidden="false" customHeight="true" outlineLevel="0" collapsed="false">
      <c r="A48" s="102"/>
      <c r="B48" s="112" t="s">
        <v>85</v>
      </c>
      <c r="C48" s="113" t="s">
        <v>86</v>
      </c>
      <c r="D48" s="113"/>
      <c r="E48" s="102"/>
      <c r="F48" s="102"/>
      <c r="G48" s="102"/>
      <c r="H48" s="102"/>
      <c r="I48" s="102"/>
      <c r="J48" s="102"/>
      <c r="K48" s="102"/>
      <c r="L48" s="102"/>
      <c r="M48" s="102"/>
      <c r="N48" s="102"/>
      <c r="O48" s="102"/>
    </row>
    <row r="49" customFormat="false" ht="15" hidden="false" customHeight="true" outlineLevel="0" collapsed="false">
      <c r="A49" s="102"/>
      <c r="B49" s="102"/>
      <c r="C49" s="102"/>
      <c r="D49" s="102"/>
      <c r="E49" s="102"/>
      <c r="F49" s="102"/>
      <c r="G49" s="102"/>
      <c r="H49" s="102"/>
      <c r="I49" s="102"/>
      <c r="J49" s="102"/>
      <c r="K49" s="102"/>
      <c r="L49" s="102"/>
      <c r="M49" s="102"/>
      <c r="N49" s="102"/>
      <c r="O49" s="102"/>
    </row>
    <row r="50" customFormat="false" ht="15" hidden="false" customHeight="true" outlineLevel="0" collapsed="false">
      <c r="A50" s="102"/>
      <c r="B50" s="105" t="s">
        <v>6230</v>
      </c>
      <c r="C50" s="133" t="n">
        <f aca="false">'E-49 I-MR Chart'!$C$77</f>
        <v>27.28</v>
      </c>
      <c r="D50" s="102"/>
      <c r="E50" s="102"/>
      <c r="F50" s="102"/>
      <c r="G50" s="102"/>
      <c r="H50" s="102"/>
      <c r="I50" s="102"/>
      <c r="J50" s="102"/>
      <c r="K50" s="102"/>
      <c r="L50" s="102"/>
      <c r="M50" s="102"/>
      <c r="N50" s="102"/>
      <c r="O50" s="102"/>
    </row>
    <row r="51" customFormat="false" ht="15" hidden="false" customHeight="true" outlineLevel="0" collapsed="false">
      <c r="A51" s="102"/>
      <c r="B51" s="105" t="s">
        <v>6231</v>
      </c>
      <c r="C51" s="133" t="n">
        <f aca="false">'E-49 I-MR Chart'!$C$78/1.128</f>
        <v>2.84426713947991</v>
      </c>
      <c r="D51" s="102"/>
      <c r="E51" s="102"/>
      <c r="F51" s="102"/>
      <c r="G51" s="102"/>
      <c r="H51" s="102"/>
      <c r="I51" s="102"/>
      <c r="J51" s="102"/>
      <c r="K51" s="102"/>
      <c r="L51" s="102"/>
      <c r="M51" s="102"/>
      <c r="N51" s="102"/>
      <c r="O51" s="102"/>
    </row>
    <row r="52" customFormat="false" ht="15" hidden="false" customHeight="true" outlineLevel="0" collapsed="false">
      <c r="A52" s="102"/>
      <c r="B52" s="102"/>
      <c r="C52" s="102"/>
      <c r="D52" s="102"/>
      <c r="E52" s="102"/>
      <c r="F52" s="102"/>
      <c r="G52" s="102"/>
      <c r="H52" s="102"/>
      <c r="I52" s="102"/>
      <c r="J52" s="102"/>
      <c r="K52" s="102"/>
      <c r="L52" s="102"/>
      <c r="M52" s="102"/>
      <c r="N52" s="102"/>
      <c r="O52" s="102"/>
    </row>
    <row r="53" customFormat="false" ht="16.5" hidden="false" customHeight="true" outlineLevel="0" collapsed="false">
      <c r="A53" s="102"/>
      <c r="B53" s="108" t="s">
        <v>5798</v>
      </c>
      <c r="C53" s="108" t="s">
        <v>720</v>
      </c>
      <c r="D53" s="108" t="s">
        <v>6232</v>
      </c>
      <c r="E53" s="108" t="s">
        <v>6233</v>
      </c>
      <c r="F53" s="108" t="s">
        <v>6234</v>
      </c>
      <c r="G53" s="108" t="s">
        <v>6235</v>
      </c>
      <c r="H53" s="108" t="s">
        <v>6236</v>
      </c>
      <c r="I53" s="108" t="s">
        <v>6237</v>
      </c>
      <c r="J53" s="102"/>
      <c r="K53" s="102"/>
      <c r="L53" s="102"/>
      <c r="M53" s="102"/>
      <c r="N53" s="102"/>
      <c r="O53" s="102"/>
    </row>
    <row r="54" customFormat="false" ht="15" hidden="false" customHeight="true" outlineLevel="0" collapsed="false">
      <c r="A54" s="102"/>
      <c r="B54" s="123" t="n">
        <v>1</v>
      </c>
      <c r="C54" s="142" t="n">
        <f aca="false">'E-49 I-MR Chart'!$C$51</f>
        <v>26</v>
      </c>
      <c r="D54" s="102"/>
      <c r="E54" s="132" t="str">
        <f aca="false">IF(OR(C54&gt;$C$50+3*$C$51,C54&lt;$C$50-3*$C$51),"RULE 1","")</f>
        <v/>
      </c>
      <c r="F54" s="102"/>
      <c r="G54" s="102"/>
      <c r="H54" s="102"/>
      <c r="I54" s="102"/>
      <c r="J54" s="102"/>
      <c r="K54" s="102"/>
      <c r="L54" s="102"/>
      <c r="M54" s="102"/>
      <c r="N54" s="102"/>
      <c r="O54" s="102"/>
    </row>
    <row r="55" customFormat="false" ht="15" hidden="false" customHeight="true" outlineLevel="0" collapsed="false">
      <c r="A55" s="102"/>
      <c r="B55" s="123" t="n">
        <v>2</v>
      </c>
      <c r="C55" s="142" t="n">
        <f aca="false">'E-49 I-MR Chart'!$C$52</f>
        <v>28</v>
      </c>
      <c r="D55" s="124" t="n">
        <f aca="false">SIGN(C55-C54)</f>
        <v>1</v>
      </c>
      <c r="E55" s="132" t="str">
        <f aca="false">IF(OR(C55&gt;$C$50+3*$C$51,C55&lt;$C$50-3*$C$51),"RULE 1","")</f>
        <v/>
      </c>
      <c r="F55" s="102"/>
      <c r="G55" s="102"/>
      <c r="H55" s="102"/>
      <c r="I55" s="102"/>
      <c r="J55" s="102"/>
      <c r="K55" s="102"/>
      <c r="L55" s="102"/>
      <c r="M55" s="102"/>
      <c r="N55" s="102"/>
      <c r="O55" s="102"/>
    </row>
    <row r="56" customFormat="false" ht="15" hidden="false" customHeight="true" outlineLevel="0" collapsed="false">
      <c r="A56" s="102"/>
      <c r="B56" s="123" t="n">
        <v>3</v>
      </c>
      <c r="C56" s="142" t="n">
        <f aca="false">'E-49 I-MR Chart'!$C$53</f>
        <v>25</v>
      </c>
      <c r="D56" s="124" t="n">
        <f aca="false">SIGN(C56-C55)</f>
        <v>-1</v>
      </c>
      <c r="E56" s="132" t="str">
        <f aca="false">IF(OR(C56&gt;$C$50+3*$C$51,C56&lt;$C$50-3*$C$51),"RULE 1","")</f>
        <v/>
      </c>
      <c r="F56" s="102"/>
      <c r="G56" s="102"/>
      <c r="H56" s="132" t="str">
        <f aca="false">IF(OR(COUNTIF(C54:C56,"&gt;"&amp;($C$50+2*$C$51))&gt;=2,COUNTIF(C54:C56,"&lt;"&amp;($C$50-2*$C$51))&gt;=2),"RULE 5","")</f>
        <v/>
      </c>
      <c r="I56" s="102"/>
      <c r="J56" s="102"/>
      <c r="K56" s="102"/>
      <c r="L56" s="102"/>
      <c r="M56" s="102"/>
      <c r="N56" s="102"/>
      <c r="O56" s="102"/>
    </row>
    <row r="57" customFormat="false" ht="15" hidden="false" customHeight="true" outlineLevel="0" collapsed="false">
      <c r="A57" s="102"/>
      <c r="B57" s="123" t="n">
        <v>4</v>
      </c>
      <c r="C57" s="142" t="n">
        <f aca="false">'E-49 I-MR Chart'!$C$54</f>
        <v>27</v>
      </c>
      <c r="D57" s="124" t="n">
        <f aca="false">SIGN(C57-C56)</f>
        <v>1</v>
      </c>
      <c r="E57" s="132" t="str">
        <f aca="false">IF(OR(C57&gt;$C$50+3*$C$51,C57&lt;$C$50-3*$C$51),"RULE 1","")</f>
        <v/>
      </c>
      <c r="F57" s="102"/>
      <c r="G57" s="102"/>
      <c r="H57" s="132" t="str">
        <f aca="false">IF(OR(COUNTIF(C55:C57,"&gt;"&amp;($C$50+2*$C$51))&gt;=2,COUNTIF(C55:C57,"&lt;"&amp;($C$50-2*$C$51))&gt;=2),"RULE 5","")</f>
        <v/>
      </c>
      <c r="I57" s="102"/>
      <c r="J57" s="102"/>
      <c r="K57" s="102"/>
      <c r="L57" s="102"/>
      <c r="M57" s="102"/>
      <c r="N57" s="102"/>
      <c r="O57" s="102"/>
    </row>
    <row r="58" customFormat="false" ht="15" hidden="false" customHeight="true" outlineLevel="0" collapsed="false">
      <c r="A58" s="102"/>
      <c r="B58" s="123" t="n">
        <v>5</v>
      </c>
      <c r="C58" s="142" t="n">
        <f aca="false">'E-49 I-MR Chart'!$C$55</f>
        <v>29</v>
      </c>
      <c r="D58" s="124" t="n">
        <f aca="false">SIGN(C58-C57)</f>
        <v>1</v>
      </c>
      <c r="E58" s="132" t="str">
        <f aca="false">IF(OR(C58&gt;$C$50+3*$C$51,C58&lt;$C$50-3*$C$51),"RULE 1","")</f>
        <v/>
      </c>
      <c r="F58" s="102"/>
      <c r="G58" s="102"/>
      <c r="H58" s="132" t="str">
        <f aca="false">IF(OR(COUNTIF(C56:C58,"&gt;"&amp;($C$50+2*$C$51))&gt;=2,COUNTIF(C56:C58,"&lt;"&amp;($C$50-2*$C$51))&gt;=2),"RULE 5","")</f>
        <v/>
      </c>
      <c r="I58" s="132" t="str">
        <f aca="false">IF(OR(COUNTIF(C54:C58,"&gt;"&amp;($C$50+1*$C$51))&gt;=4,COUNTIF(C54:C58,"&lt;"&amp;($C$50-1*$C$51))&gt;=4),"RULE 6","")</f>
        <v/>
      </c>
      <c r="J58" s="102"/>
      <c r="K58" s="102"/>
      <c r="L58" s="102"/>
      <c r="M58" s="102"/>
      <c r="N58" s="102"/>
      <c r="O58" s="102"/>
    </row>
    <row r="59" customFormat="false" ht="15" hidden="false" customHeight="true" outlineLevel="0" collapsed="false">
      <c r="A59" s="102"/>
      <c r="B59" s="123" t="n">
        <v>6</v>
      </c>
      <c r="C59" s="142" t="n">
        <f aca="false">'E-49 I-MR Chart'!$C$56</f>
        <v>26</v>
      </c>
      <c r="D59" s="124" t="n">
        <f aca="false">SIGN(C59-C58)</f>
        <v>-1</v>
      </c>
      <c r="E59" s="132" t="str">
        <f aca="false">IF(OR(C59&gt;$C$50+3*$C$51,C59&lt;$C$50-3*$C$51),"RULE 1","")</f>
        <v/>
      </c>
      <c r="F59" s="102"/>
      <c r="G59" s="102"/>
      <c r="H59" s="132" t="str">
        <f aca="false">IF(OR(COUNTIF(C57:C59,"&gt;"&amp;($C$50+2*$C$51))&gt;=2,COUNTIF(C57:C59,"&lt;"&amp;($C$50-2*$C$51))&gt;=2),"RULE 5","")</f>
        <v/>
      </c>
      <c r="I59" s="132" t="str">
        <f aca="false">IF(OR(COUNTIF(C55:C59,"&gt;"&amp;($C$50+1*$C$51))&gt;=4,COUNTIF(C55:C59,"&lt;"&amp;($C$50-1*$C$51))&gt;=4),"RULE 6","")</f>
        <v/>
      </c>
      <c r="J59" s="102"/>
      <c r="K59" s="102"/>
      <c r="L59" s="102"/>
      <c r="M59" s="102"/>
      <c r="N59" s="102"/>
      <c r="O59" s="102"/>
    </row>
    <row r="60" customFormat="false" ht="15" hidden="false" customHeight="true" outlineLevel="0" collapsed="false">
      <c r="A60" s="102"/>
      <c r="B60" s="123" t="n">
        <v>7</v>
      </c>
      <c r="C60" s="142" t="n">
        <f aca="false">'E-49 I-MR Chart'!$C$57</f>
        <v>24</v>
      </c>
      <c r="D60" s="124" t="n">
        <f aca="false">SIGN(C60-C59)</f>
        <v>-1</v>
      </c>
      <c r="E60" s="132" t="str">
        <f aca="false">IF(OR(C60&gt;$C$50+3*$C$51,C60&lt;$C$50-3*$C$51),"RULE 1","")</f>
        <v/>
      </c>
      <c r="F60" s="102"/>
      <c r="G60" s="132" t="str">
        <f aca="false">IF(OR(COUNTIF(D56:D60,1)=5,COUNTIF(D56:D60,-1)=5),"RULE 3","")</f>
        <v/>
      </c>
      <c r="H60" s="132" t="str">
        <f aca="false">IF(OR(COUNTIF(C58:C60,"&gt;"&amp;($C$50+2*$C$51))&gt;=2,COUNTIF(C58:C60,"&lt;"&amp;($C$50-2*$C$51))&gt;=2),"RULE 5","")</f>
        <v/>
      </c>
      <c r="I60" s="132" t="str">
        <f aca="false">IF(OR(COUNTIF(C56:C60,"&gt;"&amp;($C$50+1*$C$51))&gt;=4,COUNTIF(C56:C60,"&lt;"&amp;($C$50-1*$C$51))&gt;=4),"RULE 6","")</f>
        <v/>
      </c>
      <c r="J60" s="102"/>
      <c r="K60" s="102"/>
      <c r="L60" s="102"/>
      <c r="M60" s="102"/>
      <c r="N60" s="102"/>
      <c r="O60" s="102"/>
    </row>
    <row r="61" customFormat="false" ht="15" hidden="false" customHeight="true" outlineLevel="0" collapsed="false">
      <c r="A61" s="102"/>
      <c r="B61" s="123" t="n">
        <v>8</v>
      </c>
      <c r="C61" s="142" t="n">
        <f aca="false">'E-49 I-MR Chart'!$C$58</f>
        <v>27</v>
      </c>
      <c r="D61" s="124" t="n">
        <f aca="false">SIGN(C61-C60)</f>
        <v>1</v>
      </c>
      <c r="E61" s="132" t="str">
        <f aca="false">IF(OR(C61&gt;$C$50+3*$C$51,C61&lt;$C$50-3*$C$51),"RULE 1","")</f>
        <v/>
      </c>
      <c r="F61" s="102"/>
      <c r="G61" s="132" t="str">
        <f aca="false">IF(OR(COUNTIF(D57:D61,1)=5,COUNTIF(D57:D61,-1)=5),"RULE 3","")</f>
        <v/>
      </c>
      <c r="H61" s="132" t="str">
        <f aca="false">IF(OR(COUNTIF(C59:C61,"&gt;"&amp;($C$50+2*$C$51))&gt;=2,COUNTIF(C59:C61,"&lt;"&amp;($C$50-2*$C$51))&gt;=2),"RULE 5","")</f>
        <v/>
      </c>
      <c r="I61" s="132" t="str">
        <f aca="false">IF(OR(COUNTIF(C57:C61,"&gt;"&amp;($C$50+1*$C$51))&gt;=4,COUNTIF(C57:C61,"&lt;"&amp;($C$50-1*$C$51))&gt;=4),"RULE 6","")</f>
        <v/>
      </c>
      <c r="J61" s="102"/>
      <c r="K61" s="102"/>
      <c r="L61" s="102"/>
      <c r="M61" s="102"/>
      <c r="N61" s="102"/>
      <c r="O61" s="102"/>
    </row>
    <row r="62" customFormat="false" ht="15" hidden="false" customHeight="true" outlineLevel="0" collapsed="false">
      <c r="A62" s="102"/>
      <c r="B62" s="123" t="n">
        <v>9</v>
      </c>
      <c r="C62" s="142" t="n">
        <f aca="false">'E-49 I-MR Chart'!$C$59</f>
        <v>28</v>
      </c>
      <c r="D62" s="124" t="n">
        <f aca="false">SIGN(C62-C61)</f>
        <v>1</v>
      </c>
      <c r="E62" s="132" t="str">
        <f aca="false">IF(OR(C62&gt;$C$50+3*$C$51,C62&lt;$C$50-3*$C$51),"RULE 1","")</f>
        <v/>
      </c>
      <c r="F62" s="132" t="str">
        <f aca="false">IF(OR(COUNTIF(C54:C62,"&gt;"&amp;$C$50)=9,COUNTIF(C54:C62,"&lt;"&amp;$C$50)=9),"RULE 2","")</f>
        <v/>
      </c>
      <c r="G62" s="132" t="str">
        <f aca="false">IF(OR(COUNTIF(D58:D62,1)=5,COUNTIF(D58:D62,-1)=5),"RULE 3","")</f>
        <v/>
      </c>
      <c r="H62" s="132" t="str">
        <f aca="false">IF(OR(COUNTIF(C60:C62,"&gt;"&amp;($C$50+2*$C$51))&gt;=2,COUNTIF(C60:C62,"&lt;"&amp;($C$50-2*$C$51))&gt;=2),"RULE 5","")</f>
        <v/>
      </c>
      <c r="I62" s="132" t="str">
        <f aca="false">IF(OR(COUNTIF(C58:C62,"&gt;"&amp;($C$50+1*$C$51))&gt;=4,COUNTIF(C58:C62,"&lt;"&amp;($C$50-1*$C$51))&gt;=4),"RULE 6","")</f>
        <v/>
      </c>
      <c r="J62" s="102"/>
      <c r="K62" s="102"/>
      <c r="L62" s="102"/>
      <c r="M62" s="102"/>
      <c r="N62" s="102"/>
      <c r="O62" s="102"/>
    </row>
    <row r="63" customFormat="false" ht="15" hidden="false" customHeight="true" outlineLevel="0" collapsed="false">
      <c r="A63" s="102"/>
      <c r="B63" s="123" t="n">
        <v>10</v>
      </c>
      <c r="C63" s="142" t="n">
        <f aca="false">'E-49 I-MR Chart'!$C$60</f>
        <v>26</v>
      </c>
      <c r="D63" s="124" t="n">
        <f aca="false">SIGN(C63-C62)</f>
        <v>-1</v>
      </c>
      <c r="E63" s="132" t="str">
        <f aca="false">IF(OR(C63&gt;$C$50+3*$C$51,C63&lt;$C$50-3*$C$51),"RULE 1","")</f>
        <v/>
      </c>
      <c r="F63" s="132" t="str">
        <f aca="false">IF(OR(COUNTIF(C55:C63,"&gt;"&amp;$C$50)=9,COUNTIF(C55:C63,"&lt;"&amp;$C$50)=9),"RULE 2","")</f>
        <v/>
      </c>
      <c r="G63" s="132" t="str">
        <f aca="false">IF(OR(COUNTIF(D59:D63,1)=5,COUNTIF(D59:D63,-1)=5),"RULE 3","")</f>
        <v/>
      </c>
      <c r="H63" s="132" t="str">
        <f aca="false">IF(OR(COUNTIF(C61:C63,"&gt;"&amp;($C$50+2*$C$51))&gt;=2,COUNTIF(C61:C63,"&lt;"&amp;($C$50-2*$C$51))&gt;=2),"RULE 5","")</f>
        <v/>
      </c>
      <c r="I63" s="132" t="str">
        <f aca="false">IF(OR(COUNTIF(C59:C63,"&gt;"&amp;($C$50+1*$C$51))&gt;=4,COUNTIF(C59:C63,"&lt;"&amp;($C$50-1*$C$51))&gt;=4),"RULE 6","")</f>
        <v/>
      </c>
      <c r="J63" s="102"/>
      <c r="K63" s="102"/>
      <c r="L63" s="102"/>
      <c r="M63" s="102"/>
      <c r="N63" s="102"/>
      <c r="O63" s="102"/>
    </row>
    <row r="64" customFormat="false" ht="15" hidden="false" customHeight="true" outlineLevel="0" collapsed="false">
      <c r="A64" s="102"/>
      <c r="B64" s="123" t="n">
        <v>11</v>
      </c>
      <c r="C64" s="142" t="n">
        <f aca="false">'E-49 I-MR Chart'!$C$61</f>
        <v>25</v>
      </c>
      <c r="D64" s="124" t="n">
        <f aca="false">SIGN(C64-C63)</f>
        <v>-1</v>
      </c>
      <c r="E64" s="132" t="str">
        <f aca="false">IF(OR(C64&gt;$C$50+3*$C$51,C64&lt;$C$50-3*$C$51),"RULE 1","")</f>
        <v/>
      </c>
      <c r="F64" s="132" t="str">
        <f aca="false">IF(OR(COUNTIF(C56:C64,"&gt;"&amp;$C$50)=9,COUNTIF(C56:C64,"&lt;"&amp;$C$50)=9),"RULE 2","")</f>
        <v/>
      </c>
      <c r="G64" s="132" t="str">
        <f aca="false">IF(OR(COUNTIF(D60:D64,1)=5,COUNTIF(D60:D64,-1)=5),"RULE 3","")</f>
        <v/>
      </c>
      <c r="H64" s="132" t="str">
        <f aca="false">IF(OR(COUNTIF(C62:C64,"&gt;"&amp;($C$50+2*$C$51))&gt;=2,COUNTIF(C62:C64,"&lt;"&amp;($C$50-2*$C$51))&gt;=2),"RULE 5","")</f>
        <v/>
      </c>
      <c r="I64" s="132" t="str">
        <f aca="false">IF(OR(COUNTIF(C60:C64,"&gt;"&amp;($C$50+1*$C$51))&gt;=4,COUNTIF(C60:C64,"&lt;"&amp;($C$50-1*$C$51))&gt;=4),"RULE 6","")</f>
        <v/>
      </c>
      <c r="J64" s="102"/>
      <c r="K64" s="102"/>
      <c r="L64" s="102"/>
      <c r="M64" s="102"/>
      <c r="N64" s="102"/>
      <c r="O64" s="102"/>
    </row>
    <row r="65" customFormat="false" ht="15" hidden="false" customHeight="true" outlineLevel="0" collapsed="false">
      <c r="A65" s="102"/>
      <c r="B65" s="123" t="n">
        <v>12</v>
      </c>
      <c r="C65" s="142" t="n">
        <f aca="false">'E-49 I-MR Chart'!$C$62</f>
        <v>27</v>
      </c>
      <c r="D65" s="124" t="n">
        <f aca="false">SIGN(C65-C64)</f>
        <v>1</v>
      </c>
      <c r="E65" s="132" t="str">
        <f aca="false">IF(OR(C65&gt;$C$50+3*$C$51,C65&lt;$C$50-3*$C$51),"RULE 1","")</f>
        <v/>
      </c>
      <c r="F65" s="132" t="str">
        <f aca="false">IF(OR(COUNTIF(C57:C65,"&gt;"&amp;$C$50)=9,COUNTIF(C57:C65,"&lt;"&amp;$C$50)=9),"RULE 2","")</f>
        <v/>
      </c>
      <c r="G65" s="132" t="str">
        <f aca="false">IF(OR(COUNTIF(D61:D65,1)=5,COUNTIF(D61:D65,-1)=5),"RULE 3","")</f>
        <v/>
      </c>
      <c r="H65" s="132" t="str">
        <f aca="false">IF(OR(COUNTIF(C63:C65,"&gt;"&amp;($C$50+2*$C$51))&gt;=2,COUNTIF(C63:C65,"&lt;"&amp;($C$50-2*$C$51))&gt;=2),"RULE 5","")</f>
        <v/>
      </c>
      <c r="I65" s="132" t="str">
        <f aca="false">IF(OR(COUNTIF(C61:C65,"&gt;"&amp;($C$50+1*$C$51))&gt;=4,COUNTIF(C61:C65,"&lt;"&amp;($C$50-1*$C$51))&gt;=4),"RULE 6","")</f>
        <v/>
      </c>
      <c r="J65" s="102"/>
      <c r="K65" s="102"/>
      <c r="L65" s="102"/>
      <c r="M65" s="102"/>
      <c r="N65" s="102"/>
      <c r="O65" s="102"/>
    </row>
    <row r="66" customFormat="false" ht="15" hidden="false" customHeight="true" outlineLevel="0" collapsed="false">
      <c r="A66" s="102"/>
      <c r="B66" s="123" t="n">
        <v>13</v>
      </c>
      <c r="C66" s="142" t="n">
        <f aca="false">'E-49 I-MR Chart'!$C$63</f>
        <v>29</v>
      </c>
      <c r="D66" s="124" t="n">
        <f aca="false">SIGN(C66-C65)</f>
        <v>1</v>
      </c>
      <c r="E66" s="132" t="str">
        <f aca="false">IF(OR(C66&gt;$C$50+3*$C$51,C66&lt;$C$50-3*$C$51),"RULE 1","")</f>
        <v/>
      </c>
      <c r="F66" s="132" t="str">
        <f aca="false">IF(OR(COUNTIF(C58:C66,"&gt;"&amp;$C$50)=9,COUNTIF(C58:C66,"&lt;"&amp;$C$50)=9),"RULE 2","")</f>
        <v/>
      </c>
      <c r="G66" s="132" t="str">
        <f aca="false">IF(OR(COUNTIF(D62:D66,1)=5,COUNTIF(D62:D66,-1)=5),"RULE 3","")</f>
        <v/>
      </c>
      <c r="H66" s="132" t="str">
        <f aca="false">IF(OR(COUNTIF(C64:C66,"&gt;"&amp;($C$50+2*$C$51))&gt;=2,COUNTIF(C64:C66,"&lt;"&amp;($C$50-2*$C$51))&gt;=2),"RULE 5","")</f>
        <v/>
      </c>
      <c r="I66" s="132" t="str">
        <f aca="false">IF(OR(COUNTIF(C62:C66,"&gt;"&amp;($C$50+1*$C$51))&gt;=4,COUNTIF(C62:C66,"&lt;"&amp;($C$50-1*$C$51))&gt;=4),"RULE 6","")</f>
        <v/>
      </c>
      <c r="J66" s="102"/>
      <c r="K66" s="102"/>
      <c r="L66" s="102"/>
      <c r="M66" s="102"/>
      <c r="N66" s="102"/>
      <c r="O66" s="102"/>
    </row>
    <row r="67" customFormat="false" ht="15" hidden="false" customHeight="true" outlineLevel="0" collapsed="false">
      <c r="A67" s="102"/>
      <c r="B67" s="123" t="n">
        <v>14</v>
      </c>
      <c r="C67" s="142" t="n">
        <f aca="false">'E-49 I-MR Chart'!$C$64</f>
        <v>26</v>
      </c>
      <c r="D67" s="124" t="n">
        <f aca="false">SIGN(C67-C66)</f>
        <v>-1</v>
      </c>
      <c r="E67" s="132" t="str">
        <f aca="false">IF(OR(C67&gt;$C$50+3*$C$51,C67&lt;$C$50-3*$C$51),"RULE 1","")</f>
        <v/>
      </c>
      <c r="F67" s="132" t="str">
        <f aca="false">IF(OR(COUNTIF(C59:C67,"&gt;"&amp;$C$50)=9,COUNTIF(C59:C67,"&lt;"&amp;$C$50)=9),"RULE 2","")</f>
        <v/>
      </c>
      <c r="G67" s="132" t="str">
        <f aca="false">IF(OR(COUNTIF(D63:D67,1)=5,COUNTIF(D63:D67,-1)=5),"RULE 3","")</f>
        <v/>
      </c>
      <c r="H67" s="132" t="str">
        <f aca="false">IF(OR(COUNTIF(C65:C67,"&gt;"&amp;($C$50+2*$C$51))&gt;=2,COUNTIF(C65:C67,"&lt;"&amp;($C$50-2*$C$51))&gt;=2),"RULE 5","")</f>
        <v/>
      </c>
      <c r="I67" s="132" t="str">
        <f aca="false">IF(OR(COUNTIF(C63:C67,"&gt;"&amp;($C$50+1*$C$51))&gt;=4,COUNTIF(C63:C67,"&lt;"&amp;($C$50-1*$C$51))&gt;=4),"RULE 6","")</f>
        <v/>
      </c>
      <c r="J67" s="102"/>
      <c r="K67" s="102"/>
      <c r="L67" s="102"/>
      <c r="M67" s="102"/>
      <c r="N67" s="102"/>
      <c r="O67" s="102"/>
    </row>
    <row r="68" customFormat="false" ht="15" hidden="false" customHeight="true" outlineLevel="0" collapsed="false">
      <c r="A68" s="102"/>
      <c r="B68" s="123" t="n">
        <v>15</v>
      </c>
      <c r="C68" s="142" t="n">
        <f aca="false">'E-49 I-MR Chart'!$C$65</f>
        <v>28</v>
      </c>
      <c r="D68" s="124" t="n">
        <f aca="false">SIGN(C68-C67)</f>
        <v>1</v>
      </c>
      <c r="E68" s="132" t="str">
        <f aca="false">IF(OR(C68&gt;$C$50+3*$C$51,C68&lt;$C$50-3*$C$51),"RULE 1","")</f>
        <v/>
      </c>
      <c r="F68" s="132" t="str">
        <f aca="false">IF(OR(COUNTIF(C60:C68,"&gt;"&amp;$C$50)=9,COUNTIF(C60:C68,"&lt;"&amp;$C$50)=9),"RULE 2","")</f>
        <v/>
      </c>
      <c r="G68" s="132" t="str">
        <f aca="false">IF(OR(COUNTIF(D64:D68,1)=5,COUNTIF(D64:D68,-1)=5),"RULE 3","")</f>
        <v/>
      </c>
      <c r="H68" s="132" t="str">
        <f aca="false">IF(OR(COUNTIF(C66:C68,"&gt;"&amp;($C$50+2*$C$51))&gt;=2,COUNTIF(C66:C68,"&lt;"&amp;($C$50-2*$C$51))&gt;=2),"RULE 5","")</f>
        <v/>
      </c>
      <c r="I68" s="132" t="str">
        <f aca="false">IF(OR(COUNTIF(C64:C68,"&gt;"&amp;($C$50+1*$C$51))&gt;=4,COUNTIF(C64:C68,"&lt;"&amp;($C$50-1*$C$51))&gt;=4),"RULE 6","")</f>
        <v/>
      </c>
      <c r="J68" s="102"/>
      <c r="K68" s="102"/>
      <c r="L68" s="102"/>
      <c r="M68" s="102"/>
      <c r="N68" s="102"/>
      <c r="O68" s="102"/>
    </row>
    <row r="69" customFormat="false" ht="15" hidden="false" customHeight="true" outlineLevel="0" collapsed="false">
      <c r="A69" s="102"/>
      <c r="B69" s="123" t="n">
        <v>16</v>
      </c>
      <c r="C69" s="142" t="n">
        <f aca="false">'E-49 I-MR Chart'!$C$66</f>
        <v>25</v>
      </c>
      <c r="D69" s="124" t="n">
        <f aca="false">SIGN(C69-C68)</f>
        <v>-1</v>
      </c>
      <c r="E69" s="132" t="str">
        <f aca="false">IF(OR(C69&gt;$C$50+3*$C$51,C69&lt;$C$50-3*$C$51),"RULE 1","")</f>
        <v/>
      </c>
      <c r="F69" s="132" t="str">
        <f aca="false">IF(OR(COUNTIF(C61:C69,"&gt;"&amp;$C$50)=9,COUNTIF(C61:C69,"&lt;"&amp;$C$50)=9),"RULE 2","")</f>
        <v/>
      </c>
      <c r="G69" s="132" t="str">
        <f aca="false">IF(OR(COUNTIF(D65:D69,1)=5,COUNTIF(D65:D69,-1)=5),"RULE 3","")</f>
        <v/>
      </c>
      <c r="H69" s="132" t="str">
        <f aca="false">IF(OR(COUNTIF(C67:C69,"&gt;"&amp;($C$50+2*$C$51))&gt;=2,COUNTIF(C67:C69,"&lt;"&amp;($C$50-2*$C$51))&gt;=2),"RULE 5","")</f>
        <v/>
      </c>
      <c r="I69" s="132" t="str">
        <f aca="false">IF(OR(COUNTIF(C65:C69,"&gt;"&amp;($C$50+1*$C$51))&gt;=4,COUNTIF(C65:C69,"&lt;"&amp;($C$50-1*$C$51))&gt;=4),"RULE 6","")</f>
        <v/>
      </c>
      <c r="J69" s="102"/>
      <c r="K69" s="102"/>
      <c r="L69" s="102"/>
      <c r="M69" s="102"/>
      <c r="N69" s="102"/>
      <c r="O69" s="102"/>
    </row>
    <row r="70" customFormat="false" ht="15" hidden="false" customHeight="true" outlineLevel="0" collapsed="false">
      <c r="A70" s="102"/>
      <c r="B70" s="123" t="n">
        <v>17</v>
      </c>
      <c r="C70" s="142" t="n">
        <f aca="false">'E-49 I-MR Chart'!$C$67</f>
        <v>27</v>
      </c>
      <c r="D70" s="124" t="n">
        <f aca="false">SIGN(C70-C69)</f>
        <v>1</v>
      </c>
      <c r="E70" s="132" t="str">
        <f aca="false">IF(OR(C70&gt;$C$50+3*$C$51,C70&lt;$C$50-3*$C$51),"RULE 1","")</f>
        <v/>
      </c>
      <c r="F70" s="132" t="str">
        <f aca="false">IF(OR(COUNTIF(C62:C70,"&gt;"&amp;$C$50)=9,COUNTIF(C62:C70,"&lt;"&amp;$C$50)=9),"RULE 2","")</f>
        <v/>
      </c>
      <c r="G70" s="132" t="str">
        <f aca="false">IF(OR(COUNTIF(D66:D70,1)=5,COUNTIF(D66:D70,-1)=5),"RULE 3","")</f>
        <v/>
      </c>
      <c r="H70" s="132" t="str">
        <f aca="false">IF(OR(COUNTIF(C68:C70,"&gt;"&amp;($C$50+2*$C$51))&gt;=2,COUNTIF(C68:C70,"&lt;"&amp;($C$50-2*$C$51))&gt;=2),"RULE 5","")</f>
        <v/>
      </c>
      <c r="I70" s="132" t="str">
        <f aca="false">IF(OR(COUNTIF(C66:C70,"&gt;"&amp;($C$50+1*$C$51))&gt;=4,COUNTIF(C66:C70,"&lt;"&amp;($C$50-1*$C$51))&gt;=4),"RULE 6","")</f>
        <v/>
      </c>
      <c r="J70" s="102"/>
      <c r="K70" s="102"/>
      <c r="L70" s="102"/>
      <c r="M70" s="102"/>
      <c r="N70" s="102"/>
      <c r="O70" s="102"/>
    </row>
    <row r="71" customFormat="false" ht="15" hidden="false" customHeight="true" outlineLevel="0" collapsed="false">
      <c r="A71" s="102"/>
      <c r="B71" s="123" t="n">
        <v>18</v>
      </c>
      <c r="C71" s="142" t="n">
        <f aca="false">'E-49 I-MR Chart'!$C$68</f>
        <v>42</v>
      </c>
      <c r="D71" s="124" t="n">
        <f aca="false">SIGN(C71-C70)</f>
        <v>1</v>
      </c>
      <c r="E71" s="132" t="str">
        <f aca="false">IF(OR(C71&gt;$C$50+3*$C$51,C71&lt;$C$50-3*$C$51),"RULE 1","")</f>
        <v>RULE 1</v>
      </c>
      <c r="F71" s="132" t="str">
        <f aca="false">IF(OR(COUNTIF(C63:C71,"&gt;"&amp;$C$50)=9,COUNTIF(C63:C71,"&lt;"&amp;$C$50)=9),"RULE 2","")</f>
        <v/>
      </c>
      <c r="G71" s="132" t="str">
        <f aca="false">IF(OR(COUNTIF(D67:D71,1)=5,COUNTIF(D67:D71,-1)=5),"RULE 3","")</f>
        <v/>
      </c>
      <c r="H71" s="132" t="str">
        <f aca="false">IF(OR(COUNTIF(C69:C71,"&gt;"&amp;($C$50+2*$C$51))&gt;=2,COUNTIF(C69:C71,"&lt;"&amp;($C$50-2*$C$51))&gt;=2),"RULE 5","")</f>
        <v/>
      </c>
      <c r="I71" s="132" t="str">
        <f aca="false">IF(OR(COUNTIF(C67:C71,"&gt;"&amp;($C$50+1*$C$51))&gt;=4,COUNTIF(C67:C71,"&lt;"&amp;($C$50-1*$C$51))&gt;=4),"RULE 6","")</f>
        <v/>
      </c>
      <c r="J71" s="102"/>
      <c r="K71" s="102"/>
      <c r="L71" s="102"/>
      <c r="M71" s="102"/>
      <c r="N71" s="102"/>
      <c r="O71" s="102"/>
    </row>
    <row r="72" customFormat="false" ht="15" hidden="false" customHeight="true" outlineLevel="0" collapsed="false">
      <c r="A72" s="102"/>
      <c r="B72" s="123" t="n">
        <v>19</v>
      </c>
      <c r="C72" s="142" t="n">
        <f aca="false">'E-49 I-MR Chart'!$C$69</f>
        <v>26</v>
      </c>
      <c r="D72" s="124" t="n">
        <f aca="false">SIGN(C72-C71)</f>
        <v>-1</v>
      </c>
      <c r="E72" s="132" t="str">
        <f aca="false">IF(OR(C72&gt;$C$50+3*$C$51,C72&lt;$C$50-3*$C$51),"RULE 1","")</f>
        <v/>
      </c>
      <c r="F72" s="132" t="str">
        <f aca="false">IF(OR(COUNTIF(C64:C72,"&gt;"&amp;$C$50)=9,COUNTIF(C64:C72,"&lt;"&amp;$C$50)=9),"RULE 2","")</f>
        <v/>
      </c>
      <c r="G72" s="132" t="str">
        <f aca="false">IF(OR(COUNTIF(D68:D72,1)=5,COUNTIF(D68:D72,-1)=5),"RULE 3","")</f>
        <v/>
      </c>
      <c r="H72" s="132" t="str">
        <f aca="false">IF(OR(COUNTIF(C70:C72,"&gt;"&amp;($C$50+2*$C$51))&gt;=2,COUNTIF(C70:C72,"&lt;"&amp;($C$50-2*$C$51))&gt;=2),"RULE 5","")</f>
        <v/>
      </c>
      <c r="I72" s="132" t="str">
        <f aca="false">IF(OR(COUNTIF(C68:C72,"&gt;"&amp;($C$50+1*$C$51))&gt;=4,COUNTIF(C68:C72,"&lt;"&amp;($C$50-1*$C$51))&gt;=4),"RULE 6","")</f>
        <v/>
      </c>
      <c r="J72" s="102"/>
      <c r="K72" s="102"/>
      <c r="L72" s="102"/>
      <c r="M72" s="102"/>
      <c r="N72" s="102"/>
      <c r="O72" s="102"/>
    </row>
    <row r="73" customFormat="false" ht="15" hidden="false" customHeight="true" outlineLevel="0" collapsed="false">
      <c r="A73" s="102"/>
      <c r="B73" s="123" t="n">
        <v>20</v>
      </c>
      <c r="C73" s="142" t="n">
        <f aca="false">'E-49 I-MR Chart'!$C$70</f>
        <v>28</v>
      </c>
      <c r="D73" s="124" t="n">
        <f aca="false">SIGN(C73-C72)</f>
        <v>1</v>
      </c>
      <c r="E73" s="132" t="str">
        <f aca="false">IF(OR(C73&gt;$C$50+3*$C$51,C73&lt;$C$50-3*$C$51),"RULE 1","")</f>
        <v/>
      </c>
      <c r="F73" s="132" t="str">
        <f aca="false">IF(OR(COUNTIF(C65:C73,"&gt;"&amp;$C$50)=9,COUNTIF(C65:C73,"&lt;"&amp;$C$50)=9),"RULE 2","")</f>
        <v/>
      </c>
      <c r="G73" s="132" t="str">
        <f aca="false">IF(OR(COUNTIF(D69:D73,1)=5,COUNTIF(D69:D73,-1)=5),"RULE 3","")</f>
        <v/>
      </c>
      <c r="H73" s="132" t="str">
        <f aca="false">IF(OR(COUNTIF(C71:C73,"&gt;"&amp;($C$50+2*$C$51))&gt;=2,COUNTIF(C71:C73,"&lt;"&amp;($C$50-2*$C$51))&gt;=2),"RULE 5","")</f>
        <v/>
      </c>
      <c r="I73" s="132" t="str">
        <f aca="false">IF(OR(COUNTIF(C69:C73,"&gt;"&amp;($C$50+1*$C$51))&gt;=4,COUNTIF(C69:C73,"&lt;"&amp;($C$50-1*$C$51))&gt;=4),"RULE 6","")</f>
        <v/>
      </c>
      <c r="J73" s="102"/>
      <c r="K73" s="102"/>
      <c r="L73" s="102"/>
      <c r="M73" s="102"/>
      <c r="N73" s="102"/>
      <c r="O73" s="102"/>
    </row>
    <row r="74" customFormat="false" ht="15" hidden="false" customHeight="true" outlineLevel="0" collapsed="false">
      <c r="A74" s="102"/>
      <c r="B74" s="123" t="n">
        <v>21</v>
      </c>
      <c r="C74" s="142" t="n">
        <f aca="false">'E-49 I-MR Chart'!$C$71</f>
        <v>25</v>
      </c>
      <c r="D74" s="124" t="n">
        <f aca="false">SIGN(C74-C73)</f>
        <v>-1</v>
      </c>
      <c r="E74" s="132" t="str">
        <f aca="false">IF(OR(C74&gt;$C$50+3*$C$51,C74&lt;$C$50-3*$C$51),"RULE 1","")</f>
        <v/>
      </c>
      <c r="F74" s="132" t="str">
        <f aca="false">IF(OR(COUNTIF(C66:C74,"&gt;"&amp;$C$50)=9,COUNTIF(C66:C74,"&lt;"&amp;$C$50)=9),"RULE 2","")</f>
        <v/>
      </c>
      <c r="G74" s="132" t="str">
        <f aca="false">IF(OR(COUNTIF(D70:D74,1)=5,COUNTIF(D70:D74,-1)=5),"RULE 3","")</f>
        <v/>
      </c>
      <c r="H74" s="132" t="str">
        <f aca="false">IF(OR(COUNTIF(C72:C74,"&gt;"&amp;($C$50+2*$C$51))&gt;=2,COUNTIF(C72:C74,"&lt;"&amp;($C$50-2*$C$51))&gt;=2),"RULE 5","")</f>
        <v/>
      </c>
      <c r="I74" s="132" t="str">
        <f aca="false">IF(OR(COUNTIF(C70:C74,"&gt;"&amp;($C$50+1*$C$51))&gt;=4,COUNTIF(C70:C74,"&lt;"&amp;($C$50-1*$C$51))&gt;=4),"RULE 6","")</f>
        <v/>
      </c>
      <c r="J74" s="102"/>
      <c r="K74" s="102"/>
      <c r="L74" s="102"/>
      <c r="M74" s="102"/>
      <c r="N74" s="102"/>
      <c r="O74" s="102"/>
    </row>
    <row r="75" customFormat="false" ht="15" hidden="false" customHeight="true" outlineLevel="0" collapsed="false">
      <c r="A75" s="102"/>
      <c r="B75" s="123" t="n">
        <v>22</v>
      </c>
      <c r="C75" s="142" t="n">
        <f aca="false">'E-49 I-MR Chart'!$C$72</f>
        <v>27</v>
      </c>
      <c r="D75" s="124" t="n">
        <f aca="false">SIGN(C75-C74)</f>
        <v>1</v>
      </c>
      <c r="E75" s="132" t="str">
        <f aca="false">IF(OR(C75&gt;$C$50+3*$C$51,C75&lt;$C$50-3*$C$51),"RULE 1","")</f>
        <v/>
      </c>
      <c r="F75" s="132" t="str">
        <f aca="false">IF(OR(COUNTIF(C67:C75,"&gt;"&amp;$C$50)=9,COUNTIF(C67:C75,"&lt;"&amp;$C$50)=9),"RULE 2","")</f>
        <v/>
      </c>
      <c r="G75" s="132" t="str">
        <f aca="false">IF(OR(COUNTIF(D71:D75,1)=5,COUNTIF(D71:D75,-1)=5),"RULE 3","")</f>
        <v/>
      </c>
      <c r="H75" s="132" t="str">
        <f aca="false">IF(OR(COUNTIF(C73:C75,"&gt;"&amp;($C$50+2*$C$51))&gt;=2,COUNTIF(C73:C75,"&lt;"&amp;($C$50-2*$C$51))&gt;=2),"RULE 5","")</f>
        <v/>
      </c>
      <c r="I75" s="132" t="str">
        <f aca="false">IF(OR(COUNTIF(C71:C75,"&gt;"&amp;($C$50+1*$C$51))&gt;=4,COUNTIF(C71:C75,"&lt;"&amp;($C$50-1*$C$51))&gt;=4),"RULE 6","")</f>
        <v/>
      </c>
      <c r="J75" s="102"/>
      <c r="K75" s="102"/>
      <c r="L75" s="102"/>
      <c r="M75" s="102"/>
      <c r="N75" s="102"/>
      <c r="O75" s="102"/>
    </row>
    <row r="76" customFormat="false" ht="15" hidden="false" customHeight="true" outlineLevel="0" collapsed="false">
      <c r="A76" s="102"/>
      <c r="B76" s="123" t="n">
        <v>23</v>
      </c>
      <c r="C76" s="142" t="n">
        <f aca="false">'E-49 I-MR Chart'!$C$73</f>
        <v>26</v>
      </c>
      <c r="D76" s="124" t="n">
        <f aca="false">SIGN(C76-C75)</f>
        <v>-1</v>
      </c>
      <c r="E76" s="132" t="str">
        <f aca="false">IF(OR(C76&gt;$C$50+3*$C$51,C76&lt;$C$50-3*$C$51),"RULE 1","")</f>
        <v/>
      </c>
      <c r="F76" s="132" t="str">
        <f aca="false">IF(OR(COUNTIF(C68:C76,"&gt;"&amp;$C$50)=9,COUNTIF(C68:C76,"&lt;"&amp;$C$50)=9),"RULE 2","")</f>
        <v/>
      </c>
      <c r="G76" s="132" t="str">
        <f aca="false">IF(OR(COUNTIF(D72:D76,1)=5,COUNTIF(D72:D76,-1)=5),"RULE 3","")</f>
        <v/>
      </c>
      <c r="H76" s="132" t="str">
        <f aca="false">IF(OR(COUNTIF(C74:C76,"&gt;"&amp;($C$50+2*$C$51))&gt;=2,COUNTIF(C74:C76,"&lt;"&amp;($C$50-2*$C$51))&gt;=2),"RULE 5","")</f>
        <v/>
      </c>
      <c r="I76" s="132" t="str">
        <f aca="false">IF(OR(COUNTIF(C72:C76,"&gt;"&amp;($C$50+1*$C$51))&gt;=4,COUNTIF(C72:C76,"&lt;"&amp;($C$50-1*$C$51))&gt;=4),"RULE 6","")</f>
        <v/>
      </c>
      <c r="J76" s="102"/>
      <c r="K76" s="102"/>
      <c r="L76" s="102"/>
      <c r="M76" s="102"/>
      <c r="N76" s="102"/>
      <c r="O76" s="102"/>
    </row>
    <row r="77" customFormat="false" ht="15" hidden="false" customHeight="true" outlineLevel="0" collapsed="false">
      <c r="A77" s="102"/>
      <c r="B77" s="123" t="n">
        <v>24</v>
      </c>
      <c r="C77" s="142" t="n">
        <f aca="false">'E-49 I-MR Chart'!$C$74</f>
        <v>28</v>
      </c>
      <c r="D77" s="124" t="n">
        <f aca="false">SIGN(C77-C76)</f>
        <v>1</v>
      </c>
      <c r="E77" s="132" t="str">
        <f aca="false">IF(OR(C77&gt;$C$50+3*$C$51,C77&lt;$C$50-3*$C$51),"RULE 1","")</f>
        <v/>
      </c>
      <c r="F77" s="132" t="str">
        <f aca="false">IF(OR(COUNTIF(C69:C77,"&gt;"&amp;$C$50)=9,COUNTIF(C69:C77,"&lt;"&amp;$C$50)=9),"RULE 2","")</f>
        <v/>
      </c>
      <c r="G77" s="132" t="str">
        <f aca="false">IF(OR(COUNTIF(D73:D77,1)=5,COUNTIF(D73:D77,-1)=5),"RULE 3","")</f>
        <v/>
      </c>
      <c r="H77" s="132" t="str">
        <f aca="false">IF(OR(COUNTIF(C75:C77,"&gt;"&amp;($C$50+2*$C$51))&gt;=2,COUNTIF(C75:C77,"&lt;"&amp;($C$50-2*$C$51))&gt;=2),"RULE 5","")</f>
        <v/>
      </c>
      <c r="I77" s="132" t="str">
        <f aca="false">IF(OR(COUNTIF(C73:C77,"&gt;"&amp;($C$50+1*$C$51))&gt;=4,COUNTIF(C73:C77,"&lt;"&amp;($C$50-1*$C$51))&gt;=4),"RULE 6","")</f>
        <v/>
      </c>
      <c r="J77" s="102"/>
      <c r="K77" s="102"/>
      <c r="L77" s="102"/>
      <c r="M77" s="102"/>
      <c r="N77" s="102"/>
      <c r="O77" s="102"/>
    </row>
    <row r="78" customFormat="false" ht="15" hidden="false" customHeight="true" outlineLevel="0" collapsed="false">
      <c r="A78" s="102"/>
      <c r="B78" s="123" t="n">
        <v>25</v>
      </c>
      <c r="C78" s="142" t="n">
        <f aca="false">'E-49 I-MR Chart'!$C$75</f>
        <v>27</v>
      </c>
      <c r="D78" s="124" t="n">
        <f aca="false">SIGN(C78-C77)</f>
        <v>-1</v>
      </c>
      <c r="E78" s="132" t="str">
        <f aca="false">IF(OR(C78&gt;$C$50+3*$C$51,C78&lt;$C$50-3*$C$51),"RULE 1","")</f>
        <v/>
      </c>
      <c r="F78" s="132" t="str">
        <f aca="false">IF(OR(COUNTIF(C70:C78,"&gt;"&amp;$C$50)=9,COUNTIF(C70:C78,"&lt;"&amp;$C$50)=9),"RULE 2","")</f>
        <v/>
      </c>
      <c r="G78" s="132" t="str">
        <f aca="false">IF(OR(COUNTIF(D74:D78,1)=5,COUNTIF(D74:D78,-1)=5),"RULE 3","")</f>
        <v/>
      </c>
      <c r="H78" s="132" t="str">
        <f aca="false">IF(OR(COUNTIF(C76:C78,"&gt;"&amp;($C$50+2*$C$51))&gt;=2,COUNTIF(C76:C78,"&lt;"&amp;($C$50-2*$C$51))&gt;=2),"RULE 5","")</f>
        <v/>
      </c>
      <c r="I78" s="132" t="str">
        <f aca="false">IF(OR(COUNTIF(C74:C78,"&gt;"&amp;($C$50+1*$C$51))&gt;=4,COUNTIF(C74:C78,"&lt;"&amp;($C$50-1*$C$51))&gt;=4),"RULE 6","")</f>
        <v/>
      </c>
      <c r="J78" s="102"/>
      <c r="K78" s="102"/>
      <c r="L78" s="102"/>
      <c r="M78" s="102"/>
      <c r="N78" s="102"/>
      <c r="O78" s="102"/>
    </row>
    <row r="79" customFormat="false" ht="15" hidden="false" customHeight="true" outlineLevel="0" collapsed="false">
      <c r="A79" s="102"/>
      <c r="B79" s="102"/>
      <c r="C79" s="102"/>
      <c r="D79" s="102"/>
      <c r="E79" s="102"/>
      <c r="F79" s="102"/>
      <c r="G79" s="102"/>
      <c r="H79" s="102"/>
      <c r="I79" s="102"/>
      <c r="J79" s="102"/>
      <c r="K79" s="102"/>
      <c r="L79" s="102"/>
      <c r="M79" s="102"/>
      <c r="N79" s="102"/>
      <c r="O79" s="102"/>
    </row>
    <row r="80" customFormat="false" ht="15" hidden="false" customHeight="true" outlineLevel="0" collapsed="false">
      <c r="A80" s="102"/>
      <c r="B80" s="105" t="s">
        <v>6238</v>
      </c>
      <c r="C80" s="124" t="n">
        <f aca="false">COUNTIF(E54:E78,"RULE 1")</f>
        <v>1</v>
      </c>
      <c r="D80" s="102"/>
      <c r="E80" s="102"/>
      <c r="F80" s="102"/>
      <c r="G80" s="102"/>
      <c r="H80" s="102"/>
      <c r="I80" s="102"/>
      <c r="J80" s="102"/>
      <c r="K80" s="102"/>
      <c r="L80" s="102"/>
      <c r="M80" s="102"/>
      <c r="N80" s="102"/>
      <c r="O80" s="102"/>
    </row>
    <row r="81" customFormat="false" ht="15" hidden="false" customHeight="true" outlineLevel="0" collapsed="false">
      <c r="A81" s="102"/>
      <c r="B81" s="105" t="s">
        <v>6239</v>
      </c>
      <c r="C81" s="124" t="n">
        <f aca="false">COUNTIF(F54:F78,"RULE 2")</f>
        <v>0</v>
      </c>
      <c r="D81" s="102"/>
      <c r="E81" s="102"/>
      <c r="F81" s="102"/>
      <c r="G81" s="102"/>
      <c r="H81" s="102"/>
      <c r="I81" s="102"/>
      <c r="J81" s="102"/>
      <c r="K81" s="102"/>
      <c r="L81" s="102"/>
      <c r="M81" s="102"/>
      <c r="N81" s="102"/>
      <c r="O81" s="102"/>
    </row>
    <row r="82" customFormat="false" ht="15" hidden="false" customHeight="true" outlineLevel="0" collapsed="false">
      <c r="A82" s="102"/>
      <c r="B82" s="105" t="s">
        <v>6240</v>
      </c>
      <c r="C82" s="124" t="n">
        <f aca="false">COUNTIF(G54:G78,"RULE 3")</f>
        <v>0</v>
      </c>
      <c r="D82" s="102"/>
      <c r="E82" s="102"/>
      <c r="F82" s="102"/>
      <c r="G82" s="102"/>
      <c r="H82" s="102"/>
      <c r="I82" s="102"/>
      <c r="J82" s="102"/>
      <c r="K82" s="102"/>
      <c r="L82" s="102"/>
      <c r="M82" s="102"/>
      <c r="N82" s="102"/>
      <c r="O82" s="102"/>
    </row>
    <row r="83" customFormat="false" ht="15" hidden="false" customHeight="true" outlineLevel="0" collapsed="false">
      <c r="A83" s="102"/>
      <c r="B83" s="105" t="s">
        <v>6241</v>
      </c>
      <c r="C83" s="124" t="n">
        <f aca="false">COUNTIF(H54:H78,"RULE 5")</f>
        <v>0</v>
      </c>
      <c r="D83" s="102"/>
      <c r="E83" s="102"/>
      <c r="F83" s="102"/>
      <c r="G83" s="102"/>
      <c r="H83" s="102"/>
      <c r="I83" s="102"/>
      <c r="J83" s="102"/>
      <c r="K83" s="102"/>
      <c r="L83" s="102"/>
      <c r="M83" s="102"/>
      <c r="N83" s="102"/>
      <c r="O83" s="102"/>
    </row>
    <row r="84" customFormat="false" ht="15" hidden="false" customHeight="true" outlineLevel="0" collapsed="false">
      <c r="A84" s="102"/>
      <c r="B84" s="105" t="s">
        <v>6242</v>
      </c>
      <c r="C84" s="124" t="n">
        <f aca="false">COUNTIF(I54:I78,"RULE 6")</f>
        <v>0</v>
      </c>
      <c r="D84" s="102"/>
      <c r="E84" s="102"/>
      <c r="F84" s="102"/>
      <c r="G84" s="102"/>
      <c r="H84" s="102"/>
      <c r="I84" s="102"/>
      <c r="J84" s="102"/>
      <c r="K84" s="102"/>
      <c r="L84" s="102"/>
      <c r="M84" s="102"/>
      <c r="N84" s="102"/>
      <c r="O84" s="102"/>
    </row>
    <row r="85" customFormat="false" ht="15" hidden="false" customHeight="true" outlineLevel="0" collapsed="false">
      <c r="A85" s="102"/>
      <c r="B85" s="102"/>
      <c r="C85" s="102"/>
      <c r="D85" s="102"/>
      <c r="E85" s="102"/>
      <c r="F85" s="102"/>
      <c r="G85" s="102"/>
      <c r="H85" s="102"/>
      <c r="I85" s="102"/>
      <c r="J85" s="102"/>
      <c r="K85" s="102"/>
      <c r="L85" s="102"/>
      <c r="M85" s="102"/>
      <c r="N85" s="102"/>
      <c r="O85" s="102"/>
    </row>
    <row r="86" customFormat="false" ht="15.75" hidden="false" customHeight="true" outlineLevel="0" collapsed="false">
      <c r="A86" s="102"/>
      <c r="B86" s="103" t="s">
        <v>1493</v>
      </c>
      <c r="C86" s="104"/>
      <c r="D86" s="104"/>
      <c r="E86" s="104"/>
      <c r="F86" s="104"/>
      <c r="G86" s="104"/>
      <c r="H86" s="104"/>
      <c r="I86" s="104"/>
      <c r="J86" s="104"/>
      <c r="K86" s="104"/>
      <c r="L86" s="102"/>
      <c r="M86" s="102"/>
      <c r="N86" s="102"/>
      <c r="O86" s="102"/>
    </row>
    <row r="87" customFormat="false" ht="49.5" hidden="false" customHeight="true" outlineLevel="0" collapsed="false">
      <c r="A87" s="102"/>
      <c r="B87" s="105" t="s">
        <v>1494</v>
      </c>
      <c r="C87" s="117" t="str">
        <f aca="false">IF(SUM(C80:C84)=0,"No rule triggers on this data - no pattern-based evidence of a special cause beyond what E-49 already showed.","At least one Nelson rule triggers (Rule 1: "&amp;C80&amp;", Rule 2: "&amp;C81&amp;", Rule 3: "&amp;C82&amp;", Rule 5: "&amp;C83&amp;", Rule 6: "&amp;C84&amp;" point(s)). Investigate the flagged point(s) above, starting with any point flagged by more than one rule.")</f>
        <v>At least one Nelson rule triggers (Rule 1: 1, Rule 2: 0, Rule 3: 0, Rule 5: 0, Rule 6: 0 point(s)). Investigate the flagged point(s) above, starting with any point flagged by more than one rule.</v>
      </c>
      <c r="D87" s="117"/>
      <c r="E87" s="117"/>
      <c r="F87" s="117"/>
      <c r="G87" s="117"/>
      <c r="H87" s="102"/>
      <c r="I87" s="102"/>
      <c r="J87" s="102"/>
      <c r="K87" s="102"/>
      <c r="L87" s="102"/>
      <c r="M87" s="102"/>
      <c r="N87" s="102"/>
      <c r="O87" s="102"/>
    </row>
    <row r="88" customFormat="false" ht="15" hidden="false" customHeight="true" outlineLevel="0" collapsed="false">
      <c r="A88" s="102"/>
      <c r="B88" s="102"/>
      <c r="C88" s="102"/>
      <c r="D88" s="102"/>
      <c r="E88" s="102"/>
      <c r="F88" s="102"/>
      <c r="G88" s="102"/>
      <c r="H88" s="102"/>
      <c r="I88" s="102"/>
      <c r="J88" s="102"/>
      <c r="K88" s="102"/>
      <c r="L88" s="102"/>
      <c r="M88" s="102"/>
      <c r="N88" s="102"/>
      <c r="O88" s="102"/>
    </row>
    <row r="89" customFormat="false" ht="16.5" hidden="false" customHeight="true" outlineLevel="0" collapsed="false">
      <c r="A89" s="102"/>
      <c r="B89" s="108" t="s">
        <v>1495</v>
      </c>
      <c r="C89" s="108" t="s">
        <v>1496</v>
      </c>
      <c r="D89" s="108" t="s">
        <v>1497</v>
      </c>
      <c r="E89" s="102"/>
      <c r="F89" s="102"/>
      <c r="G89" s="102"/>
      <c r="H89" s="102"/>
      <c r="I89" s="102"/>
      <c r="J89" s="102"/>
      <c r="K89" s="102"/>
      <c r="L89" s="102"/>
      <c r="M89" s="102"/>
      <c r="N89" s="102"/>
      <c r="O89" s="102"/>
    </row>
    <row r="90" customFormat="false" ht="30.75" hidden="false" customHeight="true" outlineLevel="0" collapsed="false">
      <c r="A90" s="102"/>
      <c r="B90" s="110" t="s">
        <v>6233</v>
      </c>
      <c r="C90" s="111" t="s">
        <v>6243</v>
      </c>
      <c r="D90" s="15" t="s">
        <v>6244</v>
      </c>
      <c r="E90" s="102"/>
      <c r="F90" s="102"/>
      <c r="G90" s="102"/>
      <c r="H90" s="102"/>
      <c r="I90" s="102"/>
      <c r="J90" s="102"/>
      <c r="K90" s="102"/>
      <c r="L90" s="102"/>
      <c r="M90" s="102"/>
      <c r="N90" s="102"/>
      <c r="O90" s="102"/>
    </row>
    <row r="91" customFormat="false" ht="30.75" hidden="false" customHeight="true" outlineLevel="0" collapsed="false">
      <c r="A91" s="102"/>
      <c r="B91" s="110" t="s">
        <v>6245</v>
      </c>
      <c r="C91" s="111" t="s">
        <v>6246</v>
      </c>
      <c r="D91" s="15" t="s">
        <v>6247</v>
      </c>
      <c r="E91" s="102"/>
      <c r="F91" s="102"/>
      <c r="G91" s="102"/>
      <c r="H91" s="102"/>
      <c r="I91" s="102"/>
      <c r="J91" s="102"/>
      <c r="K91" s="102"/>
      <c r="L91" s="102"/>
      <c r="M91" s="102"/>
      <c r="N91" s="102"/>
      <c r="O91" s="102"/>
    </row>
    <row r="92" customFormat="false" ht="30.75" hidden="false" customHeight="true" outlineLevel="0" collapsed="false">
      <c r="A92" s="102"/>
      <c r="B92" s="110" t="s">
        <v>6248</v>
      </c>
      <c r="C92" s="111" t="s">
        <v>6249</v>
      </c>
      <c r="D92" s="15" t="s">
        <v>6250</v>
      </c>
      <c r="E92" s="102"/>
      <c r="F92" s="102"/>
      <c r="G92" s="102"/>
      <c r="H92" s="102"/>
      <c r="I92" s="102"/>
      <c r="J92" s="102"/>
      <c r="K92" s="102"/>
      <c r="L92" s="102"/>
      <c r="M92" s="102"/>
      <c r="N92" s="102"/>
      <c r="O92" s="102"/>
    </row>
    <row r="93" customFormat="false" ht="15" hidden="false" customHeight="true" outlineLevel="0" collapsed="false">
      <c r="A93" s="102"/>
      <c r="B93" s="102"/>
      <c r="C93" s="102"/>
      <c r="D93" s="102"/>
      <c r="E93" s="102"/>
      <c r="F93" s="102"/>
      <c r="G93" s="102"/>
      <c r="H93" s="102"/>
      <c r="I93" s="102"/>
      <c r="J93" s="102"/>
      <c r="K93" s="102"/>
      <c r="L93" s="102"/>
      <c r="M93" s="102"/>
      <c r="N93" s="102"/>
      <c r="O93" s="102"/>
    </row>
    <row r="94" customFormat="false" ht="15" hidden="false" customHeight="true" outlineLevel="0" collapsed="false">
      <c r="A94" s="102"/>
      <c r="B94" s="105" t="s">
        <v>1507</v>
      </c>
      <c r="C94" s="102"/>
      <c r="D94" s="102"/>
      <c r="E94" s="102"/>
      <c r="F94" s="102"/>
      <c r="G94" s="102"/>
      <c r="H94" s="102"/>
      <c r="I94" s="102"/>
      <c r="J94" s="102"/>
      <c r="K94" s="102"/>
      <c r="L94" s="102"/>
      <c r="M94" s="102"/>
      <c r="N94" s="102"/>
      <c r="O94" s="102"/>
    </row>
    <row r="95" customFormat="false" ht="17.25" hidden="false" customHeight="true" outlineLevel="0" collapsed="false">
      <c r="A95" s="102"/>
      <c r="B95" s="106" t="s">
        <v>6251</v>
      </c>
      <c r="C95" s="106"/>
      <c r="D95" s="106"/>
      <c r="E95" s="106"/>
      <c r="F95" s="106"/>
      <c r="G95" s="106"/>
      <c r="H95" s="106"/>
      <c r="I95" s="102"/>
      <c r="J95" s="102"/>
      <c r="K95" s="102"/>
      <c r="L95" s="102"/>
      <c r="M95" s="102"/>
      <c r="N95" s="102"/>
      <c r="O95" s="102"/>
    </row>
    <row r="96" customFormat="false" ht="17.25" hidden="false" customHeight="true" outlineLevel="0" collapsed="false">
      <c r="A96" s="102"/>
      <c r="B96" s="106" t="s">
        <v>6252</v>
      </c>
      <c r="C96" s="106"/>
      <c r="D96" s="106"/>
      <c r="E96" s="106"/>
      <c r="F96" s="106"/>
      <c r="G96" s="106"/>
      <c r="H96" s="106"/>
      <c r="I96" s="102"/>
      <c r="J96" s="102"/>
      <c r="K96" s="102"/>
      <c r="L96" s="102"/>
      <c r="M96" s="102"/>
      <c r="N96" s="102"/>
      <c r="O96" s="102"/>
    </row>
    <row r="97" customFormat="false" ht="17.25" hidden="false" customHeight="true" outlineLevel="0" collapsed="false">
      <c r="A97" s="102"/>
      <c r="B97" s="106" t="s">
        <v>6253</v>
      </c>
      <c r="C97" s="106"/>
      <c r="D97" s="106"/>
      <c r="E97" s="106"/>
      <c r="F97" s="106"/>
      <c r="G97" s="106"/>
      <c r="H97" s="106"/>
      <c r="I97" s="102"/>
      <c r="J97" s="102"/>
      <c r="K97" s="102"/>
      <c r="L97" s="102"/>
      <c r="M97" s="102"/>
      <c r="N97" s="102"/>
      <c r="O97" s="102"/>
    </row>
    <row r="98" customFormat="false" ht="17.25" hidden="false" customHeight="true" outlineLevel="0" collapsed="false">
      <c r="A98" s="102"/>
      <c r="B98" s="106" t="s">
        <v>6254</v>
      </c>
      <c r="C98" s="106"/>
      <c r="D98" s="106"/>
      <c r="E98" s="106"/>
      <c r="F98" s="106"/>
      <c r="G98" s="106"/>
      <c r="H98" s="106"/>
      <c r="I98" s="102"/>
      <c r="J98" s="102"/>
      <c r="K98" s="102"/>
      <c r="L98" s="102"/>
      <c r="M98" s="102"/>
      <c r="N98" s="102"/>
      <c r="O98" s="102"/>
    </row>
    <row r="99" customFormat="false" ht="15" hidden="false" customHeight="true" outlineLevel="0" collapsed="false">
      <c r="A99" s="102"/>
      <c r="B99" s="102"/>
      <c r="C99" s="102"/>
      <c r="D99" s="102"/>
      <c r="E99" s="102"/>
      <c r="F99" s="102"/>
      <c r="G99" s="102"/>
      <c r="H99" s="102"/>
      <c r="I99" s="102"/>
      <c r="J99" s="102"/>
      <c r="K99" s="102"/>
      <c r="L99" s="102"/>
      <c r="M99" s="102"/>
      <c r="N99" s="102"/>
      <c r="O99" s="102"/>
    </row>
    <row r="100" customFormat="false" ht="15.75" hidden="false" customHeight="true" outlineLevel="0" collapsed="false">
      <c r="A100" s="102"/>
      <c r="B100" s="103" t="s">
        <v>1513</v>
      </c>
      <c r="C100" s="104"/>
      <c r="D100" s="104"/>
      <c r="E100" s="104"/>
      <c r="F100" s="104"/>
      <c r="G100" s="104"/>
      <c r="H100" s="104"/>
      <c r="I100" s="104"/>
      <c r="J100" s="104"/>
      <c r="K100" s="104"/>
      <c r="L100" s="102"/>
      <c r="M100" s="102"/>
      <c r="N100" s="102"/>
      <c r="O100" s="102"/>
    </row>
    <row r="101" customFormat="false" ht="17.25" hidden="false" customHeight="true" outlineLevel="0" collapsed="false">
      <c r="A101" s="102"/>
      <c r="B101" s="118" t="s">
        <v>1514</v>
      </c>
      <c r="C101" s="118"/>
      <c r="D101" s="118"/>
      <c r="E101" s="118"/>
      <c r="F101" s="102"/>
      <c r="G101" s="102"/>
      <c r="H101" s="102"/>
      <c r="I101" s="102"/>
      <c r="J101" s="102"/>
      <c r="K101" s="102"/>
      <c r="L101" s="102"/>
      <c r="M101" s="102"/>
      <c r="N101" s="119" t="s">
        <v>1515</v>
      </c>
      <c r="O101" s="102"/>
    </row>
    <row r="102" customFormat="false" ht="58.5" hidden="false" customHeight="true" outlineLevel="0" collapsed="false">
      <c r="A102" s="102"/>
      <c r="B102" s="106" t="s">
        <v>6255</v>
      </c>
      <c r="C102" s="106"/>
      <c r="D102" s="106"/>
      <c r="E102" s="106"/>
      <c r="F102" s="102"/>
      <c r="G102" s="102"/>
      <c r="H102" s="102"/>
      <c r="I102" s="102"/>
      <c r="J102" s="102"/>
      <c r="K102" s="102"/>
      <c r="L102" s="102"/>
      <c r="M102" s="102"/>
      <c r="N102" s="120" t="s">
        <v>6256</v>
      </c>
      <c r="O102" s="102"/>
    </row>
    <row r="103" customFormat="false" ht="44.25" hidden="false" customHeight="true" outlineLevel="0" collapsed="false">
      <c r="A103" s="102"/>
      <c r="B103" s="106" t="s">
        <v>6257</v>
      </c>
      <c r="C103" s="106"/>
      <c r="D103" s="106"/>
      <c r="E103" s="106"/>
      <c r="F103" s="102"/>
      <c r="G103" s="102"/>
      <c r="H103" s="102"/>
      <c r="I103" s="102"/>
      <c r="J103" s="102"/>
      <c r="K103" s="102"/>
      <c r="L103" s="102"/>
      <c r="M103" s="102"/>
      <c r="N103" s="120" t="s">
        <v>6258</v>
      </c>
      <c r="O103" s="102"/>
    </row>
    <row r="104" customFormat="false" ht="58.5" hidden="false" customHeight="true" outlineLevel="0" collapsed="false">
      <c r="A104" s="102"/>
      <c r="B104" s="106" t="s">
        <v>6259</v>
      </c>
      <c r="C104" s="106"/>
      <c r="D104" s="106"/>
      <c r="E104" s="106"/>
      <c r="F104" s="102"/>
      <c r="G104" s="102"/>
      <c r="H104" s="102"/>
      <c r="I104" s="102"/>
      <c r="J104" s="102"/>
      <c r="K104" s="102"/>
      <c r="L104" s="102"/>
      <c r="M104" s="102"/>
      <c r="N104" s="120" t="s">
        <v>6260</v>
      </c>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75" hidden="false" customHeight="true" outlineLevel="0" collapsed="false">
      <c r="A106" s="102"/>
      <c r="B106" s="103" t="s">
        <v>1522</v>
      </c>
      <c r="C106" s="104"/>
      <c r="D106" s="104"/>
      <c r="E106" s="104"/>
      <c r="F106" s="104"/>
      <c r="G106" s="104"/>
      <c r="H106" s="104"/>
      <c r="I106" s="104"/>
      <c r="J106" s="104"/>
      <c r="K106" s="104"/>
      <c r="L106" s="102"/>
      <c r="M106" s="102"/>
      <c r="N106" s="102"/>
      <c r="O106" s="102"/>
    </row>
    <row r="107" customFormat="false" ht="16.5" hidden="false" customHeight="true" outlineLevel="0" collapsed="false">
      <c r="A107" s="102"/>
      <c r="B107" s="108" t="s">
        <v>1523</v>
      </c>
      <c r="C107" s="108" t="s">
        <v>1524</v>
      </c>
      <c r="D107" s="108" t="s">
        <v>1615</v>
      </c>
      <c r="E107" s="102"/>
      <c r="F107" s="102"/>
      <c r="G107" s="102"/>
      <c r="H107" s="102"/>
      <c r="I107" s="102"/>
      <c r="J107" s="102"/>
      <c r="K107" s="102"/>
      <c r="L107" s="102"/>
      <c r="M107" s="102"/>
      <c r="N107" s="102"/>
      <c r="O107" s="102"/>
    </row>
    <row r="108" customFormat="false" ht="15" hidden="false" customHeight="true" outlineLevel="0" collapsed="false">
      <c r="A108" s="102"/>
      <c r="B108" s="121" t="s">
        <v>1060</v>
      </c>
      <c r="C108" s="121" t="s">
        <v>1645</v>
      </c>
      <c r="D108" s="121" t="s">
        <v>4753</v>
      </c>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2"/>
      <c r="C112" s="102"/>
      <c r="D112" s="102"/>
      <c r="E112" s="102"/>
      <c r="F112" s="102"/>
      <c r="G112" s="102"/>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2"/>
      <c r="C115" s="102"/>
      <c r="D115" s="102"/>
      <c r="E115" s="102"/>
      <c r="F115" s="102"/>
      <c r="G115" s="102"/>
      <c r="H115" s="102"/>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2"/>
      <c r="C119" s="102"/>
      <c r="D119" s="102"/>
      <c r="E119" s="102"/>
      <c r="F119" s="102"/>
      <c r="G119" s="102"/>
      <c r="H119" s="102"/>
      <c r="I119" s="102"/>
      <c r="J119" s="102"/>
      <c r="K119" s="102"/>
      <c r="L119" s="102"/>
      <c r="M119" s="102"/>
      <c r="N119" s="102"/>
      <c r="O119" s="102"/>
    </row>
    <row r="120" customFormat="false" ht="15" hidden="false" customHeight="true" outlineLevel="0" collapsed="false">
      <c r="A120" s="102"/>
      <c r="B120" s="102"/>
      <c r="C120" s="102"/>
      <c r="D120" s="102"/>
      <c r="E120" s="102"/>
      <c r="F120" s="102"/>
      <c r="G120" s="102"/>
      <c r="H120" s="102"/>
      <c r="I120" s="102"/>
      <c r="J120" s="102"/>
      <c r="K120" s="102"/>
      <c r="L120" s="102"/>
      <c r="M120" s="102"/>
      <c r="N120" s="102"/>
      <c r="O120" s="102"/>
    </row>
    <row r="121" customFormat="false" ht="15" hidden="false" customHeight="true" outlineLevel="0" collapsed="false">
      <c r="A121" s="102"/>
      <c r="B121" s="102"/>
      <c r="C121" s="102"/>
      <c r="D121" s="102"/>
      <c r="E121" s="102"/>
      <c r="F121" s="102"/>
      <c r="G121" s="102"/>
      <c r="H121" s="102"/>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 hidden="false" customHeight="true" outlineLevel="0" collapsed="false">
      <c r="A124" s="102"/>
      <c r="B124" s="102"/>
      <c r="C124" s="102"/>
      <c r="D124" s="102"/>
      <c r="E124" s="102"/>
      <c r="F124" s="102"/>
      <c r="G124" s="102"/>
      <c r="H124" s="102"/>
      <c r="I124" s="102"/>
      <c r="J124" s="102"/>
      <c r="K124" s="102"/>
      <c r="L124" s="102"/>
      <c r="M124" s="102"/>
      <c r="N124" s="102"/>
      <c r="O124" s="102"/>
    </row>
    <row r="125" customFormat="false" ht="15" hidden="false" customHeight="true" outlineLevel="0" collapsed="false">
      <c r="A125" s="102"/>
      <c r="B125" s="102"/>
      <c r="C125" s="102"/>
      <c r="D125" s="102"/>
      <c r="E125" s="102"/>
      <c r="F125" s="102"/>
      <c r="G125" s="102"/>
      <c r="H125" s="102"/>
      <c r="I125" s="102"/>
      <c r="J125" s="102"/>
      <c r="K125" s="102"/>
      <c r="L125" s="102"/>
      <c r="M125" s="102"/>
      <c r="N125" s="102"/>
      <c r="O125" s="102"/>
    </row>
    <row r="126" customFormat="false" ht="15" hidden="false" customHeight="true" outlineLevel="0" collapsed="false">
      <c r="A126" s="102"/>
      <c r="B126" s="102"/>
      <c r="C126" s="102"/>
      <c r="D126" s="102"/>
      <c r="E126" s="102"/>
      <c r="F126" s="102"/>
      <c r="G126" s="102"/>
      <c r="H126" s="102"/>
      <c r="I126" s="102"/>
      <c r="J126" s="102"/>
      <c r="K126" s="102"/>
      <c r="L126" s="102"/>
      <c r="M126" s="102"/>
      <c r="N126" s="102"/>
      <c r="O126" s="102"/>
    </row>
    <row r="127" customFormat="false" ht="15" hidden="false" customHeight="true" outlineLevel="0" collapsed="false">
      <c r="A127" s="102"/>
      <c r="B127" s="102"/>
      <c r="C127" s="102"/>
      <c r="D127" s="102"/>
      <c r="E127" s="102"/>
      <c r="F127" s="102"/>
      <c r="G127" s="102"/>
      <c r="H127" s="102"/>
      <c r="I127" s="102"/>
      <c r="J127" s="102"/>
      <c r="K127" s="102"/>
      <c r="L127" s="102"/>
      <c r="M127" s="102"/>
      <c r="N127" s="102"/>
      <c r="O127" s="102"/>
    </row>
    <row r="128" customFormat="false" ht="15" hidden="false" customHeight="true" outlineLevel="0" collapsed="false">
      <c r="A128" s="102"/>
      <c r="B128" s="102"/>
      <c r="C128" s="102"/>
      <c r="D128" s="102"/>
      <c r="E128" s="102"/>
      <c r="F128" s="102"/>
      <c r="G128" s="102"/>
      <c r="H128" s="102"/>
      <c r="I128" s="102"/>
      <c r="J128" s="102"/>
      <c r="K128" s="102"/>
      <c r="L128" s="102"/>
      <c r="M128" s="102"/>
      <c r="N128" s="102"/>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5" hidden="false" customHeight="true" outlineLevel="0" collapsed="false">
      <c r="A130" s="102"/>
      <c r="B130" s="102"/>
      <c r="C130" s="102"/>
      <c r="D130" s="102"/>
      <c r="E130" s="102"/>
      <c r="F130" s="102"/>
      <c r="G130" s="102"/>
      <c r="H130" s="102"/>
      <c r="I130" s="102"/>
      <c r="J130" s="102"/>
      <c r="K130" s="102"/>
      <c r="L130" s="102"/>
      <c r="M130" s="102"/>
      <c r="N130" s="102"/>
      <c r="O130" s="102"/>
    </row>
    <row r="131" customFormat="false" ht="15" hidden="false" customHeight="true" outlineLevel="0" collapsed="false">
      <c r="A131" s="102"/>
      <c r="B131" s="102"/>
      <c r="C131" s="102"/>
      <c r="D131" s="102"/>
      <c r="E131" s="102"/>
      <c r="F131" s="102"/>
      <c r="G131" s="102"/>
      <c r="H131" s="102"/>
      <c r="I131" s="102"/>
      <c r="J131" s="102"/>
      <c r="K131" s="102"/>
      <c r="L131" s="102"/>
      <c r="M131" s="102"/>
      <c r="N131" s="102"/>
      <c r="O131" s="102"/>
    </row>
    <row r="132" customFormat="false" ht="15" hidden="false" customHeight="true" outlineLevel="0" collapsed="false">
      <c r="A132" s="102"/>
      <c r="B132" s="102"/>
      <c r="C132" s="102"/>
      <c r="D132" s="102"/>
      <c r="E132" s="102"/>
      <c r="F132" s="102"/>
      <c r="G132" s="102"/>
      <c r="H132" s="102"/>
      <c r="I132" s="102"/>
      <c r="J132" s="102"/>
      <c r="K132" s="102"/>
      <c r="L132" s="102"/>
      <c r="M132" s="102"/>
      <c r="N132" s="102"/>
      <c r="O132" s="102"/>
    </row>
    <row r="133" customFormat="false" ht="15" hidden="false" customHeight="true" outlineLevel="0" collapsed="false">
      <c r="A133" s="102"/>
      <c r="B133" s="102"/>
      <c r="C133" s="102"/>
      <c r="D133" s="102"/>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 hidden="false" customHeight="true" outlineLevel="0" collapsed="false">
      <c r="A137" s="102"/>
      <c r="B137" s="102"/>
      <c r="C137" s="102"/>
      <c r="D137" s="102"/>
      <c r="E137" s="102"/>
      <c r="F137" s="102"/>
      <c r="G137" s="102"/>
      <c r="H137" s="102"/>
      <c r="I137" s="102"/>
      <c r="J137" s="102"/>
      <c r="K137" s="102"/>
      <c r="L137" s="102"/>
      <c r="M137" s="102"/>
      <c r="N137" s="102"/>
      <c r="O137" s="102"/>
    </row>
    <row r="138" customFormat="false" ht="15" hidden="false" customHeight="true" outlineLevel="0" collapsed="false">
      <c r="A138" s="102"/>
      <c r="B138" s="102"/>
      <c r="C138" s="102"/>
      <c r="D138" s="102"/>
      <c r="E138" s="102"/>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33">
    <mergeCell ref="B2:J2"/>
    <mergeCell ref="D3:E3"/>
    <mergeCell ref="C6:G6"/>
    <mergeCell ref="C7:G7"/>
    <mergeCell ref="C8:G8"/>
    <mergeCell ref="B11:H11"/>
    <mergeCell ref="B12:H14"/>
    <mergeCell ref="B15:H18"/>
    <mergeCell ref="B21:D21"/>
    <mergeCell ref="E21:H21"/>
    <mergeCell ref="B22:D22"/>
    <mergeCell ref="E22:H22"/>
    <mergeCell ref="B23:D23"/>
    <mergeCell ref="E23:H23"/>
    <mergeCell ref="B24:H24"/>
    <mergeCell ref="B32:H32"/>
    <mergeCell ref="B33:H33"/>
    <mergeCell ref="B34:H34"/>
    <mergeCell ref="B35:H35"/>
    <mergeCell ref="B36:H36"/>
    <mergeCell ref="B37:H37"/>
    <mergeCell ref="B38:H38"/>
    <mergeCell ref="B47:H47"/>
    <mergeCell ref="C48:D48"/>
    <mergeCell ref="C87:G87"/>
    <mergeCell ref="B95:H95"/>
    <mergeCell ref="B96:H96"/>
    <mergeCell ref="B97:H97"/>
    <mergeCell ref="B98:H98"/>
    <mergeCell ref="B101:E101"/>
    <mergeCell ref="B102:E102"/>
    <mergeCell ref="B103:E103"/>
    <mergeCell ref="B104:E104"/>
  </mergeCells>
  <hyperlinks>
    <hyperlink ref="B3" location="'N-03 Index DMAIC'!A1" display="← Back to Index"/>
    <hyperlink ref="E27" location="'E-49 I-MR Chart'!A1" display="E-49  Individuals and Moving Range Chart"/>
    <hyperlink ref="E28" location="'E-20 Sample Size'!A1" display="E-20  Sample Size Determination"/>
    <hyperlink ref="E29" location="'E-47 Common vs Special Cause'!A1" display="E-47  Common Cause vs Special Cause Variation"/>
    <hyperlink ref="B108" location="'E-49 I-MR Chart'!A1" display="E-49  Individuals and Moving Range Chart"/>
    <hyperlink ref="C108" location="'E-47 Common vs Special Cause'!A1" display="E-47  Common Cause vs Special Cause Variation"/>
    <hyperlink ref="D108" location="'E-55 CUSUM and EWMA'!A1" display="E-55  CUSUM and EWMA Char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6261</v>
      </c>
      <c r="C2" s="3"/>
      <c r="D2" s="3"/>
      <c r="E2" s="3"/>
      <c r="F2" s="3"/>
      <c r="G2" s="3"/>
      <c r="H2" s="3"/>
      <c r="I2" s="3"/>
      <c r="J2" s="3"/>
      <c r="K2" s="46" t="s">
        <v>1389</v>
      </c>
    </row>
    <row r="3" customFormat="false" ht="28.5" hidden="false" customHeight="true" outlineLevel="0" collapsed="false">
      <c r="B3" s="5" t="s">
        <v>3</v>
      </c>
      <c r="D3" s="6" t="s">
        <v>6262</v>
      </c>
      <c r="E3" s="6"/>
      <c r="F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6263</v>
      </c>
      <c r="D6" s="106"/>
      <c r="E6" s="106"/>
      <c r="F6" s="106"/>
      <c r="G6" s="106"/>
      <c r="H6" s="102"/>
      <c r="I6" s="102"/>
      <c r="J6" s="102"/>
      <c r="K6" s="102"/>
      <c r="L6" s="102"/>
      <c r="M6" s="102"/>
      <c r="N6" s="102"/>
      <c r="O6" s="102"/>
    </row>
    <row r="7" customFormat="false" ht="31.5" hidden="false" customHeight="true" outlineLevel="0" collapsed="false">
      <c r="A7" s="102"/>
      <c r="B7" s="105" t="s">
        <v>1394</v>
      </c>
      <c r="C7" s="106" t="s">
        <v>6264</v>
      </c>
      <c r="D7" s="106"/>
      <c r="E7" s="106"/>
      <c r="F7" s="106"/>
      <c r="G7" s="106"/>
      <c r="H7" s="102"/>
      <c r="I7" s="102"/>
      <c r="J7" s="102"/>
      <c r="K7" s="102"/>
      <c r="L7" s="102"/>
      <c r="M7" s="102"/>
      <c r="N7" s="102"/>
      <c r="O7" s="102"/>
    </row>
    <row r="8" customFormat="false" ht="17.25" hidden="false" customHeight="true" outlineLevel="0" collapsed="false">
      <c r="A8" s="102"/>
      <c r="B8" s="105" t="s">
        <v>1396</v>
      </c>
      <c r="C8" s="106" t="s">
        <v>6265</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1.25" hidden="false" customHeight="true" outlineLevel="0" collapsed="false">
      <c r="A11" s="102"/>
      <c r="B11" s="106" t="s">
        <v>6266</v>
      </c>
      <c r="C11" s="106"/>
      <c r="D11" s="106"/>
      <c r="E11" s="106"/>
      <c r="F11" s="106"/>
      <c r="G11" s="106"/>
      <c r="H11" s="106"/>
      <c r="I11" s="102"/>
      <c r="J11" s="102"/>
      <c r="K11" s="102"/>
      <c r="L11" s="102"/>
      <c r="M11" s="102"/>
      <c r="N11" s="102"/>
      <c r="O11" s="102"/>
    </row>
    <row r="12" customFormat="false" ht="11.25" hidden="false" customHeight="true" outlineLevel="0" collapsed="false">
      <c r="A12" s="102"/>
      <c r="B12" s="106"/>
      <c r="C12" s="106"/>
      <c r="D12" s="106"/>
      <c r="E12" s="106"/>
      <c r="F12" s="106"/>
      <c r="G12" s="106"/>
      <c r="H12" s="106"/>
      <c r="I12" s="102"/>
      <c r="J12" s="102"/>
      <c r="K12" s="102"/>
      <c r="L12" s="102"/>
      <c r="M12" s="102"/>
      <c r="N12" s="102"/>
      <c r="O12" s="102"/>
    </row>
    <row r="13" customFormat="false" ht="11.25" hidden="false" customHeight="true" outlineLevel="0" collapsed="false">
      <c r="A13" s="102"/>
      <c r="B13" s="106"/>
      <c r="C13" s="106"/>
      <c r="D13" s="106"/>
      <c r="E13" s="106"/>
      <c r="F13" s="106"/>
      <c r="G13" s="106"/>
      <c r="H13" s="106"/>
      <c r="I13" s="102"/>
      <c r="J13" s="102"/>
      <c r="K13" s="102"/>
      <c r="L13" s="102"/>
      <c r="M13" s="102"/>
      <c r="N13" s="102"/>
      <c r="O13" s="102"/>
    </row>
    <row r="14" customFormat="false" ht="11.25" hidden="false" customHeight="true" outlineLevel="0" collapsed="false">
      <c r="A14" s="102"/>
      <c r="B14" s="106"/>
      <c r="C14" s="106"/>
      <c r="D14" s="106"/>
      <c r="E14" s="106"/>
      <c r="F14" s="106"/>
      <c r="G14" s="106"/>
      <c r="H14" s="106"/>
      <c r="I14" s="102"/>
      <c r="J14" s="102"/>
      <c r="K14" s="102"/>
      <c r="L14" s="102"/>
      <c r="M14" s="102"/>
      <c r="N14" s="102"/>
      <c r="O14" s="102"/>
    </row>
    <row r="15" customFormat="false" ht="10.5" hidden="false" customHeight="true" outlineLevel="0" collapsed="false">
      <c r="A15" s="102"/>
      <c r="B15" s="106" t="s">
        <v>6267</v>
      </c>
      <c r="C15" s="106"/>
      <c r="D15" s="106"/>
      <c r="E15" s="106"/>
      <c r="F15" s="106"/>
      <c r="G15" s="106"/>
      <c r="H15" s="106"/>
      <c r="I15" s="102"/>
      <c r="J15" s="102"/>
      <c r="K15" s="102"/>
      <c r="L15" s="102"/>
      <c r="M15" s="102"/>
      <c r="N15" s="102"/>
      <c r="O15" s="102"/>
    </row>
    <row r="16" customFormat="false" ht="10.5" hidden="false" customHeight="true" outlineLevel="0" collapsed="false">
      <c r="A16" s="102"/>
      <c r="B16" s="106"/>
      <c r="C16" s="106"/>
      <c r="D16" s="106"/>
      <c r="E16" s="106"/>
      <c r="F16" s="106"/>
      <c r="G16" s="106"/>
      <c r="H16" s="106"/>
      <c r="I16" s="102"/>
      <c r="J16" s="102"/>
      <c r="K16" s="102"/>
      <c r="L16" s="102"/>
      <c r="M16" s="102"/>
      <c r="N16" s="102"/>
      <c r="O16" s="102"/>
    </row>
    <row r="17" customFormat="false" ht="10.5" hidden="false" customHeight="true" outlineLevel="0" collapsed="false">
      <c r="A17" s="102"/>
      <c r="B17" s="106"/>
      <c r="C17" s="106"/>
      <c r="D17" s="106"/>
      <c r="E17" s="106"/>
      <c r="F17" s="106"/>
      <c r="G17" s="106"/>
      <c r="H17" s="106"/>
      <c r="I17" s="102"/>
      <c r="J17" s="102"/>
      <c r="K17" s="102"/>
      <c r="L17" s="102"/>
      <c r="M17" s="102"/>
      <c r="N17" s="102"/>
      <c r="O17" s="102"/>
    </row>
    <row r="18" customFormat="false" ht="15.75" hidden="false" customHeight="true" outlineLevel="0" collapsed="false">
      <c r="A18" s="102"/>
      <c r="B18" s="106" t="s">
        <v>6268</v>
      </c>
      <c r="C18" s="106"/>
      <c r="D18" s="106"/>
      <c r="E18" s="106"/>
      <c r="F18" s="106"/>
      <c r="G18" s="106"/>
      <c r="H18" s="106"/>
      <c r="I18" s="102"/>
      <c r="J18" s="102"/>
      <c r="K18" s="102"/>
      <c r="L18" s="102"/>
      <c r="M18" s="102"/>
      <c r="N18" s="102"/>
      <c r="O18" s="102"/>
    </row>
    <row r="19" customFormat="false" ht="15.75" hidden="false" customHeight="true" outlineLevel="0" collapsed="false">
      <c r="A19" s="102"/>
      <c r="B19" s="106"/>
      <c r="C19" s="106"/>
      <c r="D19" s="106"/>
      <c r="E19" s="106"/>
      <c r="F19" s="106"/>
      <c r="G19" s="106"/>
      <c r="H19" s="106"/>
      <c r="I19" s="102"/>
      <c r="J19" s="102"/>
      <c r="K19" s="102"/>
      <c r="L19" s="102"/>
      <c r="M19" s="102"/>
      <c r="N19" s="102"/>
      <c r="O19" s="102"/>
    </row>
    <row r="20" customFormat="false" ht="15" hidden="false" customHeight="true" outlineLevel="0" collapsed="false">
      <c r="A20" s="102"/>
      <c r="B20" s="102"/>
      <c r="C20" s="102"/>
      <c r="D20" s="102"/>
      <c r="E20" s="102"/>
      <c r="F20" s="102"/>
      <c r="G20" s="102"/>
      <c r="H20" s="102"/>
      <c r="I20" s="102"/>
      <c r="J20" s="102"/>
      <c r="K20" s="102"/>
      <c r="L20" s="102"/>
      <c r="M20" s="102"/>
      <c r="N20" s="102"/>
      <c r="O20" s="102"/>
    </row>
    <row r="21" customFormat="false" ht="15.75" hidden="false" customHeight="true" outlineLevel="0" collapsed="false">
      <c r="A21" s="102"/>
      <c r="B21" s="103" t="s">
        <v>1406</v>
      </c>
      <c r="C21" s="104"/>
      <c r="D21" s="104"/>
      <c r="E21" s="104"/>
      <c r="F21" s="104"/>
      <c r="G21" s="104"/>
      <c r="H21" s="104"/>
      <c r="I21" s="104"/>
      <c r="J21" s="104"/>
      <c r="K21" s="104"/>
      <c r="L21" s="102"/>
      <c r="M21" s="102"/>
      <c r="N21" s="102"/>
      <c r="O21" s="102"/>
    </row>
    <row r="22" customFormat="false" ht="17.25" hidden="false" customHeight="true" outlineLevel="0" collapsed="false">
      <c r="A22" s="102"/>
      <c r="B22" s="107" t="s">
        <v>1407</v>
      </c>
      <c r="C22" s="107"/>
      <c r="D22" s="107"/>
      <c r="E22" s="107" t="s">
        <v>1408</v>
      </c>
      <c r="F22" s="107"/>
      <c r="G22" s="107"/>
      <c r="H22" s="107"/>
      <c r="I22" s="102"/>
      <c r="J22" s="102"/>
      <c r="K22" s="102"/>
      <c r="L22" s="102"/>
      <c r="M22" s="102"/>
      <c r="N22" s="102"/>
      <c r="O22" s="102"/>
    </row>
    <row r="23" customFormat="false" ht="45.75" hidden="false" customHeight="true" outlineLevel="0" collapsed="false">
      <c r="A23" s="102"/>
      <c r="B23" s="106" t="s">
        <v>6269</v>
      </c>
      <c r="C23" s="106"/>
      <c r="D23" s="106"/>
      <c r="E23" s="106" t="s">
        <v>6270</v>
      </c>
      <c r="F23" s="106"/>
      <c r="G23" s="106"/>
      <c r="H23" s="106"/>
      <c r="I23" s="102"/>
      <c r="J23" s="102"/>
      <c r="K23" s="102"/>
      <c r="L23" s="102"/>
      <c r="M23" s="102"/>
      <c r="N23" s="102"/>
      <c r="O23" s="102"/>
    </row>
    <row r="24" customFormat="false" ht="31.5" hidden="false" customHeight="true" outlineLevel="0" collapsed="false">
      <c r="A24" s="102"/>
      <c r="B24" s="106" t="s">
        <v>6271</v>
      </c>
      <c r="C24" s="106"/>
      <c r="D24" s="106"/>
      <c r="E24" s="106" t="s">
        <v>6272</v>
      </c>
      <c r="F24" s="106"/>
      <c r="G24" s="106"/>
      <c r="H24" s="106"/>
      <c r="I24" s="102"/>
      <c r="J24" s="102"/>
      <c r="K24" s="102"/>
      <c r="L24" s="102"/>
      <c r="M24" s="102"/>
      <c r="N24" s="102"/>
      <c r="O24" s="102"/>
    </row>
    <row r="25" customFormat="false" ht="31.5" hidden="false" customHeight="true" outlineLevel="0" collapsed="false">
      <c r="A25" s="102"/>
      <c r="B25" s="106" t="s">
        <v>6273</v>
      </c>
      <c r="C25" s="106"/>
      <c r="D25" s="106"/>
      <c r="E25" s="106" t="s">
        <v>6274</v>
      </c>
      <c r="F25" s="106"/>
      <c r="G25" s="106"/>
      <c r="H25" s="106"/>
      <c r="I25" s="102"/>
      <c r="J25" s="102"/>
      <c r="K25" s="102"/>
      <c r="L25" s="102"/>
      <c r="M25" s="102"/>
      <c r="N25" s="102"/>
      <c r="O25" s="102"/>
    </row>
    <row r="26" customFormat="false" ht="15" hidden="false" customHeight="true" outlineLevel="0" collapsed="false">
      <c r="A26" s="102"/>
      <c r="B26" s="102"/>
      <c r="C26" s="102"/>
      <c r="D26" s="102"/>
      <c r="E26" s="102"/>
      <c r="F26" s="102"/>
      <c r="G26" s="102"/>
      <c r="H26" s="102"/>
      <c r="I26" s="102"/>
      <c r="J26" s="102"/>
      <c r="K26" s="102"/>
      <c r="L26" s="102"/>
      <c r="M26" s="102"/>
      <c r="N26" s="102"/>
      <c r="O26" s="102"/>
    </row>
    <row r="27" customFormat="false" ht="30.75" hidden="false" customHeight="true" outlineLevel="0" collapsed="false">
      <c r="A27" s="102"/>
      <c r="B27" s="108" t="s">
        <v>1416</v>
      </c>
      <c r="C27" s="108" t="s">
        <v>1417</v>
      </c>
      <c r="D27" s="108" t="s">
        <v>1418</v>
      </c>
      <c r="E27" s="108" t="s">
        <v>1419</v>
      </c>
      <c r="F27" s="102"/>
      <c r="G27" s="102"/>
      <c r="H27" s="102"/>
      <c r="I27" s="102"/>
      <c r="J27" s="102"/>
      <c r="K27" s="102"/>
      <c r="L27" s="102"/>
      <c r="M27" s="102"/>
      <c r="N27" s="102"/>
      <c r="O27" s="102"/>
    </row>
    <row r="28" customFormat="false" ht="86.25" hidden="false" customHeight="true" outlineLevel="0" collapsed="false">
      <c r="A28" s="102"/>
      <c r="B28" s="15" t="s">
        <v>6275</v>
      </c>
      <c r="C28" s="15" t="s">
        <v>6276</v>
      </c>
      <c r="D28" s="15" t="s">
        <v>6277</v>
      </c>
      <c r="E28" s="109" t="s">
        <v>1060</v>
      </c>
      <c r="F28" s="102"/>
      <c r="G28" s="102"/>
      <c r="H28" s="102"/>
      <c r="I28" s="102"/>
      <c r="J28" s="102"/>
      <c r="K28" s="102"/>
      <c r="L28" s="102"/>
      <c r="M28" s="102"/>
      <c r="N28" s="102"/>
      <c r="O28" s="102"/>
    </row>
    <row r="29" customFormat="false" ht="30.75" hidden="false" customHeight="true" outlineLevel="0" collapsed="false">
      <c r="A29" s="102"/>
      <c r="B29" s="15" t="s">
        <v>6278</v>
      </c>
      <c r="C29" s="15" t="s">
        <v>2194</v>
      </c>
      <c r="D29" s="15" t="s">
        <v>6279</v>
      </c>
      <c r="E29" s="109" t="s">
        <v>964</v>
      </c>
      <c r="F29" s="102"/>
      <c r="G29" s="102"/>
      <c r="H29" s="102"/>
      <c r="I29" s="102"/>
      <c r="J29" s="102"/>
      <c r="K29" s="102"/>
      <c r="L29" s="102"/>
      <c r="M29" s="102"/>
      <c r="N29" s="102"/>
      <c r="O29" s="102"/>
    </row>
    <row r="30" customFormat="false" ht="30.75" hidden="false" customHeight="true" outlineLevel="0" collapsed="false">
      <c r="A30" s="102"/>
      <c r="B30" s="15" t="s">
        <v>6280</v>
      </c>
      <c r="C30" s="15" t="s">
        <v>5787</v>
      </c>
      <c r="D30" s="15" t="s">
        <v>6281</v>
      </c>
      <c r="E30" s="109" t="s">
        <v>973</v>
      </c>
      <c r="F30" s="102"/>
      <c r="G30" s="102"/>
      <c r="H30" s="102"/>
      <c r="I30" s="102"/>
      <c r="J30" s="102"/>
      <c r="K30" s="102"/>
      <c r="L30" s="102"/>
      <c r="M30" s="102"/>
      <c r="N30" s="102"/>
      <c r="O30" s="102"/>
    </row>
    <row r="31" customFormat="false" ht="15" hidden="false" customHeight="true" outlineLevel="0" collapsed="false">
      <c r="A31" s="102"/>
      <c r="B31" s="102"/>
      <c r="C31" s="102"/>
      <c r="D31" s="102"/>
      <c r="E31" s="102"/>
      <c r="F31" s="102"/>
      <c r="G31" s="102"/>
      <c r="H31" s="102"/>
      <c r="I31" s="102"/>
      <c r="J31" s="102"/>
      <c r="K31" s="102"/>
      <c r="L31" s="102"/>
      <c r="M31" s="102"/>
      <c r="N31" s="102"/>
      <c r="O31" s="102"/>
    </row>
    <row r="32" customFormat="false" ht="15.75" hidden="false" customHeight="true" outlineLevel="0" collapsed="false">
      <c r="A32" s="102"/>
      <c r="B32" s="103" t="s">
        <v>1429</v>
      </c>
      <c r="C32" s="104"/>
      <c r="D32" s="104"/>
      <c r="E32" s="104"/>
      <c r="F32" s="104"/>
      <c r="G32" s="104"/>
      <c r="H32" s="104"/>
      <c r="I32" s="104"/>
      <c r="J32" s="104"/>
      <c r="K32" s="104"/>
      <c r="L32" s="102"/>
      <c r="M32" s="102"/>
      <c r="N32" s="102"/>
      <c r="O32" s="102"/>
    </row>
    <row r="33" customFormat="false" ht="17.25" hidden="false" customHeight="true" outlineLevel="0" collapsed="false">
      <c r="A33" s="102"/>
      <c r="B33" s="106" t="s">
        <v>6282</v>
      </c>
      <c r="C33" s="106"/>
      <c r="D33" s="106"/>
      <c r="E33" s="106"/>
      <c r="F33" s="106"/>
      <c r="G33" s="106"/>
      <c r="H33" s="106"/>
      <c r="I33" s="102"/>
      <c r="J33" s="102"/>
      <c r="K33" s="102"/>
      <c r="L33" s="102"/>
      <c r="M33" s="102"/>
      <c r="N33" s="102"/>
      <c r="O33" s="102"/>
    </row>
    <row r="34" customFormat="false" ht="15.75" hidden="false" customHeight="true" outlineLevel="0" collapsed="false">
      <c r="A34" s="102"/>
      <c r="B34" s="106" t="s">
        <v>6283</v>
      </c>
      <c r="C34" s="106"/>
      <c r="D34" s="106"/>
      <c r="E34" s="106"/>
      <c r="F34" s="106"/>
      <c r="G34" s="106"/>
      <c r="H34" s="106"/>
      <c r="I34" s="102"/>
      <c r="J34" s="102"/>
      <c r="K34" s="102"/>
      <c r="L34" s="102"/>
      <c r="M34" s="102"/>
      <c r="N34" s="102"/>
      <c r="O34" s="102"/>
    </row>
    <row r="35" customFormat="false" ht="15.75" hidden="false" customHeight="true" outlineLevel="0" collapsed="false">
      <c r="A35" s="102"/>
      <c r="B35" s="106"/>
      <c r="C35" s="106"/>
      <c r="D35" s="106"/>
      <c r="E35" s="106"/>
      <c r="F35" s="106"/>
      <c r="G35" s="106"/>
      <c r="H35" s="106"/>
      <c r="I35" s="102"/>
      <c r="J35" s="102"/>
      <c r="K35" s="102"/>
      <c r="L35" s="102"/>
      <c r="M35" s="102"/>
      <c r="N35" s="102"/>
      <c r="O35" s="102"/>
    </row>
    <row r="36" customFormat="false" ht="15.75" hidden="false" customHeight="true" outlineLevel="0" collapsed="false">
      <c r="A36" s="102"/>
      <c r="B36" s="106" t="s">
        <v>6284</v>
      </c>
      <c r="C36" s="106"/>
      <c r="D36" s="106"/>
      <c r="E36" s="106"/>
      <c r="F36" s="106"/>
      <c r="G36" s="106"/>
      <c r="H36" s="106"/>
      <c r="I36" s="102"/>
      <c r="J36" s="102"/>
      <c r="K36" s="102"/>
      <c r="L36" s="102"/>
      <c r="M36" s="102"/>
      <c r="N36" s="102"/>
      <c r="O36" s="102"/>
    </row>
    <row r="37" customFormat="false" ht="15.75" hidden="false" customHeight="true" outlineLevel="0" collapsed="false">
      <c r="A37" s="102"/>
      <c r="B37" s="106"/>
      <c r="C37" s="106"/>
      <c r="D37" s="106"/>
      <c r="E37" s="106"/>
      <c r="F37" s="106"/>
      <c r="G37" s="106"/>
      <c r="H37" s="106"/>
      <c r="I37" s="102"/>
      <c r="J37" s="102"/>
      <c r="K37" s="102"/>
      <c r="L37" s="102"/>
      <c r="M37" s="102"/>
      <c r="N37" s="102"/>
      <c r="O37" s="102"/>
    </row>
    <row r="38" customFormat="false" ht="8.25" hidden="false" customHeight="true" outlineLevel="0" collapsed="false">
      <c r="A38" s="102"/>
      <c r="B38" s="106" t="s">
        <v>6285</v>
      </c>
      <c r="C38" s="106"/>
      <c r="D38" s="106"/>
      <c r="E38" s="106"/>
      <c r="F38" s="106"/>
      <c r="G38" s="106"/>
      <c r="H38" s="106"/>
      <c r="I38" s="102"/>
      <c r="J38" s="102"/>
      <c r="K38" s="102"/>
      <c r="L38" s="102"/>
      <c r="M38" s="102"/>
      <c r="N38" s="102"/>
      <c r="O38" s="102"/>
    </row>
    <row r="39" customFormat="false" ht="8.25" hidden="false" customHeight="true" outlineLevel="0" collapsed="false">
      <c r="A39" s="102"/>
      <c r="B39" s="106"/>
      <c r="C39" s="106"/>
      <c r="D39" s="106"/>
      <c r="E39" s="106"/>
      <c r="F39" s="106"/>
      <c r="G39" s="106"/>
      <c r="H39" s="106"/>
      <c r="I39" s="102"/>
      <c r="J39" s="102"/>
      <c r="K39" s="102"/>
      <c r="L39" s="102"/>
      <c r="M39" s="102"/>
      <c r="N39" s="102"/>
      <c r="O39" s="102"/>
    </row>
    <row r="40" customFormat="false" ht="8.25" hidden="false" customHeight="true" outlineLevel="0" collapsed="false">
      <c r="A40" s="102"/>
      <c r="B40" s="106" t="s">
        <v>6286</v>
      </c>
      <c r="C40" s="106"/>
      <c r="D40" s="106"/>
      <c r="E40" s="106"/>
      <c r="F40" s="106"/>
      <c r="G40" s="106"/>
      <c r="H40" s="106"/>
      <c r="I40" s="102"/>
      <c r="J40" s="102"/>
      <c r="K40" s="102"/>
      <c r="L40" s="102"/>
      <c r="M40" s="102"/>
      <c r="N40" s="102"/>
      <c r="O40" s="102"/>
    </row>
    <row r="41" customFormat="false" ht="8.25" hidden="false" customHeight="true" outlineLevel="0" collapsed="false">
      <c r="A41" s="102"/>
      <c r="B41" s="106"/>
      <c r="C41" s="106"/>
      <c r="D41" s="106"/>
      <c r="E41" s="106"/>
      <c r="F41" s="106"/>
      <c r="G41" s="106"/>
      <c r="H41" s="106"/>
      <c r="I41" s="102"/>
      <c r="J41" s="102"/>
      <c r="K41" s="102"/>
      <c r="L41" s="102"/>
      <c r="M41" s="102"/>
      <c r="N41" s="102"/>
      <c r="O41" s="102"/>
    </row>
    <row r="42" customFormat="false" ht="15" hidden="false" customHeight="true" outlineLevel="0" collapsed="false">
      <c r="A42" s="102"/>
      <c r="B42" s="102"/>
      <c r="C42" s="102"/>
      <c r="D42" s="102"/>
      <c r="E42" s="102"/>
      <c r="F42" s="102"/>
      <c r="G42" s="102"/>
      <c r="H42" s="102"/>
      <c r="I42" s="102"/>
      <c r="J42" s="102"/>
      <c r="K42" s="102"/>
      <c r="L42" s="102"/>
      <c r="M42" s="102"/>
      <c r="N42" s="102"/>
      <c r="O42" s="102"/>
    </row>
    <row r="43" customFormat="false" ht="15.75" hidden="false" customHeight="true" outlineLevel="0" collapsed="false">
      <c r="A43" s="102"/>
      <c r="B43" s="103" t="s">
        <v>1437</v>
      </c>
      <c r="C43" s="104"/>
      <c r="D43" s="104"/>
      <c r="E43" s="104"/>
      <c r="F43" s="104"/>
      <c r="G43" s="104"/>
      <c r="H43" s="104"/>
      <c r="I43" s="104"/>
      <c r="J43" s="104"/>
      <c r="K43" s="104"/>
      <c r="L43" s="102"/>
      <c r="M43" s="102"/>
      <c r="N43" s="102"/>
      <c r="O43" s="102"/>
    </row>
    <row r="44" customFormat="false" ht="16.5" hidden="false" customHeight="true" outlineLevel="0" collapsed="false">
      <c r="A44" s="102"/>
      <c r="B44" s="108" t="s">
        <v>1438</v>
      </c>
      <c r="C44" s="108" t="s">
        <v>1439</v>
      </c>
      <c r="D44" s="108" t="s">
        <v>1440</v>
      </c>
      <c r="E44" s="102"/>
      <c r="F44" s="102"/>
      <c r="G44" s="102"/>
      <c r="H44" s="102"/>
      <c r="I44" s="102"/>
      <c r="J44" s="102"/>
      <c r="K44" s="102"/>
      <c r="L44" s="102"/>
      <c r="M44" s="102"/>
      <c r="N44" s="102"/>
      <c r="O44" s="102"/>
    </row>
    <row r="45" customFormat="false" ht="16.5" hidden="false" customHeight="true" outlineLevel="0" collapsed="false">
      <c r="A45" s="102"/>
      <c r="B45" s="110" t="s">
        <v>3595</v>
      </c>
      <c r="C45" s="111" t="s">
        <v>6287</v>
      </c>
      <c r="D45" s="15" t="s">
        <v>6288</v>
      </c>
      <c r="E45" s="102"/>
      <c r="F45" s="102"/>
      <c r="G45" s="102"/>
      <c r="H45" s="102"/>
      <c r="I45" s="102"/>
      <c r="J45" s="102"/>
      <c r="K45" s="102"/>
      <c r="L45" s="102"/>
      <c r="M45" s="102"/>
      <c r="N45" s="102"/>
      <c r="O45" s="102"/>
    </row>
    <row r="46" customFormat="false" ht="30.75" hidden="false" customHeight="true" outlineLevel="0" collapsed="false">
      <c r="A46" s="102"/>
      <c r="B46" s="110" t="s">
        <v>6289</v>
      </c>
      <c r="C46" s="111" t="s">
        <v>6290</v>
      </c>
      <c r="D46" s="15" t="s">
        <v>6291</v>
      </c>
      <c r="E46" s="102"/>
      <c r="F46" s="102"/>
      <c r="G46" s="102"/>
      <c r="H46" s="102"/>
      <c r="I46" s="102"/>
      <c r="J46" s="102"/>
      <c r="K46" s="102"/>
      <c r="L46" s="102"/>
      <c r="M46" s="102"/>
      <c r="N46" s="102"/>
      <c r="O46" s="102"/>
    </row>
    <row r="47" customFormat="false" ht="30.75" hidden="false" customHeight="true" outlineLevel="0" collapsed="false">
      <c r="A47" s="102"/>
      <c r="B47" s="110" t="s">
        <v>1834</v>
      </c>
      <c r="C47" s="111" t="s">
        <v>6292</v>
      </c>
      <c r="D47" s="15" t="s">
        <v>6293</v>
      </c>
      <c r="E47" s="102"/>
      <c r="F47" s="102"/>
      <c r="G47" s="102"/>
      <c r="H47" s="102"/>
      <c r="I47" s="102"/>
      <c r="J47" s="102"/>
      <c r="K47" s="102"/>
      <c r="L47" s="102"/>
      <c r="M47" s="102"/>
      <c r="N47" s="102"/>
      <c r="O47" s="102"/>
    </row>
    <row r="48" customFormat="false" ht="15" hidden="false" customHeight="true" outlineLevel="0" collapsed="false">
      <c r="A48" s="102"/>
      <c r="B48" s="102"/>
      <c r="C48" s="102"/>
      <c r="D48" s="102"/>
      <c r="E48" s="102"/>
      <c r="F48" s="102"/>
      <c r="G48" s="102"/>
      <c r="H48" s="102"/>
      <c r="I48" s="102"/>
      <c r="J48" s="102"/>
      <c r="K48" s="102"/>
      <c r="L48" s="102"/>
      <c r="M48" s="102"/>
      <c r="N48" s="102"/>
      <c r="O48" s="102"/>
    </row>
    <row r="49" customFormat="false" ht="15.75" hidden="false" customHeight="true" outlineLevel="0" collapsed="false">
      <c r="A49" s="102"/>
      <c r="B49" s="103" t="s">
        <v>1454</v>
      </c>
      <c r="C49" s="104"/>
      <c r="D49" s="104"/>
      <c r="E49" s="104"/>
      <c r="F49" s="104"/>
      <c r="G49" s="104"/>
      <c r="H49" s="104"/>
      <c r="I49" s="104"/>
      <c r="J49" s="104"/>
      <c r="K49" s="104"/>
      <c r="L49" s="102"/>
      <c r="M49" s="102"/>
      <c r="N49" s="102"/>
      <c r="O49" s="102"/>
    </row>
    <row r="50" customFormat="false" ht="17.25" hidden="false" customHeight="true" outlineLevel="0" collapsed="false">
      <c r="A50" s="102"/>
      <c r="B50" s="106" t="s">
        <v>6294</v>
      </c>
      <c r="C50" s="106"/>
      <c r="D50" s="106"/>
      <c r="E50" s="106"/>
      <c r="F50" s="106"/>
      <c r="G50" s="106"/>
      <c r="H50" s="106"/>
      <c r="I50" s="102"/>
      <c r="J50" s="102"/>
      <c r="K50" s="102"/>
      <c r="L50" s="102"/>
      <c r="M50" s="102"/>
      <c r="N50" s="102"/>
      <c r="O50" s="102"/>
    </row>
    <row r="51" customFormat="false" ht="17.25" hidden="false" customHeight="true" outlineLevel="0" collapsed="false">
      <c r="A51" s="102"/>
      <c r="B51" s="112" t="s">
        <v>85</v>
      </c>
      <c r="C51" s="113" t="s">
        <v>86</v>
      </c>
      <c r="D51" s="113"/>
      <c r="E51" s="102"/>
      <c r="F51" s="102"/>
      <c r="G51" s="102"/>
      <c r="H51" s="102"/>
      <c r="I51" s="102"/>
      <c r="J51" s="102"/>
      <c r="K51" s="102"/>
      <c r="L51" s="102"/>
      <c r="M51" s="102"/>
      <c r="N51" s="102"/>
      <c r="O51" s="102"/>
    </row>
    <row r="52" customFormat="false" ht="15" hidden="false" customHeight="true" outlineLevel="0" collapsed="false">
      <c r="A52" s="102"/>
      <c r="B52" s="102"/>
      <c r="C52" s="102"/>
      <c r="D52" s="102"/>
      <c r="E52" s="102"/>
      <c r="F52" s="102"/>
      <c r="G52" s="102"/>
      <c r="H52" s="102"/>
      <c r="I52" s="102"/>
      <c r="J52" s="102"/>
      <c r="K52" s="102"/>
      <c r="L52" s="102"/>
      <c r="M52" s="102"/>
      <c r="N52" s="102"/>
      <c r="O52" s="102"/>
    </row>
    <row r="53" customFormat="false" ht="15" hidden="false" customHeight="true" outlineLevel="0" collapsed="false">
      <c r="A53" s="102"/>
      <c r="B53" s="105" t="s">
        <v>6295</v>
      </c>
      <c r="C53" s="139" t="n">
        <v>496</v>
      </c>
      <c r="D53" s="102"/>
      <c r="E53" s="102"/>
      <c r="F53" s="102"/>
      <c r="G53" s="102"/>
      <c r="H53" s="102"/>
      <c r="I53" s="102"/>
      <c r="J53" s="102"/>
      <c r="K53" s="102"/>
      <c r="L53" s="102"/>
      <c r="M53" s="102"/>
      <c r="N53" s="102"/>
      <c r="O53" s="102"/>
    </row>
    <row r="54" customFormat="false" ht="15" hidden="false" customHeight="true" outlineLevel="0" collapsed="false">
      <c r="A54" s="102"/>
      <c r="B54" s="105" t="s">
        <v>6296</v>
      </c>
      <c r="C54" s="139" t="n">
        <v>500</v>
      </c>
      <c r="D54" s="102"/>
      <c r="E54" s="102"/>
      <c r="F54" s="102"/>
      <c r="G54" s="102"/>
      <c r="H54" s="102"/>
      <c r="I54" s="102"/>
      <c r="J54" s="102"/>
      <c r="K54" s="102"/>
      <c r="L54" s="102"/>
      <c r="M54" s="102"/>
      <c r="N54" s="102"/>
      <c r="O54" s="102"/>
    </row>
    <row r="55" customFormat="false" ht="15" hidden="false" customHeight="true" outlineLevel="0" collapsed="false">
      <c r="A55" s="102"/>
      <c r="B55" s="105" t="s">
        <v>6297</v>
      </c>
      <c r="C55" s="139" t="n">
        <v>504</v>
      </c>
      <c r="D55" s="102"/>
      <c r="E55" s="102"/>
      <c r="F55" s="102"/>
      <c r="G55" s="102"/>
      <c r="H55" s="102"/>
      <c r="I55" s="102"/>
      <c r="J55" s="102"/>
      <c r="K55" s="102"/>
      <c r="L55" s="102"/>
      <c r="M55" s="102"/>
      <c r="N55" s="102"/>
      <c r="O55" s="102"/>
    </row>
    <row r="56" customFormat="false" ht="15" hidden="false" customHeight="true" outlineLevel="0" collapsed="false">
      <c r="A56" s="102"/>
      <c r="B56" s="102"/>
      <c r="C56" s="102"/>
      <c r="D56" s="102"/>
      <c r="E56" s="102"/>
      <c r="F56" s="102"/>
      <c r="G56" s="102"/>
      <c r="H56" s="102"/>
      <c r="I56" s="102"/>
      <c r="J56" s="102"/>
      <c r="K56" s="102"/>
      <c r="L56" s="102"/>
      <c r="M56" s="102"/>
      <c r="N56" s="102"/>
      <c r="O56" s="102"/>
    </row>
    <row r="57" customFormat="false" ht="16.5" hidden="false" customHeight="true" outlineLevel="0" collapsed="false">
      <c r="A57" s="102"/>
      <c r="B57" s="108" t="s">
        <v>5861</v>
      </c>
      <c r="C57" s="108" t="s">
        <v>5862</v>
      </c>
      <c r="D57" s="108" t="s">
        <v>5863</v>
      </c>
      <c r="E57" s="108" t="s">
        <v>5864</v>
      </c>
      <c r="F57" s="108" t="s">
        <v>5865</v>
      </c>
      <c r="G57" s="108" t="s">
        <v>5866</v>
      </c>
      <c r="H57" s="108" t="s">
        <v>6298</v>
      </c>
      <c r="I57" s="102"/>
      <c r="J57" s="102"/>
      <c r="K57" s="102"/>
      <c r="L57" s="102"/>
      <c r="M57" s="102"/>
      <c r="N57" s="102"/>
      <c r="O57" s="102"/>
    </row>
    <row r="58" customFormat="false" ht="15" hidden="false" customHeight="true" outlineLevel="0" collapsed="false">
      <c r="A58" s="102"/>
      <c r="B58" s="123" t="n">
        <v>1</v>
      </c>
      <c r="C58" s="131" t="n">
        <v>501.82</v>
      </c>
      <c r="D58" s="131" t="n">
        <v>500.79</v>
      </c>
      <c r="E58" s="131" t="n">
        <v>501.71</v>
      </c>
      <c r="F58" s="131" t="n">
        <v>500.56</v>
      </c>
      <c r="G58" s="131" t="n">
        <v>501.3</v>
      </c>
      <c r="H58" s="133" t="n">
        <f aca="false">MAX(C58:G58)-MIN(C58:G58)</f>
        <v>1.25999999999999</v>
      </c>
      <c r="I58" s="102"/>
      <c r="J58" s="102"/>
      <c r="K58" s="102"/>
      <c r="L58" s="102"/>
      <c r="M58" s="102"/>
      <c r="N58" s="102"/>
      <c r="O58" s="102"/>
    </row>
    <row r="59" customFormat="false" ht="15" hidden="false" customHeight="true" outlineLevel="0" collapsed="false">
      <c r="A59" s="102"/>
      <c r="B59" s="123" t="n">
        <v>2</v>
      </c>
      <c r="C59" s="131" t="n">
        <v>500.27</v>
      </c>
      <c r="D59" s="131" t="n">
        <v>501.94</v>
      </c>
      <c r="E59" s="131" t="n">
        <v>500.15</v>
      </c>
      <c r="F59" s="131" t="n">
        <v>500.56</v>
      </c>
      <c r="G59" s="131" t="n">
        <v>500.25</v>
      </c>
      <c r="H59" s="133" t="n">
        <f aca="false">MAX(C59:G59)-MIN(C59:G59)</f>
        <v>1.79000000000002</v>
      </c>
      <c r="I59" s="102"/>
      <c r="J59" s="102"/>
      <c r="K59" s="102"/>
      <c r="L59" s="102"/>
      <c r="M59" s="102"/>
      <c r="N59" s="102"/>
      <c r="O59" s="102"/>
    </row>
    <row r="60" customFormat="false" ht="15" hidden="false" customHeight="true" outlineLevel="0" collapsed="false">
      <c r="A60" s="102"/>
      <c r="B60" s="123" t="n">
        <v>3</v>
      </c>
      <c r="C60" s="131" t="n">
        <v>500.28</v>
      </c>
      <c r="D60" s="131" t="n">
        <v>499.08</v>
      </c>
      <c r="E60" s="131" t="n">
        <v>499.55</v>
      </c>
      <c r="F60" s="131" t="n">
        <v>499.75</v>
      </c>
      <c r="G60" s="131" t="n">
        <v>501.99</v>
      </c>
      <c r="H60" s="133" t="n">
        <f aca="false">MAX(C60:G60)-MIN(C60:G60)</f>
        <v>2.91000000000003</v>
      </c>
      <c r="I60" s="102"/>
      <c r="J60" s="102"/>
      <c r="K60" s="102"/>
      <c r="L60" s="102"/>
      <c r="M60" s="102"/>
      <c r="N60" s="102"/>
      <c r="O60" s="102"/>
    </row>
    <row r="61" customFormat="false" ht="15" hidden="false" customHeight="true" outlineLevel="0" collapsed="false">
      <c r="A61" s="102"/>
      <c r="B61" s="123" t="n">
        <v>4</v>
      </c>
      <c r="C61" s="131" t="n">
        <v>500.17</v>
      </c>
      <c r="D61" s="131" t="n">
        <v>500.15</v>
      </c>
      <c r="E61" s="131" t="n">
        <v>498.75</v>
      </c>
      <c r="F61" s="131" t="n">
        <v>498.47</v>
      </c>
      <c r="G61" s="131" t="n">
        <v>499.82</v>
      </c>
      <c r="H61" s="133" t="n">
        <f aca="false">MAX(C61:G61)-MIN(C61:G61)</f>
        <v>1.69999999999999</v>
      </c>
      <c r="I61" s="102"/>
      <c r="J61" s="102"/>
      <c r="K61" s="102"/>
      <c r="L61" s="102"/>
      <c r="M61" s="102"/>
      <c r="N61" s="102"/>
      <c r="O61" s="102"/>
    </row>
    <row r="62" customFormat="false" ht="15" hidden="false" customHeight="true" outlineLevel="0" collapsed="false">
      <c r="A62" s="102"/>
      <c r="B62" s="123" t="n">
        <v>5</v>
      </c>
      <c r="C62" s="131" t="n">
        <v>499.34</v>
      </c>
      <c r="D62" s="131" t="n">
        <v>499.45</v>
      </c>
      <c r="E62" s="131" t="n">
        <v>501.3</v>
      </c>
      <c r="F62" s="131" t="n">
        <v>501.48</v>
      </c>
      <c r="G62" s="131" t="n">
        <v>501.23</v>
      </c>
      <c r="H62" s="133" t="n">
        <f aca="false">MAX(C62:G62)-MIN(C62:G62)</f>
        <v>2.14000000000004</v>
      </c>
      <c r="I62" s="102"/>
      <c r="J62" s="102"/>
      <c r="K62" s="102"/>
      <c r="L62" s="102"/>
      <c r="M62" s="102"/>
      <c r="N62" s="102"/>
      <c r="O62" s="102"/>
    </row>
    <row r="63" customFormat="false" ht="15" hidden="false" customHeight="true" outlineLevel="0" collapsed="false">
      <c r="A63" s="102"/>
      <c r="B63" s="123" t="n">
        <v>6</v>
      </c>
      <c r="C63" s="131" t="n">
        <v>501.61</v>
      </c>
      <c r="D63" s="131" t="n">
        <v>498.73</v>
      </c>
      <c r="E63" s="131" t="n">
        <v>501.23</v>
      </c>
      <c r="F63" s="131" t="n">
        <v>499.51</v>
      </c>
      <c r="G63" s="131" t="n">
        <v>499.84</v>
      </c>
      <c r="H63" s="133" t="n">
        <f aca="false">MAX(C63:G63)-MIN(C63:G63)</f>
        <v>2.88</v>
      </c>
      <c r="I63" s="102"/>
      <c r="J63" s="102"/>
      <c r="K63" s="102"/>
      <c r="L63" s="102"/>
      <c r="M63" s="102"/>
      <c r="N63" s="102"/>
      <c r="O63" s="102"/>
    </row>
    <row r="64" customFormat="false" ht="15" hidden="false" customHeight="true" outlineLevel="0" collapsed="false">
      <c r="A64" s="102"/>
      <c r="B64" s="102"/>
      <c r="C64" s="102"/>
      <c r="D64" s="102"/>
      <c r="E64" s="102"/>
      <c r="F64" s="102"/>
      <c r="G64" s="102"/>
      <c r="H64" s="102"/>
      <c r="I64" s="102"/>
      <c r="J64" s="102"/>
      <c r="K64" s="102"/>
      <c r="L64" s="102"/>
      <c r="M64" s="102"/>
      <c r="N64" s="102"/>
      <c r="O64" s="102"/>
    </row>
    <row r="65" customFormat="false" ht="15" hidden="false" customHeight="true" outlineLevel="0" collapsed="false">
      <c r="A65" s="102"/>
      <c r="B65" s="105" t="s">
        <v>6299</v>
      </c>
      <c r="C65" s="129" t="n">
        <f aca="false">AVERAGE(C58:G63)</f>
        <v>500.369333333333</v>
      </c>
      <c r="D65" s="102"/>
      <c r="E65" s="102"/>
      <c r="F65" s="102"/>
      <c r="G65" s="102"/>
      <c r="H65" s="102"/>
      <c r="I65" s="102"/>
      <c r="J65" s="102"/>
      <c r="K65" s="102"/>
      <c r="L65" s="102"/>
      <c r="M65" s="102"/>
      <c r="N65" s="102"/>
      <c r="O65" s="102"/>
    </row>
    <row r="66" customFormat="false" ht="15" hidden="false" customHeight="true" outlineLevel="0" collapsed="false">
      <c r="A66" s="102"/>
      <c r="B66" s="105" t="s">
        <v>6300</v>
      </c>
      <c r="C66" s="129" t="n">
        <f aca="false">AVERAGE(H58:H63)</f>
        <v>2.11333333333334</v>
      </c>
      <c r="D66" s="102"/>
      <c r="E66" s="102"/>
      <c r="F66" s="102"/>
      <c r="G66" s="102"/>
      <c r="H66" s="102"/>
      <c r="I66" s="102"/>
      <c r="J66" s="102"/>
      <c r="K66" s="102"/>
      <c r="L66" s="102"/>
      <c r="M66" s="102"/>
      <c r="N66" s="102"/>
      <c r="O66" s="102"/>
    </row>
    <row r="67" customFormat="false" ht="15" hidden="false" customHeight="true" outlineLevel="0" collapsed="false">
      <c r="A67" s="102"/>
      <c r="B67" s="105" t="s">
        <v>6301</v>
      </c>
      <c r="C67" s="126" t="n">
        <f aca="false">C66/2.326</f>
        <v>0.908569790770999</v>
      </c>
      <c r="D67" s="102"/>
      <c r="E67" s="102"/>
      <c r="F67" s="102"/>
      <c r="G67" s="102"/>
      <c r="H67" s="102"/>
      <c r="I67" s="102"/>
      <c r="J67" s="102"/>
      <c r="K67" s="102"/>
      <c r="L67" s="102"/>
      <c r="M67" s="102"/>
      <c r="N67" s="102"/>
      <c r="O67" s="102"/>
    </row>
    <row r="68" customFormat="false" ht="15" hidden="false" customHeight="true" outlineLevel="0" collapsed="false">
      <c r="A68" s="102"/>
      <c r="B68" s="105" t="s">
        <v>6302</v>
      </c>
      <c r="C68" s="126" t="n">
        <f aca="false">STDEV(C58:G63)</f>
        <v>1.02147943194421</v>
      </c>
      <c r="D68" s="102"/>
      <c r="E68" s="102"/>
      <c r="F68" s="102"/>
      <c r="G68" s="102"/>
      <c r="H68" s="102"/>
      <c r="I68" s="102"/>
      <c r="J68" s="102"/>
      <c r="K68" s="102"/>
      <c r="L68" s="102"/>
      <c r="M68" s="102"/>
      <c r="N68" s="102"/>
      <c r="O68" s="102"/>
    </row>
    <row r="69" customFormat="false" ht="15" hidden="false" customHeight="true" outlineLevel="0" collapsed="false">
      <c r="A69" s="102"/>
      <c r="B69" s="102"/>
      <c r="C69" s="102"/>
      <c r="D69" s="102"/>
      <c r="E69" s="102"/>
      <c r="F69" s="102"/>
      <c r="G69" s="102"/>
      <c r="H69" s="102"/>
      <c r="I69" s="102"/>
      <c r="J69" s="102"/>
      <c r="K69" s="102"/>
      <c r="L69" s="102"/>
      <c r="M69" s="102"/>
      <c r="N69" s="102"/>
      <c r="O69" s="102"/>
    </row>
    <row r="70" customFormat="false" ht="15" hidden="false" customHeight="true" outlineLevel="0" collapsed="false">
      <c r="A70" s="102"/>
      <c r="B70" s="105" t="s">
        <v>6303</v>
      </c>
      <c r="C70" s="133" t="n">
        <f aca="false">(C55-C53)/(6*C67)</f>
        <v>1.46750788643532</v>
      </c>
      <c r="D70" s="102"/>
      <c r="E70" s="102"/>
      <c r="F70" s="102"/>
      <c r="G70" s="102"/>
      <c r="H70" s="102"/>
      <c r="I70" s="102"/>
      <c r="J70" s="102"/>
      <c r="K70" s="102"/>
      <c r="L70" s="102"/>
      <c r="M70" s="102"/>
      <c r="N70" s="102"/>
      <c r="O70" s="102"/>
    </row>
    <row r="71" customFormat="false" ht="15" hidden="false" customHeight="true" outlineLevel="0" collapsed="false">
      <c r="A71" s="102"/>
      <c r="B71" s="105" t="s">
        <v>6304</v>
      </c>
      <c r="C71" s="133" t="n">
        <f aca="false">MIN(C55-C65,C65-C53)/(3*C67)</f>
        <v>1.3320079915878</v>
      </c>
      <c r="D71" s="102"/>
      <c r="E71" s="102"/>
      <c r="F71" s="102"/>
      <c r="G71" s="102"/>
      <c r="H71" s="102"/>
      <c r="I71" s="102"/>
      <c r="J71" s="102"/>
      <c r="K71" s="102"/>
      <c r="L71" s="102"/>
      <c r="M71" s="102"/>
      <c r="N71" s="102"/>
      <c r="O71" s="102"/>
    </row>
    <row r="72" customFormat="false" ht="15" hidden="false" customHeight="true" outlineLevel="0" collapsed="false">
      <c r="A72" s="102"/>
      <c r="B72" s="105" t="s">
        <v>6305</v>
      </c>
      <c r="C72" s="133" t="n">
        <f aca="false">(C55-C53)/(6*C68)</f>
        <v>1.30529631007407</v>
      </c>
      <c r="D72" s="102"/>
      <c r="E72" s="102"/>
      <c r="F72" s="102"/>
      <c r="G72" s="102"/>
      <c r="H72" s="102"/>
      <c r="I72" s="102"/>
      <c r="J72" s="102"/>
      <c r="K72" s="102"/>
      <c r="L72" s="102"/>
      <c r="M72" s="102"/>
      <c r="N72" s="102"/>
      <c r="O72" s="102"/>
    </row>
    <row r="73" customFormat="false" ht="15" hidden="false" customHeight="true" outlineLevel="0" collapsed="false">
      <c r="A73" s="102"/>
      <c r="B73" s="105" t="s">
        <v>6306</v>
      </c>
      <c r="C73" s="133" t="n">
        <f aca="false">MIN(C55-C65,C65-C53)/(3*C68)</f>
        <v>1.18477395077724</v>
      </c>
      <c r="D73" s="102"/>
      <c r="E73" s="102"/>
      <c r="F73" s="102"/>
      <c r="G73" s="102"/>
      <c r="H73" s="102"/>
      <c r="I73" s="102"/>
      <c r="J73" s="102"/>
      <c r="K73" s="102"/>
      <c r="L73" s="102"/>
      <c r="M73" s="102"/>
      <c r="N73" s="102"/>
      <c r="O73" s="102"/>
    </row>
    <row r="74" customFormat="false" ht="15" hidden="false" customHeight="true" outlineLevel="0" collapsed="false">
      <c r="A74" s="102"/>
      <c r="B74" s="105" t="s">
        <v>6307</v>
      </c>
      <c r="C74" s="133" t="n">
        <f aca="false">(C55-C53)/(6*SQRT(C67^2+(C65-C54)^2))</f>
        <v>1.35947861396601</v>
      </c>
      <c r="D74" s="102"/>
      <c r="E74" s="102"/>
      <c r="F74" s="102"/>
      <c r="G74" s="102"/>
      <c r="H74" s="102"/>
      <c r="I74" s="102"/>
      <c r="J74" s="102"/>
      <c r="K74" s="102"/>
      <c r="L74" s="102"/>
      <c r="M74" s="102"/>
      <c r="N74" s="102"/>
      <c r="O74" s="102"/>
    </row>
    <row r="75" customFormat="false" ht="15" hidden="false" customHeight="true" outlineLevel="0" collapsed="false">
      <c r="A75" s="102"/>
      <c r="B75" s="105" t="s">
        <v>6308</v>
      </c>
      <c r="C75" s="133" t="n">
        <f aca="false">(C55-C65)/C68</f>
        <v>3.55432185233171</v>
      </c>
      <c r="D75" s="102"/>
      <c r="E75" s="102"/>
      <c r="F75" s="102"/>
      <c r="G75" s="102"/>
      <c r="H75" s="102"/>
      <c r="I75" s="102"/>
      <c r="J75" s="102"/>
      <c r="K75" s="102"/>
      <c r="L75" s="102"/>
      <c r="M75" s="102"/>
      <c r="N75" s="102"/>
      <c r="O75" s="102"/>
    </row>
    <row r="76" customFormat="false" ht="15" hidden="false" customHeight="true" outlineLevel="0" collapsed="false">
      <c r="A76" s="102"/>
      <c r="B76" s="105" t="s">
        <v>6309</v>
      </c>
      <c r="C76" s="133" t="n">
        <f aca="false">(C65-C53)/C68</f>
        <v>4.27745600811271</v>
      </c>
      <c r="D76" s="102"/>
      <c r="E76" s="102"/>
      <c r="F76" s="102"/>
      <c r="G76" s="102"/>
      <c r="H76" s="102"/>
      <c r="I76" s="102"/>
      <c r="J76" s="102"/>
      <c r="K76" s="102"/>
      <c r="L76" s="102"/>
      <c r="M76" s="102"/>
      <c r="N76" s="102"/>
      <c r="O76" s="102"/>
    </row>
    <row r="77" customFormat="false" ht="15" hidden="false" customHeight="true" outlineLevel="0" collapsed="false">
      <c r="A77" s="102"/>
      <c r="B77" s="105" t="s">
        <v>6310</v>
      </c>
      <c r="C77" s="133" t="n">
        <f aca="false">MIN(C75,C76)</f>
        <v>3.55432185233171</v>
      </c>
      <c r="D77" s="102"/>
      <c r="E77" s="102"/>
      <c r="F77" s="102"/>
      <c r="G77" s="102"/>
      <c r="H77" s="102"/>
      <c r="I77" s="102"/>
      <c r="J77" s="102"/>
      <c r="K77" s="102"/>
      <c r="L77" s="102"/>
      <c r="M77" s="102"/>
      <c r="N77" s="102"/>
      <c r="O77" s="102"/>
    </row>
    <row r="78" customFormat="false" ht="15" hidden="false" customHeight="true" outlineLevel="0" collapsed="false">
      <c r="A78" s="102"/>
      <c r="B78" s="105" t="s">
        <v>6311</v>
      </c>
      <c r="C78" s="124" t="n">
        <f aca="false">(NORMSDIST(-C75)+NORMSDIST(-C76))*1000000</f>
        <v>198.929638806512</v>
      </c>
      <c r="D78" s="102"/>
      <c r="E78" s="102"/>
      <c r="F78" s="102"/>
      <c r="G78" s="102"/>
      <c r="H78" s="102"/>
      <c r="I78" s="102"/>
      <c r="J78" s="102"/>
      <c r="K78" s="102"/>
      <c r="L78" s="102"/>
      <c r="M78" s="102"/>
      <c r="N78" s="102"/>
      <c r="O78" s="102"/>
    </row>
    <row r="79" customFormat="false" ht="15" hidden="false" customHeight="true" outlineLevel="0" collapsed="false">
      <c r="A79" s="102"/>
      <c r="B79" s="102"/>
      <c r="C79" s="102"/>
      <c r="D79" s="102"/>
      <c r="E79" s="102"/>
      <c r="F79" s="102"/>
      <c r="G79" s="102"/>
      <c r="H79" s="102"/>
      <c r="I79" s="102"/>
      <c r="J79" s="102"/>
      <c r="K79" s="102"/>
      <c r="L79" s="102"/>
      <c r="M79" s="102"/>
      <c r="N79" s="102"/>
      <c r="O79" s="102"/>
    </row>
    <row r="80" customFormat="false" ht="17.25" hidden="false" customHeight="true" outlineLevel="0" collapsed="false">
      <c r="A80" s="102"/>
      <c r="B80" s="107" t="s">
        <v>6312</v>
      </c>
      <c r="C80" s="107"/>
      <c r="D80" s="107"/>
      <c r="E80" s="107"/>
      <c r="F80" s="107"/>
      <c r="G80" s="107"/>
      <c r="H80" s="107"/>
      <c r="I80" s="102"/>
      <c r="J80" s="102"/>
      <c r="K80" s="102"/>
      <c r="L80" s="102"/>
      <c r="M80" s="102"/>
      <c r="N80" s="102"/>
      <c r="O80" s="102"/>
    </row>
    <row r="81" customFormat="false" ht="17.25" hidden="false" customHeight="true" outlineLevel="0" collapsed="false">
      <c r="A81" s="102"/>
      <c r="B81" s="108" t="s">
        <v>6313</v>
      </c>
      <c r="C81" s="108" t="s">
        <v>6314</v>
      </c>
      <c r="D81" s="108" t="s">
        <v>6315</v>
      </c>
      <c r="E81" s="108" t="s">
        <v>6316</v>
      </c>
      <c r="F81" s="108" t="s">
        <v>6317</v>
      </c>
      <c r="G81" s="108"/>
      <c r="H81" s="102"/>
      <c r="I81" s="102"/>
      <c r="J81" s="102"/>
      <c r="K81" s="102"/>
      <c r="L81" s="102"/>
      <c r="M81" s="102"/>
      <c r="N81" s="102"/>
      <c r="O81" s="102"/>
    </row>
    <row r="82" customFormat="false" ht="17.25" hidden="false" customHeight="true" outlineLevel="0" collapsed="false">
      <c r="A82" s="102"/>
      <c r="B82" s="133" t="n">
        <f aca="false">($C$53-1)+(0*(($C$55+1-($C$53-1))/10))</f>
        <v>495</v>
      </c>
      <c r="C82" s="133" t="n">
        <f aca="false">($C$53-1)+((0+1)*(($C$55+1-($C$53-1))/10))</f>
        <v>496</v>
      </c>
      <c r="D82" s="124" t="n">
        <f aca="false">COUNTIFS(C58:G63,"&gt;="&amp;B82,C58:G63,"&lt;"&amp;C82)</f>
        <v>0</v>
      </c>
      <c r="E82" s="142" t="n">
        <f aca="false">IF(AND($C$53&gt;=B82,$C$53&lt;C82),MAX($D$82:$D$91)*1.15,0)</f>
        <v>0</v>
      </c>
      <c r="F82" s="145" t="n">
        <f aca="false">IF(AND($C$55&gt;=B82,$C$55&lt;C82),MAX($D$82:$D$91)*1.15,0)</f>
        <v>0</v>
      </c>
      <c r="G82" s="145"/>
      <c r="H82" s="102"/>
      <c r="I82" s="102"/>
      <c r="J82" s="102"/>
      <c r="K82" s="102"/>
      <c r="L82" s="102"/>
      <c r="M82" s="102"/>
      <c r="N82" s="102"/>
      <c r="O82" s="102"/>
    </row>
    <row r="83" customFormat="false" ht="17.25" hidden="false" customHeight="true" outlineLevel="0" collapsed="false">
      <c r="A83" s="102"/>
      <c r="B83" s="133" t="n">
        <f aca="false">($C$53-1)+(1*(($C$55+1-($C$53-1))/10))</f>
        <v>496</v>
      </c>
      <c r="C83" s="133" t="n">
        <f aca="false">($C$53-1)+((1+1)*(($C$55+1-($C$53-1))/10))</f>
        <v>497</v>
      </c>
      <c r="D83" s="124" t="n">
        <f aca="false">COUNTIFS(C58:G63,"&gt;="&amp;B83,C58:G63,"&lt;"&amp;C83)</f>
        <v>0</v>
      </c>
      <c r="E83" s="142" t="n">
        <f aca="false">IF(AND($C$53&gt;=B83,$C$53&lt;C83),MAX($D$82:$D$91)*1.15,0)</f>
        <v>11.5</v>
      </c>
      <c r="F83" s="145" t="n">
        <f aca="false">IF(AND($C$55&gt;=B83,$C$55&lt;C83),MAX($D$82:$D$91)*1.15,0)</f>
        <v>0</v>
      </c>
      <c r="G83" s="145"/>
      <c r="H83" s="102"/>
      <c r="I83" s="102"/>
      <c r="J83" s="102"/>
      <c r="K83" s="102"/>
      <c r="L83" s="102"/>
      <c r="M83" s="102"/>
      <c r="N83" s="102"/>
      <c r="O83" s="102"/>
    </row>
    <row r="84" customFormat="false" ht="17.25" hidden="false" customHeight="true" outlineLevel="0" collapsed="false">
      <c r="A84" s="102"/>
      <c r="B84" s="133" t="n">
        <f aca="false">($C$53-1)+(2*(($C$55+1-($C$53-1))/10))</f>
        <v>497</v>
      </c>
      <c r="C84" s="133" t="n">
        <f aca="false">($C$53-1)+((2+1)*(($C$55+1-($C$53-1))/10))</f>
        <v>498</v>
      </c>
      <c r="D84" s="124" t="n">
        <f aca="false">COUNTIFS(C58:G63,"&gt;="&amp;B84,C58:G63,"&lt;"&amp;C84)</f>
        <v>0</v>
      </c>
      <c r="E84" s="142" t="n">
        <f aca="false">IF(AND($C$53&gt;=B84,$C$53&lt;C84),MAX($D$82:$D$91)*1.15,0)</f>
        <v>0</v>
      </c>
      <c r="F84" s="145" t="n">
        <f aca="false">IF(AND($C$55&gt;=B84,$C$55&lt;C84),MAX($D$82:$D$91)*1.15,0)</f>
        <v>0</v>
      </c>
      <c r="G84" s="145"/>
      <c r="H84" s="102"/>
      <c r="I84" s="102"/>
      <c r="J84" s="102"/>
      <c r="K84" s="102"/>
      <c r="L84" s="102"/>
      <c r="M84" s="102"/>
      <c r="N84" s="102"/>
      <c r="O84" s="102"/>
    </row>
    <row r="85" customFormat="false" ht="17.25" hidden="false" customHeight="true" outlineLevel="0" collapsed="false">
      <c r="A85" s="102"/>
      <c r="B85" s="133" t="n">
        <f aca="false">($C$53-1)+(3*(($C$55+1-($C$53-1))/10))</f>
        <v>498</v>
      </c>
      <c r="C85" s="133" t="n">
        <f aca="false">($C$53-1)+((3+1)*(($C$55+1-($C$53-1))/10))</f>
        <v>499</v>
      </c>
      <c r="D85" s="124" t="n">
        <f aca="false">COUNTIFS(C58:G63,"&gt;="&amp;B85,C58:G63,"&lt;"&amp;C85)</f>
        <v>3</v>
      </c>
      <c r="E85" s="142" t="n">
        <f aca="false">IF(AND($C$53&gt;=B85,$C$53&lt;C85),MAX($D$82:$D$91)*1.15,0)</f>
        <v>0</v>
      </c>
      <c r="F85" s="145" t="n">
        <f aca="false">IF(AND($C$55&gt;=B85,$C$55&lt;C85),MAX($D$82:$D$91)*1.15,0)</f>
        <v>0</v>
      </c>
      <c r="G85" s="145"/>
      <c r="H85" s="102"/>
      <c r="I85" s="102"/>
      <c r="J85" s="102"/>
      <c r="K85" s="102"/>
      <c r="L85" s="102"/>
      <c r="M85" s="102"/>
      <c r="N85" s="102"/>
      <c r="O85" s="102"/>
    </row>
    <row r="86" customFormat="false" ht="17.25" hidden="false" customHeight="true" outlineLevel="0" collapsed="false">
      <c r="A86" s="102"/>
      <c r="B86" s="133" t="n">
        <f aca="false">($C$53-1)+(4*(($C$55+1-($C$53-1))/10))</f>
        <v>499</v>
      </c>
      <c r="C86" s="133" t="n">
        <f aca="false">($C$53-1)+((4+1)*(($C$55+1-($C$53-1))/10))</f>
        <v>500</v>
      </c>
      <c r="D86" s="124" t="n">
        <f aca="false">COUNTIFS(C58:G63,"&gt;="&amp;B86,C58:G63,"&lt;"&amp;C86)</f>
        <v>8</v>
      </c>
      <c r="E86" s="142" t="n">
        <f aca="false">IF(AND($C$53&gt;=B86,$C$53&lt;C86),MAX($D$82:$D$91)*1.15,0)</f>
        <v>0</v>
      </c>
      <c r="F86" s="145" t="n">
        <f aca="false">IF(AND($C$55&gt;=B86,$C$55&lt;C86),MAX($D$82:$D$91)*1.15,0)</f>
        <v>0</v>
      </c>
      <c r="G86" s="145"/>
      <c r="H86" s="102"/>
      <c r="I86" s="102"/>
      <c r="J86" s="102"/>
      <c r="K86" s="102"/>
      <c r="L86" s="102"/>
      <c r="M86" s="102"/>
      <c r="N86" s="102"/>
      <c r="O86" s="102"/>
    </row>
    <row r="87" customFormat="false" ht="17.25" hidden="false" customHeight="true" outlineLevel="0" collapsed="false">
      <c r="A87" s="102"/>
      <c r="B87" s="133" t="n">
        <f aca="false">($C$53-1)+(5*(($C$55+1-($C$53-1))/10))</f>
        <v>500</v>
      </c>
      <c r="C87" s="133" t="n">
        <f aca="false">($C$53-1)+((5+1)*(($C$55+1-($C$53-1))/10))</f>
        <v>501</v>
      </c>
      <c r="D87" s="124" t="n">
        <f aca="false">COUNTIFS(C58:G63,"&gt;="&amp;B87,C58:G63,"&lt;"&amp;C87)</f>
        <v>9</v>
      </c>
      <c r="E87" s="142" t="n">
        <f aca="false">IF(AND($C$53&gt;=B87,$C$53&lt;C87),MAX($D$82:$D$91)*1.15,0)</f>
        <v>0</v>
      </c>
      <c r="F87" s="145" t="n">
        <f aca="false">IF(AND($C$55&gt;=B87,$C$55&lt;C87),MAX($D$82:$D$91)*1.15,0)</f>
        <v>0</v>
      </c>
      <c r="G87" s="145"/>
      <c r="H87" s="102"/>
      <c r="I87" s="102"/>
      <c r="J87" s="102"/>
      <c r="K87" s="102"/>
      <c r="L87" s="102"/>
      <c r="M87" s="102"/>
      <c r="N87" s="102"/>
      <c r="O87" s="102"/>
    </row>
    <row r="88" customFormat="false" ht="17.25" hidden="false" customHeight="true" outlineLevel="0" collapsed="false">
      <c r="A88" s="102"/>
      <c r="B88" s="133" t="n">
        <f aca="false">($C$53-1)+(6*(($C$55+1-($C$53-1))/10))</f>
        <v>501</v>
      </c>
      <c r="C88" s="133" t="n">
        <f aca="false">($C$53-1)+((6+1)*(($C$55+1-($C$53-1))/10))</f>
        <v>502</v>
      </c>
      <c r="D88" s="124" t="n">
        <f aca="false">COUNTIFS(C58:G63,"&gt;="&amp;B88,C58:G63,"&lt;"&amp;C88)</f>
        <v>10</v>
      </c>
      <c r="E88" s="142" t="n">
        <f aca="false">IF(AND($C$53&gt;=B88,$C$53&lt;C88),MAX($D$82:$D$91)*1.15,0)</f>
        <v>0</v>
      </c>
      <c r="F88" s="145" t="n">
        <f aca="false">IF(AND($C$55&gt;=B88,$C$55&lt;C88),MAX($D$82:$D$91)*1.15,0)</f>
        <v>0</v>
      </c>
      <c r="G88" s="145"/>
      <c r="H88" s="102"/>
      <c r="I88" s="102"/>
      <c r="J88" s="102"/>
      <c r="K88" s="102"/>
      <c r="L88" s="102"/>
      <c r="M88" s="102"/>
      <c r="N88" s="102"/>
      <c r="O88" s="102"/>
    </row>
    <row r="89" customFormat="false" ht="17.25" hidden="false" customHeight="true" outlineLevel="0" collapsed="false">
      <c r="A89" s="102"/>
      <c r="B89" s="133" t="n">
        <f aca="false">($C$53-1)+(7*(($C$55+1-($C$53-1))/10))</f>
        <v>502</v>
      </c>
      <c r="C89" s="133" t="n">
        <f aca="false">($C$53-1)+((7+1)*(($C$55+1-($C$53-1))/10))</f>
        <v>503</v>
      </c>
      <c r="D89" s="124" t="n">
        <f aca="false">COUNTIFS(C58:G63,"&gt;="&amp;B89,C58:G63,"&lt;"&amp;C89)</f>
        <v>0</v>
      </c>
      <c r="E89" s="142" t="n">
        <f aca="false">IF(AND($C$53&gt;=B89,$C$53&lt;C89),MAX($D$82:$D$91)*1.15,0)</f>
        <v>0</v>
      </c>
      <c r="F89" s="145" t="n">
        <f aca="false">IF(AND($C$55&gt;=B89,$C$55&lt;C89),MAX($D$82:$D$91)*1.15,0)</f>
        <v>0</v>
      </c>
      <c r="G89" s="145"/>
      <c r="H89" s="102"/>
      <c r="I89" s="102"/>
      <c r="J89" s="102"/>
      <c r="K89" s="102"/>
      <c r="L89" s="102"/>
      <c r="M89" s="102"/>
      <c r="N89" s="102"/>
      <c r="O89" s="102"/>
    </row>
    <row r="90" customFormat="false" ht="17.25" hidden="false" customHeight="true" outlineLevel="0" collapsed="false">
      <c r="A90" s="102"/>
      <c r="B90" s="133" t="n">
        <f aca="false">($C$53-1)+(8*(($C$55+1-($C$53-1))/10))</f>
        <v>503</v>
      </c>
      <c r="C90" s="133" t="n">
        <f aca="false">($C$53-1)+((8+1)*(($C$55+1-($C$53-1))/10))</f>
        <v>504</v>
      </c>
      <c r="D90" s="124" t="n">
        <f aca="false">COUNTIFS(C58:G63,"&gt;="&amp;B90,C58:G63,"&lt;"&amp;C90)</f>
        <v>0</v>
      </c>
      <c r="E90" s="142" t="n">
        <f aca="false">IF(AND($C$53&gt;=B90,$C$53&lt;C90),MAX($D$82:$D$91)*1.15,0)</f>
        <v>0</v>
      </c>
      <c r="F90" s="145" t="n">
        <f aca="false">IF(AND($C$55&gt;=B90,$C$55&lt;C90),MAX($D$82:$D$91)*1.15,0)</f>
        <v>0</v>
      </c>
      <c r="G90" s="145"/>
      <c r="H90" s="102"/>
      <c r="I90" s="102"/>
      <c r="J90" s="102"/>
      <c r="K90" s="102"/>
      <c r="L90" s="102"/>
      <c r="M90" s="102"/>
      <c r="N90" s="102"/>
      <c r="O90" s="102"/>
    </row>
    <row r="91" customFormat="false" ht="17.25" hidden="false" customHeight="true" outlineLevel="0" collapsed="false">
      <c r="A91" s="102"/>
      <c r="B91" s="133" t="n">
        <f aca="false">($C$53-1)+(9*(($C$55+1-($C$53-1))/10))</f>
        <v>504</v>
      </c>
      <c r="C91" s="133" t="n">
        <f aca="false">($C$53-1)+((9+1)*(($C$55+1-($C$53-1))/10))</f>
        <v>505</v>
      </c>
      <c r="D91" s="124" t="n">
        <f aca="false">COUNTIFS(C58:G63,"&gt;="&amp;B91,C58:G63,"&lt;"&amp;C91)</f>
        <v>0</v>
      </c>
      <c r="E91" s="142" t="n">
        <f aca="false">IF(AND($C$53&gt;=B91,$C$53&lt;C91),MAX($D$82:$D$91)*1.15,0)</f>
        <v>0</v>
      </c>
      <c r="F91" s="145" t="n">
        <f aca="false">IF(AND($C$55&gt;=B91,$C$55&lt;C91),MAX($D$82:$D$91)*1.15,0)</f>
        <v>11.5</v>
      </c>
      <c r="G91" s="145"/>
      <c r="H91" s="102"/>
      <c r="I91" s="102"/>
      <c r="J91" s="102"/>
      <c r="K91" s="102"/>
      <c r="L91" s="102"/>
      <c r="M91" s="102"/>
      <c r="N91" s="102"/>
      <c r="O91" s="102"/>
    </row>
    <row r="92" customFormat="false" ht="15" hidden="false" customHeight="true" outlineLevel="0" collapsed="false">
      <c r="A92" s="102"/>
      <c r="B92" s="102"/>
      <c r="C92" s="102"/>
      <c r="D92" s="102"/>
      <c r="E92" s="102"/>
      <c r="F92" s="102"/>
      <c r="G92" s="102"/>
      <c r="H92" s="102"/>
      <c r="I92" s="102"/>
      <c r="J92" s="102"/>
      <c r="K92" s="102"/>
      <c r="L92" s="102"/>
      <c r="M92" s="102"/>
      <c r="N92" s="102"/>
      <c r="O92" s="102"/>
    </row>
    <row r="93" customFormat="false" ht="15" hidden="false" customHeight="true" outlineLevel="0" collapsed="false">
      <c r="A93" s="102"/>
      <c r="B93" s="102"/>
      <c r="C93" s="102"/>
      <c r="D93" s="102"/>
      <c r="E93" s="102"/>
      <c r="F93" s="102"/>
      <c r="G93" s="102"/>
      <c r="H93" s="102"/>
      <c r="I93" s="102"/>
      <c r="J93" s="102"/>
      <c r="K93" s="102"/>
      <c r="L93" s="102"/>
      <c r="M93" s="102"/>
      <c r="N93" s="102"/>
      <c r="O93" s="102"/>
    </row>
    <row r="94" customFormat="false" ht="15" hidden="false" customHeight="true" outlineLevel="0" collapsed="false">
      <c r="A94" s="102"/>
      <c r="B94" s="102"/>
      <c r="C94" s="102"/>
      <c r="D94" s="102"/>
      <c r="E94" s="102"/>
      <c r="F94" s="102"/>
      <c r="G94" s="102"/>
      <c r="H94" s="102"/>
      <c r="I94" s="102"/>
      <c r="J94" s="102"/>
      <c r="K94" s="102"/>
      <c r="L94" s="102"/>
      <c r="M94" s="102"/>
      <c r="N94" s="102"/>
      <c r="O94" s="102"/>
    </row>
    <row r="95" customFormat="false" ht="15" hidden="false" customHeight="true" outlineLevel="0" collapsed="false">
      <c r="A95" s="102"/>
      <c r="B95" s="102"/>
      <c r="C95" s="102"/>
      <c r="D95" s="102"/>
      <c r="E95" s="102"/>
      <c r="F95" s="102"/>
      <c r="G95" s="102"/>
      <c r="H95" s="102"/>
      <c r="I95" s="102"/>
      <c r="J95" s="102"/>
      <c r="K95" s="102"/>
      <c r="L95" s="102"/>
      <c r="M95" s="102"/>
      <c r="N95" s="102"/>
      <c r="O95" s="102"/>
    </row>
    <row r="96" customFormat="false" ht="15" hidden="false" customHeight="true" outlineLevel="0" collapsed="false">
      <c r="A96" s="102"/>
      <c r="B96" s="102"/>
      <c r="C96" s="102"/>
      <c r="D96" s="102"/>
      <c r="E96" s="102"/>
      <c r="F96" s="102"/>
      <c r="G96" s="102"/>
      <c r="H96" s="102"/>
      <c r="I96" s="102"/>
      <c r="J96" s="102"/>
      <c r="K96" s="102"/>
      <c r="L96" s="102"/>
      <c r="M96" s="102"/>
      <c r="N96" s="102"/>
      <c r="O96" s="102"/>
    </row>
    <row r="97" customFormat="false" ht="15" hidden="false" customHeight="true" outlineLevel="0" collapsed="false">
      <c r="A97" s="102"/>
      <c r="B97" s="102"/>
      <c r="C97" s="102"/>
      <c r="D97" s="102"/>
      <c r="E97" s="102"/>
      <c r="F97" s="102"/>
      <c r="G97" s="102"/>
      <c r="H97" s="102"/>
      <c r="I97" s="102"/>
      <c r="J97" s="102"/>
      <c r="K97" s="102"/>
      <c r="L97" s="102"/>
      <c r="M97" s="102"/>
      <c r="N97" s="102"/>
      <c r="O97" s="102"/>
    </row>
    <row r="98" customFormat="false" ht="15" hidden="false" customHeight="true" outlineLevel="0" collapsed="false">
      <c r="A98" s="102"/>
      <c r="B98" s="102"/>
      <c r="C98" s="102"/>
      <c r="D98" s="102"/>
      <c r="E98" s="102"/>
      <c r="F98" s="102"/>
      <c r="G98" s="102"/>
      <c r="H98" s="102"/>
      <c r="I98" s="102"/>
      <c r="J98" s="102"/>
      <c r="K98" s="102"/>
      <c r="L98" s="102"/>
      <c r="M98" s="102"/>
      <c r="N98" s="102"/>
      <c r="O98" s="102"/>
    </row>
    <row r="99" customFormat="false" ht="15" hidden="false" customHeight="true" outlineLevel="0" collapsed="false">
      <c r="A99" s="102"/>
      <c r="B99" s="102"/>
      <c r="C99" s="102"/>
      <c r="D99" s="102"/>
      <c r="E99" s="102"/>
      <c r="F99" s="102"/>
      <c r="G99" s="102"/>
      <c r="H99" s="102"/>
      <c r="I99" s="102"/>
      <c r="J99" s="102"/>
      <c r="K99" s="102"/>
      <c r="L99" s="102"/>
      <c r="M99" s="102"/>
      <c r="N99" s="102"/>
      <c r="O99" s="102"/>
    </row>
    <row r="100" customFormat="false" ht="15" hidden="false" customHeight="true" outlineLevel="0" collapsed="false">
      <c r="A100" s="102"/>
      <c r="B100" s="102"/>
      <c r="C100" s="102"/>
      <c r="D100" s="102"/>
      <c r="E100" s="102"/>
      <c r="F100" s="102"/>
      <c r="G100" s="102"/>
      <c r="H100" s="102"/>
      <c r="I100" s="102"/>
      <c r="J100" s="102"/>
      <c r="K100" s="102"/>
      <c r="L100" s="102"/>
      <c r="M100" s="102"/>
      <c r="N100" s="102"/>
      <c r="O100" s="102"/>
    </row>
    <row r="101" customFormat="false" ht="15" hidden="false" customHeight="true" outlineLevel="0" collapsed="false">
      <c r="A101" s="102"/>
      <c r="B101" s="102"/>
      <c r="C101" s="102"/>
      <c r="D101" s="102"/>
      <c r="E101" s="102"/>
      <c r="F101" s="102"/>
      <c r="G101" s="102"/>
      <c r="H101" s="102"/>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5" hidden="false" customHeight="true" outlineLevel="0" collapsed="false">
      <c r="A105" s="102"/>
      <c r="B105" s="102"/>
      <c r="C105" s="102"/>
      <c r="D105" s="102"/>
      <c r="E105" s="102"/>
      <c r="F105" s="102"/>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2"/>
      <c r="C108" s="102"/>
      <c r="D108" s="102"/>
      <c r="E108" s="102"/>
      <c r="F108" s="102"/>
      <c r="G108" s="102"/>
      <c r="H108" s="102"/>
      <c r="I108" s="102"/>
      <c r="J108" s="102"/>
      <c r="K108" s="102"/>
      <c r="L108" s="102"/>
      <c r="M108" s="102"/>
      <c r="N108" s="102"/>
      <c r="O108" s="102"/>
    </row>
    <row r="109" customFormat="false" ht="15" hidden="false" customHeight="true" outlineLevel="0" collapsed="false">
      <c r="A109" s="102"/>
      <c r="B109" s="102"/>
      <c r="C109" s="102"/>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75" hidden="false" customHeight="true" outlineLevel="0" collapsed="false">
      <c r="A111" s="102"/>
      <c r="B111" s="103" t="s">
        <v>1493</v>
      </c>
      <c r="C111" s="104"/>
      <c r="D111" s="104"/>
      <c r="E111" s="104"/>
      <c r="F111" s="104"/>
      <c r="G111" s="104"/>
      <c r="H111" s="104"/>
      <c r="I111" s="104"/>
      <c r="J111" s="104"/>
      <c r="K111" s="104"/>
      <c r="L111" s="102"/>
      <c r="M111" s="102"/>
      <c r="N111" s="102"/>
      <c r="O111" s="102"/>
    </row>
    <row r="112" customFormat="false" ht="33.75" hidden="false" customHeight="true" outlineLevel="0" collapsed="false">
      <c r="A112" s="102"/>
      <c r="B112" s="105" t="s">
        <v>1494</v>
      </c>
      <c r="C112" s="117" t="str">
        <f aca="false">IF(C71&gt;=1.33,"Capable: Cpk = "&amp;TEXT(C71,"0.00")&amp;" (≥1.33). Ppk = "&amp;TEXT(C73,"0.00")&amp;"; a Cpk-Ppk gap above about 0.2 suggests real subgroup-to-subgroup shift worth investigating on a control chart.",IF(C71&gt;=1,"Marginally capable: Cpk = "&amp;TEXT(C71,"0.00")&amp;" (between 1.0 and 1.33). Tighten the process or review the specification.","Not capable: Cpk = "&amp;TEXT(C71,"0.00")&amp;" (&lt;1.0). Expect a meaningful defect rate; do not ship on this process without a containment plan."))</f>
        <v>Capable: Cpk = 1.33 (≥1.33). Ppk = 1.18; a Cpk-Ppk gap above about 0.2 suggests real subgroup-to-subgroup shift worth investigating on a control chart.</v>
      </c>
      <c r="D112" s="117"/>
      <c r="E112" s="117"/>
      <c r="F112" s="117"/>
      <c r="G112" s="117"/>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6.5" hidden="false" customHeight="true" outlineLevel="0" collapsed="false">
      <c r="A114" s="102"/>
      <c r="B114" s="108" t="s">
        <v>1495</v>
      </c>
      <c r="C114" s="108" t="s">
        <v>1496</v>
      </c>
      <c r="D114" s="108" t="s">
        <v>1497</v>
      </c>
      <c r="E114" s="102"/>
      <c r="F114" s="102"/>
      <c r="G114" s="102"/>
      <c r="H114" s="102"/>
      <c r="I114" s="102"/>
      <c r="J114" s="102"/>
      <c r="K114" s="102"/>
      <c r="L114" s="102"/>
      <c r="M114" s="102"/>
      <c r="N114" s="102"/>
      <c r="O114" s="102"/>
    </row>
    <row r="115" customFormat="false" ht="30.75" hidden="false" customHeight="true" outlineLevel="0" collapsed="false">
      <c r="A115" s="102"/>
      <c r="B115" s="110" t="s">
        <v>6318</v>
      </c>
      <c r="C115" s="111" t="s">
        <v>6319</v>
      </c>
      <c r="D115" s="15" t="s">
        <v>6320</v>
      </c>
      <c r="E115" s="102"/>
      <c r="F115" s="102"/>
      <c r="G115" s="102"/>
      <c r="H115" s="102"/>
      <c r="I115" s="102"/>
      <c r="J115" s="102"/>
      <c r="K115" s="102"/>
      <c r="L115" s="102"/>
      <c r="M115" s="102"/>
      <c r="N115" s="102"/>
      <c r="O115" s="102"/>
    </row>
    <row r="116" customFormat="false" ht="30.75" hidden="false" customHeight="true" outlineLevel="0" collapsed="false">
      <c r="A116" s="102"/>
      <c r="B116" s="110" t="s">
        <v>6321</v>
      </c>
      <c r="C116" s="111" t="s">
        <v>6322</v>
      </c>
      <c r="D116" s="15" t="s">
        <v>6323</v>
      </c>
      <c r="E116" s="102"/>
      <c r="F116" s="102"/>
      <c r="G116" s="102"/>
      <c r="H116" s="102"/>
      <c r="I116" s="102"/>
      <c r="J116" s="102"/>
      <c r="K116" s="102"/>
      <c r="L116" s="102"/>
      <c r="M116" s="102"/>
      <c r="N116" s="102"/>
      <c r="O116" s="102"/>
    </row>
    <row r="117" customFormat="false" ht="30.75" hidden="false" customHeight="true" outlineLevel="0" collapsed="false">
      <c r="A117" s="102"/>
      <c r="B117" s="110" t="s">
        <v>6324</v>
      </c>
      <c r="C117" s="111" t="s">
        <v>6325</v>
      </c>
      <c r="D117" s="15" t="s">
        <v>6326</v>
      </c>
      <c r="E117" s="102"/>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5" t="s">
        <v>1507</v>
      </c>
      <c r="C119" s="102"/>
      <c r="D119" s="102"/>
      <c r="E119" s="102"/>
      <c r="F119" s="102"/>
      <c r="G119" s="102"/>
      <c r="H119" s="102"/>
      <c r="I119" s="102"/>
      <c r="J119" s="102"/>
      <c r="K119" s="102"/>
      <c r="L119" s="102"/>
      <c r="M119" s="102"/>
      <c r="N119" s="102"/>
      <c r="O119" s="102"/>
    </row>
    <row r="120" customFormat="false" ht="17.25" hidden="false" customHeight="true" outlineLevel="0" collapsed="false">
      <c r="A120" s="102"/>
      <c r="B120" s="106" t="s">
        <v>6327</v>
      </c>
      <c r="C120" s="106"/>
      <c r="D120" s="106"/>
      <c r="E120" s="106"/>
      <c r="F120" s="106"/>
      <c r="G120" s="106"/>
      <c r="H120" s="106"/>
      <c r="I120" s="102"/>
      <c r="J120" s="102"/>
      <c r="K120" s="102"/>
      <c r="L120" s="102"/>
      <c r="M120" s="102"/>
      <c r="N120" s="102"/>
      <c r="O120" s="102"/>
    </row>
    <row r="121" customFormat="false" ht="17.25" hidden="false" customHeight="true" outlineLevel="0" collapsed="false">
      <c r="A121" s="102"/>
      <c r="B121" s="106" t="s">
        <v>6328</v>
      </c>
      <c r="C121" s="106"/>
      <c r="D121" s="106"/>
      <c r="E121" s="106"/>
      <c r="F121" s="106"/>
      <c r="G121" s="106"/>
      <c r="H121" s="106"/>
      <c r="I121" s="102"/>
      <c r="J121" s="102"/>
      <c r="K121" s="102"/>
      <c r="L121" s="102"/>
      <c r="M121" s="102"/>
      <c r="N121" s="102"/>
      <c r="O121" s="102"/>
    </row>
    <row r="122" customFormat="false" ht="17.25" hidden="false" customHeight="true" outlineLevel="0" collapsed="false">
      <c r="A122" s="102"/>
      <c r="B122" s="106" t="s">
        <v>6329</v>
      </c>
      <c r="C122" s="106"/>
      <c r="D122" s="106"/>
      <c r="E122" s="106"/>
      <c r="F122" s="106"/>
      <c r="G122" s="106"/>
      <c r="H122" s="106"/>
      <c r="I122" s="102"/>
      <c r="J122" s="102"/>
      <c r="K122" s="102"/>
      <c r="L122" s="102"/>
      <c r="M122" s="102"/>
      <c r="N122" s="102"/>
      <c r="O122" s="102"/>
    </row>
    <row r="123" customFormat="false" ht="31.5" hidden="false" customHeight="true" outlineLevel="0" collapsed="false">
      <c r="A123" s="102"/>
      <c r="B123" s="106" t="s">
        <v>6330</v>
      </c>
      <c r="C123" s="106"/>
      <c r="D123" s="106"/>
      <c r="E123" s="106"/>
      <c r="F123" s="106"/>
      <c r="G123" s="106"/>
      <c r="H123" s="106"/>
      <c r="I123" s="102"/>
      <c r="J123" s="102"/>
      <c r="K123" s="102"/>
      <c r="L123" s="102"/>
      <c r="M123" s="102"/>
      <c r="N123" s="102"/>
      <c r="O123" s="102"/>
    </row>
    <row r="124" customFormat="false" ht="15" hidden="false" customHeight="true" outlineLevel="0" collapsed="false">
      <c r="A124" s="102"/>
      <c r="B124" s="102"/>
      <c r="C124" s="102"/>
      <c r="D124" s="102"/>
      <c r="E124" s="102"/>
      <c r="F124" s="102"/>
      <c r="G124" s="102"/>
      <c r="H124" s="102"/>
      <c r="I124" s="102"/>
      <c r="J124" s="102"/>
      <c r="K124" s="102"/>
      <c r="L124" s="102"/>
      <c r="M124" s="102"/>
      <c r="N124" s="102"/>
      <c r="O124" s="102"/>
    </row>
    <row r="125" customFormat="false" ht="15.75" hidden="false" customHeight="true" outlineLevel="0" collapsed="false">
      <c r="A125" s="102"/>
      <c r="B125" s="103" t="s">
        <v>1513</v>
      </c>
      <c r="C125" s="104"/>
      <c r="D125" s="104"/>
      <c r="E125" s="104"/>
      <c r="F125" s="104"/>
      <c r="G125" s="104"/>
      <c r="H125" s="104"/>
      <c r="I125" s="104"/>
      <c r="J125" s="104"/>
      <c r="K125" s="104"/>
      <c r="L125" s="102"/>
      <c r="M125" s="102"/>
      <c r="N125" s="102"/>
      <c r="O125" s="102"/>
    </row>
    <row r="126" customFormat="false" ht="17.25" hidden="false" customHeight="true" outlineLevel="0" collapsed="false">
      <c r="A126" s="102"/>
      <c r="B126" s="118" t="s">
        <v>1514</v>
      </c>
      <c r="C126" s="118"/>
      <c r="D126" s="118"/>
      <c r="E126" s="118"/>
      <c r="F126" s="102"/>
      <c r="G126" s="102"/>
      <c r="H126" s="102"/>
      <c r="I126" s="102"/>
      <c r="J126" s="102"/>
      <c r="K126" s="102"/>
      <c r="L126" s="102"/>
      <c r="M126" s="102"/>
      <c r="N126" s="119" t="s">
        <v>1515</v>
      </c>
      <c r="O126" s="102"/>
    </row>
    <row r="127" customFormat="false" ht="58.5" hidden="false" customHeight="true" outlineLevel="0" collapsed="false">
      <c r="A127" s="102"/>
      <c r="B127" s="106" t="s">
        <v>6331</v>
      </c>
      <c r="C127" s="106"/>
      <c r="D127" s="106"/>
      <c r="E127" s="106"/>
      <c r="F127" s="102"/>
      <c r="G127" s="102"/>
      <c r="H127" s="102"/>
      <c r="I127" s="102"/>
      <c r="J127" s="102"/>
      <c r="K127" s="102"/>
      <c r="L127" s="102"/>
      <c r="M127" s="102"/>
      <c r="N127" s="120" t="s">
        <v>6332</v>
      </c>
      <c r="O127" s="102"/>
    </row>
    <row r="128" customFormat="false" ht="58.5" hidden="false" customHeight="true" outlineLevel="0" collapsed="false">
      <c r="A128" s="102"/>
      <c r="B128" s="106" t="s">
        <v>6333</v>
      </c>
      <c r="C128" s="106"/>
      <c r="D128" s="106"/>
      <c r="E128" s="106"/>
      <c r="F128" s="102"/>
      <c r="G128" s="102"/>
      <c r="H128" s="102"/>
      <c r="I128" s="102"/>
      <c r="J128" s="102"/>
      <c r="K128" s="102"/>
      <c r="L128" s="102"/>
      <c r="M128" s="102"/>
      <c r="N128" s="120" t="s">
        <v>6334</v>
      </c>
      <c r="O128" s="102"/>
    </row>
    <row r="129" customFormat="false" ht="58.5" hidden="false" customHeight="true" outlineLevel="0" collapsed="false">
      <c r="A129" s="102"/>
      <c r="B129" s="106" t="s">
        <v>6335</v>
      </c>
      <c r="C129" s="106"/>
      <c r="D129" s="106"/>
      <c r="E129" s="106"/>
      <c r="F129" s="102"/>
      <c r="G129" s="102"/>
      <c r="H129" s="102"/>
      <c r="I129" s="102"/>
      <c r="J129" s="102"/>
      <c r="K129" s="102"/>
      <c r="L129" s="102"/>
      <c r="M129" s="102"/>
      <c r="N129" s="120" t="s">
        <v>6336</v>
      </c>
      <c r="O129" s="102"/>
    </row>
    <row r="130" customFormat="false" ht="15" hidden="false" customHeight="true" outlineLevel="0" collapsed="false">
      <c r="A130" s="102"/>
      <c r="B130" s="102"/>
      <c r="C130" s="102"/>
      <c r="D130" s="102"/>
      <c r="E130" s="102"/>
      <c r="F130" s="102"/>
      <c r="G130" s="102"/>
      <c r="H130" s="102"/>
      <c r="I130" s="102"/>
      <c r="J130" s="102"/>
      <c r="K130" s="102"/>
      <c r="L130" s="102"/>
      <c r="M130" s="102"/>
      <c r="N130" s="102"/>
      <c r="O130" s="102"/>
    </row>
    <row r="131" customFormat="false" ht="15.75" hidden="false" customHeight="true" outlineLevel="0" collapsed="false">
      <c r="A131" s="102"/>
      <c r="B131" s="103" t="s">
        <v>1522</v>
      </c>
      <c r="C131" s="104"/>
      <c r="D131" s="104"/>
      <c r="E131" s="104"/>
      <c r="F131" s="104"/>
      <c r="G131" s="104"/>
      <c r="H131" s="104"/>
      <c r="I131" s="104"/>
      <c r="J131" s="104"/>
      <c r="K131" s="104"/>
      <c r="L131" s="102"/>
      <c r="M131" s="102"/>
      <c r="N131" s="102"/>
      <c r="O131" s="102"/>
    </row>
    <row r="132" customFormat="false" ht="16.5" hidden="false" customHeight="true" outlineLevel="0" collapsed="false">
      <c r="A132" s="102"/>
      <c r="B132" s="108" t="s">
        <v>1523</v>
      </c>
      <c r="C132" s="108" t="s">
        <v>1524</v>
      </c>
      <c r="D132" s="108" t="s">
        <v>1615</v>
      </c>
      <c r="E132" s="102"/>
      <c r="F132" s="102"/>
      <c r="G132" s="102"/>
      <c r="H132" s="102"/>
      <c r="I132" s="102"/>
      <c r="J132" s="102"/>
      <c r="K132" s="102"/>
      <c r="L132" s="102"/>
      <c r="M132" s="102"/>
      <c r="N132" s="102"/>
      <c r="O132" s="102"/>
    </row>
    <row r="133" customFormat="false" ht="15" hidden="false" customHeight="true" outlineLevel="0" collapsed="false">
      <c r="A133" s="102"/>
      <c r="B133" s="121" t="s">
        <v>5895</v>
      </c>
      <c r="C133" s="121" t="s">
        <v>2076</v>
      </c>
      <c r="D133" s="121" t="s">
        <v>964</v>
      </c>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 hidden="false" customHeight="true" outlineLevel="0" collapsed="false">
      <c r="A137" s="102"/>
      <c r="B137" s="102"/>
      <c r="C137" s="102"/>
      <c r="D137" s="102"/>
      <c r="E137" s="102"/>
      <c r="F137" s="102"/>
      <c r="G137" s="102"/>
      <c r="H137" s="102"/>
      <c r="I137" s="102"/>
      <c r="J137" s="102"/>
      <c r="K137" s="102"/>
      <c r="L137" s="102"/>
      <c r="M137" s="102"/>
      <c r="N137" s="102"/>
      <c r="O137" s="102"/>
    </row>
    <row r="138" customFormat="false" ht="15" hidden="false" customHeight="true" outlineLevel="0" collapsed="false">
      <c r="A138" s="102"/>
      <c r="B138" s="102"/>
      <c r="C138" s="102"/>
      <c r="D138" s="102"/>
      <c r="E138" s="102"/>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44">
    <mergeCell ref="B2:J2"/>
    <mergeCell ref="D3:F3"/>
    <mergeCell ref="C6:G6"/>
    <mergeCell ref="C7:G7"/>
    <mergeCell ref="C8:G8"/>
    <mergeCell ref="B11:H14"/>
    <mergeCell ref="B15:H17"/>
    <mergeCell ref="B18:H19"/>
    <mergeCell ref="B22:D22"/>
    <mergeCell ref="E22:H22"/>
    <mergeCell ref="B23:D23"/>
    <mergeCell ref="E23:H23"/>
    <mergeCell ref="B24:D24"/>
    <mergeCell ref="E24:H24"/>
    <mergeCell ref="B25:D25"/>
    <mergeCell ref="E25:H25"/>
    <mergeCell ref="B33:H33"/>
    <mergeCell ref="B34:H35"/>
    <mergeCell ref="B36:H37"/>
    <mergeCell ref="B38:H39"/>
    <mergeCell ref="B40:H41"/>
    <mergeCell ref="B50:H50"/>
    <mergeCell ref="C51:D51"/>
    <mergeCell ref="B80:H80"/>
    <mergeCell ref="F81:G81"/>
    <mergeCell ref="F82:G82"/>
    <mergeCell ref="F83:G83"/>
    <mergeCell ref="F84:G84"/>
    <mergeCell ref="F85:G85"/>
    <mergeCell ref="F86:G86"/>
    <mergeCell ref="F87:G87"/>
    <mergeCell ref="F88:G88"/>
    <mergeCell ref="F89:G89"/>
    <mergeCell ref="F90:G90"/>
    <mergeCell ref="F91:G91"/>
    <mergeCell ref="C112:G112"/>
    <mergeCell ref="B120:H120"/>
    <mergeCell ref="B121:H121"/>
    <mergeCell ref="B122:H122"/>
    <mergeCell ref="B123:H123"/>
    <mergeCell ref="B126:E126"/>
    <mergeCell ref="B127:E127"/>
    <mergeCell ref="B128:E128"/>
    <mergeCell ref="B129:E129"/>
  </mergeCells>
  <hyperlinks>
    <hyperlink ref="B3" location="'N-03 Index DMAIC'!A1" display="← Back to Index"/>
    <hyperlink ref="E28" location="'E-49 I-MR Chart'!A1" display="E-49  Individuals and Moving Range Chart"/>
    <hyperlink ref="E29" location="'E-32 Normality Testing'!A1" display="E-32  Normality Testing and Probability Plots"/>
    <hyperlink ref="E30" location="'E-20 Sample Size'!A1" display="E-20  Sample Size Determination"/>
    <hyperlink ref="B133" location="'E-51 Xbar-S Chart'!A1" display="E-51  Xbar-S Chart"/>
    <hyperlink ref="C133" location="'E-58 Non-Normal Capability'!A1" display="E-58  Non-Normal and Attribute Capability, Z-bench"/>
    <hyperlink ref="D133" location="'E-32 Normality Testing'!A1" display="E-32  Normality Testing and Probability Plo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6337</v>
      </c>
      <c r="C2" s="3"/>
      <c r="D2" s="3"/>
      <c r="E2" s="3"/>
      <c r="F2" s="3"/>
      <c r="G2" s="3"/>
      <c r="H2" s="3"/>
      <c r="I2" s="3"/>
      <c r="J2" s="3"/>
      <c r="K2" s="46" t="s">
        <v>1389</v>
      </c>
    </row>
    <row r="3" customFormat="false" ht="28.5" hidden="false" customHeight="true" outlineLevel="0" collapsed="false">
      <c r="B3" s="5" t="s">
        <v>3</v>
      </c>
      <c r="D3" s="6" t="s">
        <v>6338</v>
      </c>
      <c r="E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6339</v>
      </c>
      <c r="D6" s="106"/>
      <c r="E6" s="106"/>
      <c r="F6" s="106"/>
      <c r="G6" s="106"/>
      <c r="H6" s="102"/>
      <c r="I6" s="102"/>
      <c r="J6" s="102"/>
      <c r="K6" s="102"/>
      <c r="L6" s="102"/>
      <c r="M6" s="102"/>
      <c r="N6" s="102"/>
      <c r="O6" s="102"/>
    </row>
    <row r="7" customFormat="false" ht="17.25" hidden="false" customHeight="true" outlineLevel="0" collapsed="false">
      <c r="A7" s="102"/>
      <c r="B7" s="105" t="s">
        <v>1394</v>
      </c>
      <c r="C7" s="106" t="s">
        <v>6340</v>
      </c>
      <c r="D7" s="106"/>
      <c r="E7" s="106"/>
      <c r="F7" s="106"/>
      <c r="G7" s="106"/>
      <c r="H7" s="102"/>
      <c r="I7" s="102"/>
      <c r="J7" s="102"/>
      <c r="K7" s="102"/>
      <c r="L7" s="102"/>
      <c r="M7" s="102"/>
      <c r="N7" s="102"/>
      <c r="O7" s="102"/>
    </row>
    <row r="8" customFormat="false" ht="31.5" hidden="false" customHeight="true" outlineLevel="0" collapsed="false">
      <c r="A8" s="102"/>
      <c r="B8" s="105" t="s">
        <v>1396</v>
      </c>
      <c r="C8" s="106" t="s">
        <v>6341</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5" hidden="false" customHeight="true" outlineLevel="0" collapsed="false">
      <c r="A11" s="102"/>
      <c r="B11" s="106" t="s">
        <v>6342</v>
      </c>
      <c r="C11" s="106"/>
      <c r="D11" s="106"/>
      <c r="E11" s="106"/>
      <c r="F11" s="106"/>
      <c r="G11" s="106"/>
      <c r="H11" s="106"/>
      <c r="I11" s="102"/>
      <c r="J11" s="102"/>
      <c r="K11" s="102"/>
      <c r="L11" s="102"/>
      <c r="M11" s="102"/>
      <c r="N11" s="102"/>
      <c r="O11" s="102"/>
    </row>
    <row r="12" customFormat="false" ht="15" hidden="false" customHeight="true" outlineLevel="0" collapsed="false">
      <c r="A12" s="102"/>
      <c r="B12" s="106"/>
      <c r="C12" s="106"/>
      <c r="D12" s="106"/>
      <c r="E12" s="106"/>
      <c r="F12" s="106"/>
      <c r="G12" s="106"/>
      <c r="H12" s="106"/>
      <c r="I12" s="102"/>
      <c r="J12" s="102"/>
      <c r="K12" s="102"/>
      <c r="L12" s="102"/>
      <c r="M12" s="102"/>
      <c r="N12" s="102"/>
      <c r="O12" s="102"/>
    </row>
    <row r="13" customFormat="false" ht="15" hidden="false" customHeight="true" outlineLevel="0" collapsed="false">
      <c r="A13" s="102"/>
      <c r="B13" s="106"/>
      <c r="C13" s="106"/>
      <c r="D13" s="106"/>
      <c r="E13" s="106"/>
      <c r="F13" s="106"/>
      <c r="G13" s="106"/>
      <c r="H13" s="106"/>
      <c r="I13" s="102"/>
      <c r="J13" s="102"/>
      <c r="K13" s="102"/>
      <c r="L13" s="102"/>
      <c r="M13" s="102"/>
      <c r="N13" s="102"/>
      <c r="O13" s="102"/>
    </row>
    <row r="14" customFormat="false" ht="15.75" hidden="false" customHeight="true" outlineLevel="0" collapsed="false">
      <c r="A14" s="102"/>
      <c r="B14" s="106" t="s">
        <v>6343</v>
      </c>
      <c r="C14" s="106"/>
      <c r="D14" s="106"/>
      <c r="E14" s="106"/>
      <c r="F14" s="106"/>
      <c r="G14" s="106"/>
      <c r="H14" s="106"/>
      <c r="I14" s="102"/>
      <c r="J14" s="102"/>
      <c r="K14" s="102"/>
      <c r="L14" s="102"/>
      <c r="M14" s="102"/>
      <c r="N14" s="102"/>
      <c r="O14" s="102"/>
    </row>
    <row r="15" customFormat="false" ht="15.75" hidden="false" customHeight="true" outlineLevel="0" collapsed="false">
      <c r="A15" s="102"/>
      <c r="B15" s="106"/>
      <c r="C15" s="106"/>
      <c r="D15" s="106"/>
      <c r="E15" s="106"/>
      <c r="F15" s="106"/>
      <c r="G15" s="106"/>
      <c r="H15" s="106"/>
      <c r="I15" s="102"/>
      <c r="J15" s="102"/>
      <c r="K15" s="102"/>
      <c r="L15" s="102"/>
      <c r="M15" s="102"/>
      <c r="N15" s="102"/>
      <c r="O15" s="102"/>
    </row>
    <row r="16" customFormat="false" ht="17.25" hidden="false" customHeight="true" outlineLevel="0" collapsed="false">
      <c r="A16" s="102"/>
      <c r="B16" s="106" t="s">
        <v>6344</v>
      </c>
      <c r="C16" s="106"/>
      <c r="D16" s="106"/>
      <c r="E16" s="106"/>
      <c r="F16" s="106"/>
      <c r="G16" s="106"/>
      <c r="H16" s="106"/>
      <c r="I16" s="102"/>
      <c r="J16" s="102"/>
      <c r="K16" s="102"/>
      <c r="L16" s="102"/>
      <c r="M16" s="102"/>
      <c r="N16" s="102"/>
      <c r="O16" s="102"/>
    </row>
    <row r="17" customFormat="false" ht="10.5" hidden="false" customHeight="true" outlineLevel="0" collapsed="false">
      <c r="A17" s="102"/>
      <c r="B17" s="106" t="s">
        <v>6345</v>
      </c>
      <c r="C17" s="106"/>
      <c r="D17" s="106"/>
      <c r="E17" s="106"/>
      <c r="F17" s="106"/>
      <c r="G17" s="106"/>
      <c r="H17" s="106"/>
      <c r="I17" s="102"/>
      <c r="J17" s="102"/>
      <c r="K17" s="102"/>
      <c r="L17" s="102"/>
      <c r="M17" s="102"/>
      <c r="N17" s="102"/>
      <c r="O17" s="102"/>
    </row>
    <row r="18" customFormat="false" ht="10.5" hidden="false" customHeight="true" outlineLevel="0" collapsed="false">
      <c r="A18" s="102"/>
      <c r="B18" s="106"/>
      <c r="C18" s="106"/>
      <c r="D18" s="106"/>
      <c r="E18" s="106"/>
      <c r="F18" s="106"/>
      <c r="G18" s="106"/>
      <c r="H18" s="106"/>
      <c r="I18" s="102"/>
      <c r="J18" s="102"/>
      <c r="K18" s="102"/>
      <c r="L18" s="102"/>
      <c r="M18" s="102"/>
      <c r="N18" s="102"/>
      <c r="O18" s="102"/>
    </row>
    <row r="19" customFormat="false" ht="10.5" hidden="false" customHeight="true" outlineLevel="0" collapsed="false">
      <c r="A19" s="102"/>
      <c r="B19" s="106"/>
      <c r="C19" s="106"/>
      <c r="D19" s="106"/>
      <c r="E19" s="106"/>
      <c r="F19" s="106"/>
      <c r="G19" s="106"/>
      <c r="H19" s="106"/>
      <c r="I19" s="102"/>
      <c r="J19" s="102"/>
      <c r="K19" s="102"/>
      <c r="L19" s="102"/>
      <c r="M19" s="102"/>
      <c r="N19" s="102"/>
      <c r="O19" s="102"/>
    </row>
    <row r="20" customFormat="false" ht="15" hidden="false" customHeight="true" outlineLevel="0" collapsed="false">
      <c r="A20" s="102"/>
      <c r="B20" s="102"/>
      <c r="C20" s="102"/>
      <c r="D20" s="102"/>
      <c r="E20" s="102"/>
      <c r="F20" s="102"/>
      <c r="G20" s="102"/>
      <c r="H20" s="102"/>
      <c r="I20" s="102"/>
      <c r="J20" s="102"/>
      <c r="K20" s="102"/>
      <c r="L20" s="102"/>
      <c r="M20" s="102"/>
      <c r="N20" s="102"/>
      <c r="O20" s="102"/>
    </row>
    <row r="21" customFormat="false" ht="15.75" hidden="false" customHeight="true" outlineLevel="0" collapsed="false">
      <c r="A21" s="102"/>
      <c r="B21" s="103" t="s">
        <v>1406</v>
      </c>
      <c r="C21" s="104"/>
      <c r="D21" s="104"/>
      <c r="E21" s="104"/>
      <c r="F21" s="104"/>
      <c r="G21" s="104"/>
      <c r="H21" s="104"/>
      <c r="I21" s="104"/>
      <c r="J21" s="104"/>
      <c r="K21" s="104"/>
      <c r="L21" s="102"/>
      <c r="M21" s="102"/>
      <c r="N21" s="102"/>
      <c r="O21" s="102"/>
    </row>
    <row r="22" customFormat="false" ht="17.25" hidden="false" customHeight="true" outlineLevel="0" collapsed="false">
      <c r="A22" s="102"/>
      <c r="B22" s="107" t="s">
        <v>1407</v>
      </c>
      <c r="C22" s="107"/>
      <c r="D22" s="107"/>
      <c r="E22" s="107" t="s">
        <v>1408</v>
      </c>
      <c r="F22" s="107"/>
      <c r="G22" s="107"/>
      <c r="H22" s="107"/>
      <c r="I22" s="102"/>
      <c r="J22" s="102"/>
      <c r="K22" s="102"/>
      <c r="L22" s="102"/>
      <c r="M22" s="102"/>
      <c r="N22" s="102"/>
      <c r="O22" s="102"/>
    </row>
    <row r="23" customFormat="false" ht="31.5" hidden="false" customHeight="true" outlineLevel="0" collapsed="false">
      <c r="A23" s="102"/>
      <c r="B23" s="106" t="s">
        <v>6346</v>
      </c>
      <c r="C23" s="106"/>
      <c r="D23" s="106"/>
      <c r="E23" s="106" t="s">
        <v>6347</v>
      </c>
      <c r="F23" s="106"/>
      <c r="G23" s="106"/>
      <c r="H23" s="106"/>
      <c r="I23" s="102"/>
      <c r="J23" s="102"/>
      <c r="K23" s="102"/>
      <c r="L23" s="102"/>
      <c r="M23" s="102"/>
      <c r="N23" s="102"/>
      <c r="O23" s="102"/>
    </row>
    <row r="24" customFormat="false" ht="45.75" hidden="false" customHeight="true" outlineLevel="0" collapsed="false">
      <c r="A24" s="102"/>
      <c r="B24" s="106" t="s">
        <v>6348</v>
      </c>
      <c r="C24" s="106"/>
      <c r="D24" s="106"/>
      <c r="E24" s="106" t="s">
        <v>6349</v>
      </c>
      <c r="F24" s="106"/>
      <c r="G24" s="106"/>
      <c r="H24" s="106"/>
      <c r="I24" s="102"/>
      <c r="J24" s="102"/>
      <c r="K24" s="102"/>
      <c r="L24" s="102"/>
      <c r="M24" s="102"/>
      <c r="N24" s="102"/>
      <c r="O24" s="102"/>
    </row>
    <row r="25" customFormat="false" ht="17.25" hidden="false" customHeight="true" outlineLevel="0" collapsed="false">
      <c r="A25" s="102"/>
      <c r="B25" s="106" t="s">
        <v>6350</v>
      </c>
      <c r="C25" s="106"/>
      <c r="D25" s="106"/>
      <c r="E25" s="106"/>
      <c r="F25" s="106"/>
      <c r="G25" s="106"/>
      <c r="H25" s="106"/>
      <c r="I25" s="102"/>
      <c r="J25" s="102"/>
      <c r="K25" s="102"/>
      <c r="L25" s="102"/>
      <c r="M25" s="102"/>
      <c r="N25" s="102"/>
      <c r="O25" s="102"/>
    </row>
    <row r="26" customFormat="false" ht="15" hidden="false" customHeight="true" outlineLevel="0" collapsed="false">
      <c r="A26" s="102"/>
      <c r="B26" s="102"/>
      <c r="C26" s="102"/>
      <c r="D26" s="102"/>
      <c r="E26" s="102"/>
      <c r="F26" s="102"/>
      <c r="G26" s="102"/>
      <c r="H26" s="102"/>
      <c r="I26" s="102"/>
      <c r="J26" s="102"/>
      <c r="K26" s="102"/>
      <c r="L26" s="102"/>
      <c r="M26" s="102"/>
      <c r="N26" s="102"/>
      <c r="O26" s="102"/>
    </row>
    <row r="27" customFormat="false" ht="30.75" hidden="false" customHeight="true" outlineLevel="0" collapsed="false">
      <c r="A27" s="102"/>
      <c r="B27" s="108" t="s">
        <v>1416</v>
      </c>
      <c r="C27" s="108" t="s">
        <v>1417</v>
      </c>
      <c r="D27" s="108" t="s">
        <v>1418</v>
      </c>
      <c r="E27" s="108" t="s">
        <v>1419</v>
      </c>
      <c r="F27" s="102"/>
      <c r="G27" s="102"/>
      <c r="H27" s="102"/>
      <c r="I27" s="102"/>
      <c r="J27" s="102"/>
      <c r="K27" s="102"/>
      <c r="L27" s="102"/>
      <c r="M27" s="102"/>
      <c r="N27" s="102"/>
      <c r="O27" s="102"/>
    </row>
    <row r="28" customFormat="false" ht="86.25" hidden="false" customHeight="true" outlineLevel="0" collapsed="false">
      <c r="A28" s="102"/>
      <c r="B28" s="15" t="s">
        <v>6351</v>
      </c>
      <c r="C28" s="15" t="s">
        <v>6352</v>
      </c>
      <c r="D28" s="15" t="s">
        <v>6353</v>
      </c>
      <c r="E28" s="109" t="s">
        <v>973</v>
      </c>
      <c r="F28" s="102"/>
      <c r="G28" s="102"/>
      <c r="H28" s="102"/>
      <c r="I28" s="102"/>
      <c r="J28" s="102"/>
      <c r="K28" s="102"/>
      <c r="L28" s="102"/>
      <c r="M28" s="102"/>
      <c r="N28" s="102"/>
      <c r="O28" s="102"/>
    </row>
    <row r="29" customFormat="false" ht="44.25" hidden="false" customHeight="true" outlineLevel="0" collapsed="false">
      <c r="A29" s="102"/>
      <c r="B29" s="15" t="s">
        <v>6354</v>
      </c>
      <c r="C29" s="15" t="s">
        <v>6355</v>
      </c>
      <c r="D29" s="15" t="s">
        <v>6356</v>
      </c>
      <c r="E29" s="109" t="s">
        <v>964</v>
      </c>
      <c r="F29" s="102"/>
      <c r="G29" s="102"/>
      <c r="H29" s="102"/>
      <c r="I29" s="102"/>
      <c r="J29" s="102"/>
      <c r="K29" s="102"/>
      <c r="L29" s="102"/>
      <c r="M29" s="102"/>
      <c r="N29" s="102"/>
      <c r="O29" s="102"/>
    </row>
    <row r="30" customFormat="false" ht="44.25" hidden="false" customHeight="true" outlineLevel="0" collapsed="false">
      <c r="A30" s="102"/>
      <c r="B30" s="15" t="s">
        <v>6357</v>
      </c>
      <c r="C30" s="15" t="s">
        <v>6358</v>
      </c>
      <c r="D30" s="15" t="s">
        <v>6359</v>
      </c>
      <c r="E30" s="109" t="s">
        <v>1072</v>
      </c>
      <c r="F30" s="102"/>
      <c r="G30" s="102"/>
      <c r="H30" s="102"/>
      <c r="I30" s="102"/>
      <c r="J30" s="102"/>
      <c r="K30" s="102"/>
      <c r="L30" s="102"/>
      <c r="M30" s="102"/>
      <c r="N30" s="102"/>
      <c r="O30" s="102"/>
    </row>
    <row r="31" customFormat="false" ht="15" hidden="false" customHeight="true" outlineLevel="0" collapsed="false">
      <c r="A31" s="102"/>
      <c r="B31" s="102"/>
      <c r="C31" s="102"/>
      <c r="D31" s="102"/>
      <c r="E31" s="102"/>
      <c r="F31" s="102"/>
      <c r="G31" s="102"/>
      <c r="H31" s="102"/>
      <c r="I31" s="102"/>
      <c r="J31" s="102"/>
      <c r="K31" s="102"/>
      <c r="L31" s="102"/>
      <c r="M31" s="102"/>
      <c r="N31" s="102"/>
      <c r="O31" s="102"/>
    </row>
    <row r="32" customFormat="false" ht="15.75" hidden="false" customHeight="true" outlineLevel="0" collapsed="false">
      <c r="A32" s="102"/>
      <c r="B32" s="103" t="s">
        <v>1429</v>
      </c>
      <c r="C32" s="104"/>
      <c r="D32" s="104"/>
      <c r="E32" s="104"/>
      <c r="F32" s="104"/>
      <c r="G32" s="104"/>
      <c r="H32" s="104"/>
      <c r="I32" s="104"/>
      <c r="J32" s="104"/>
      <c r="K32" s="104"/>
      <c r="L32" s="102"/>
      <c r="M32" s="102"/>
      <c r="N32" s="102"/>
      <c r="O32" s="102"/>
    </row>
    <row r="33" customFormat="false" ht="17.25" hidden="false" customHeight="true" outlineLevel="0" collapsed="false">
      <c r="A33" s="102"/>
      <c r="B33" s="106" t="s">
        <v>6360</v>
      </c>
      <c r="C33" s="106"/>
      <c r="D33" s="106"/>
      <c r="E33" s="106"/>
      <c r="F33" s="106"/>
      <c r="G33" s="106"/>
      <c r="H33" s="106"/>
      <c r="I33" s="102"/>
      <c r="J33" s="102"/>
      <c r="K33" s="102"/>
      <c r="L33" s="102"/>
      <c r="M33" s="102"/>
      <c r="N33" s="102"/>
      <c r="O33" s="102"/>
    </row>
    <row r="34" customFormat="false" ht="10.5" hidden="false" customHeight="true" outlineLevel="0" collapsed="false">
      <c r="A34" s="102"/>
      <c r="B34" s="106" t="s">
        <v>6361</v>
      </c>
      <c r="C34" s="106"/>
      <c r="D34" s="106"/>
      <c r="E34" s="106"/>
      <c r="F34" s="106"/>
      <c r="G34" s="106"/>
      <c r="H34" s="106"/>
      <c r="I34" s="102"/>
      <c r="J34" s="102"/>
      <c r="K34" s="102"/>
      <c r="L34" s="102"/>
      <c r="M34" s="102"/>
      <c r="N34" s="102"/>
      <c r="O34" s="102"/>
    </row>
    <row r="35" customFormat="false" ht="10.5" hidden="false" customHeight="true" outlineLevel="0" collapsed="false">
      <c r="A35" s="102"/>
      <c r="B35" s="106"/>
      <c r="C35" s="106"/>
      <c r="D35" s="106"/>
      <c r="E35" s="106"/>
      <c r="F35" s="106"/>
      <c r="G35" s="106"/>
      <c r="H35" s="106"/>
      <c r="I35" s="102"/>
      <c r="J35" s="102"/>
      <c r="K35" s="102"/>
      <c r="L35" s="102"/>
      <c r="M35" s="102"/>
      <c r="N35" s="102"/>
      <c r="O35" s="102"/>
    </row>
    <row r="36" customFormat="false" ht="10.5" hidden="false" customHeight="true" outlineLevel="0" collapsed="false">
      <c r="A36" s="102"/>
      <c r="B36" s="106"/>
      <c r="C36" s="106"/>
      <c r="D36" s="106"/>
      <c r="E36" s="106"/>
      <c r="F36" s="106"/>
      <c r="G36" s="106"/>
      <c r="H36" s="106"/>
      <c r="I36" s="102"/>
      <c r="J36" s="102"/>
      <c r="K36" s="102"/>
      <c r="L36" s="102"/>
      <c r="M36" s="102"/>
      <c r="N36" s="102"/>
      <c r="O36" s="102"/>
    </row>
    <row r="37" customFormat="false" ht="16.5" hidden="false" customHeight="true" outlineLevel="0" collapsed="false">
      <c r="A37" s="102"/>
      <c r="B37" s="122" t="s">
        <v>6362</v>
      </c>
      <c r="C37" s="102"/>
      <c r="D37" s="102"/>
      <c r="E37" s="102"/>
      <c r="F37" s="102"/>
      <c r="G37" s="102"/>
      <c r="H37" s="102"/>
      <c r="I37" s="102"/>
      <c r="J37" s="102"/>
      <c r="K37" s="102"/>
      <c r="L37" s="102"/>
      <c r="M37" s="102"/>
      <c r="N37" s="102"/>
      <c r="O37" s="102"/>
    </row>
    <row r="38" customFormat="false" ht="17.25" hidden="false" customHeight="true" outlineLevel="0" collapsed="false">
      <c r="A38" s="102"/>
      <c r="B38" s="106" t="s">
        <v>6363</v>
      </c>
      <c r="C38" s="106"/>
      <c r="D38" s="106"/>
      <c r="E38" s="106"/>
      <c r="F38" s="106"/>
      <c r="G38" s="106"/>
      <c r="H38" s="106"/>
      <c r="I38" s="102"/>
      <c r="J38" s="102"/>
      <c r="K38" s="102"/>
      <c r="L38" s="102"/>
      <c r="M38" s="102"/>
      <c r="N38" s="102"/>
      <c r="O38" s="102"/>
    </row>
    <row r="39" customFormat="false" ht="17.25" hidden="false" customHeight="true" outlineLevel="0" collapsed="false">
      <c r="A39" s="102"/>
      <c r="B39" s="106" t="s">
        <v>6364</v>
      </c>
      <c r="C39" s="106"/>
      <c r="D39" s="106"/>
      <c r="E39" s="106"/>
      <c r="F39" s="106"/>
      <c r="G39" s="106"/>
      <c r="H39" s="106"/>
      <c r="I39" s="102"/>
      <c r="J39" s="102"/>
      <c r="K39" s="102"/>
      <c r="L39" s="102"/>
      <c r="M39" s="102"/>
      <c r="N39" s="102"/>
      <c r="O39" s="102"/>
    </row>
    <row r="40" customFormat="false" ht="15" hidden="false" customHeight="true" outlineLevel="0" collapsed="false">
      <c r="A40" s="102"/>
      <c r="B40" s="102"/>
      <c r="C40" s="102"/>
      <c r="D40" s="102"/>
      <c r="E40" s="102"/>
      <c r="F40" s="102"/>
      <c r="G40" s="102"/>
      <c r="H40" s="102"/>
      <c r="I40" s="102"/>
      <c r="J40" s="102"/>
      <c r="K40" s="102"/>
      <c r="L40" s="102"/>
      <c r="M40" s="102"/>
      <c r="N40" s="102"/>
      <c r="O40" s="102"/>
    </row>
    <row r="41" customFormat="false" ht="15.75" hidden="false" customHeight="true" outlineLevel="0" collapsed="false">
      <c r="A41" s="102"/>
      <c r="B41" s="103" t="s">
        <v>1437</v>
      </c>
      <c r="C41" s="104"/>
      <c r="D41" s="104"/>
      <c r="E41" s="104"/>
      <c r="F41" s="104"/>
      <c r="G41" s="104"/>
      <c r="H41" s="104"/>
      <c r="I41" s="104"/>
      <c r="J41" s="104"/>
      <c r="K41" s="104"/>
      <c r="L41" s="102"/>
      <c r="M41" s="102"/>
      <c r="N41" s="102"/>
      <c r="O41" s="102"/>
    </row>
    <row r="42" customFormat="false" ht="16.5" hidden="false" customHeight="true" outlineLevel="0" collapsed="false">
      <c r="A42" s="102"/>
      <c r="B42" s="108" t="s">
        <v>1438</v>
      </c>
      <c r="C42" s="108" t="s">
        <v>1439</v>
      </c>
      <c r="D42" s="108" t="s">
        <v>1440</v>
      </c>
      <c r="E42" s="102"/>
      <c r="F42" s="102"/>
      <c r="G42" s="102"/>
      <c r="H42" s="102"/>
      <c r="I42" s="102"/>
      <c r="J42" s="102"/>
      <c r="K42" s="102"/>
      <c r="L42" s="102"/>
      <c r="M42" s="102"/>
      <c r="N42" s="102"/>
      <c r="O42" s="102"/>
    </row>
    <row r="43" customFormat="false" ht="30.75" hidden="false" customHeight="true" outlineLevel="0" collapsed="false">
      <c r="A43" s="102"/>
      <c r="B43" s="110" t="s">
        <v>6365</v>
      </c>
      <c r="C43" s="111" t="s">
        <v>6366</v>
      </c>
      <c r="D43" s="15" t="s">
        <v>6367</v>
      </c>
      <c r="E43" s="102"/>
      <c r="F43" s="102"/>
      <c r="G43" s="102"/>
      <c r="H43" s="102"/>
      <c r="I43" s="102"/>
      <c r="J43" s="102"/>
      <c r="K43" s="102"/>
      <c r="L43" s="102"/>
      <c r="M43" s="102"/>
      <c r="N43" s="102"/>
      <c r="O43" s="102"/>
    </row>
    <row r="44" customFormat="false" ht="30.75" hidden="false" customHeight="true" outlineLevel="0" collapsed="false">
      <c r="A44" s="102"/>
      <c r="B44" s="110" t="s">
        <v>1574</v>
      </c>
      <c r="C44" s="111" t="s">
        <v>6368</v>
      </c>
      <c r="D44" s="15" t="s">
        <v>6369</v>
      </c>
      <c r="E44" s="102"/>
      <c r="F44" s="102"/>
      <c r="G44" s="102"/>
      <c r="H44" s="102"/>
      <c r="I44" s="102"/>
      <c r="J44" s="102"/>
      <c r="K44" s="102"/>
      <c r="L44" s="102"/>
      <c r="M44" s="102"/>
      <c r="N44" s="102"/>
      <c r="O44" s="102"/>
    </row>
    <row r="45" customFormat="false" ht="15" hidden="false" customHeight="true" outlineLevel="0" collapsed="false">
      <c r="A45" s="102"/>
      <c r="B45" s="102"/>
      <c r="C45" s="102"/>
      <c r="D45" s="102"/>
      <c r="E45" s="102"/>
      <c r="F45" s="102"/>
      <c r="G45" s="102"/>
      <c r="H45" s="102"/>
      <c r="I45" s="102"/>
      <c r="J45" s="102"/>
      <c r="K45" s="102"/>
      <c r="L45" s="102"/>
      <c r="M45" s="102"/>
      <c r="N45" s="102"/>
      <c r="O45" s="102"/>
    </row>
    <row r="46" customFormat="false" ht="15.75" hidden="false" customHeight="true" outlineLevel="0" collapsed="false">
      <c r="A46" s="102"/>
      <c r="B46" s="103" t="s">
        <v>1454</v>
      </c>
      <c r="C46" s="104"/>
      <c r="D46" s="104"/>
      <c r="E46" s="104"/>
      <c r="F46" s="104"/>
      <c r="G46" s="104"/>
      <c r="H46" s="104"/>
      <c r="I46" s="104"/>
      <c r="J46" s="104"/>
      <c r="K46" s="104"/>
      <c r="L46" s="102"/>
      <c r="M46" s="102"/>
      <c r="N46" s="102"/>
      <c r="O46" s="102"/>
    </row>
    <row r="47" customFormat="false" ht="17.25" hidden="false" customHeight="true" outlineLevel="0" collapsed="false">
      <c r="A47" s="102"/>
      <c r="B47" s="106" t="s">
        <v>6370</v>
      </c>
      <c r="C47" s="106"/>
      <c r="D47" s="106"/>
      <c r="E47" s="106"/>
      <c r="F47" s="106"/>
      <c r="G47" s="106"/>
      <c r="H47" s="106"/>
      <c r="I47" s="102"/>
      <c r="J47" s="102"/>
      <c r="K47" s="102"/>
      <c r="L47" s="102"/>
      <c r="M47" s="102"/>
      <c r="N47" s="102"/>
      <c r="O47" s="102"/>
    </row>
    <row r="48" customFormat="false" ht="17.25" hidden="false" customHeight="true" outlineLevel="0" collapsed="false">
      <c r="A48" s="102"/>
      <c r="B48" s="112" t="s">
        <v>85</v>
      </c>
      <c r="C48" s="113" t="s">
        <v>86</v>
      </c>
      <c r="D48" s="113"/>
      <c r="E48" s="102"/>
      <c r="F48" s="102"/>
      <c r="G48" s="102"/>
      <c r="H48" s="102"/>
      <c r="I48" s="102"/>
      <c r="J48" s="102"/>
      <c r="K48" s="102"/>
      <c r="L48" s="102"/>
      <c r="M48" s="102"/>
      <c r="N48" s="102"/>
      <c r="O48" s="102"/>
    </row>
    <row r="49" customFormat="false" ht="15" hidden="false" customHeight="true" outlineLevel="0" collapsed="false">
      <c r="A49" s="102"/>
      <c r="B49" s="102"/>
      <c r="C49" s="102"/>
      <c r="D49" s="102"/>
      <c r="E49" s="102"/>
      <c r="F49" s="102"/>
      <c r="G49" s="102"/>
      <c r="H49" s="102"/>
      <c r="I49" s="102"/>
      <c r="J49" s="102"/>
      <c r="K49" s="102"/>
      <c r="L49" s="102"/>
      <c r="M49" s="102"/>
      <c r="N49" s="102"/>
      <c r="O49" s="102"/>
    </row>
    <row r="50" customFormat="false" ht="15" hidden="false" customHeight="true" outlineLevel="0" collapsed="false">
      <c r="A50" s="102"/>
      <c r="B50" s="105" t="s">
        <v>6371</v>
      </c>
      <c r="C50" s="114" t="n">
        <v>90</v>
      </c>
      <c r="D50" s="102"/>
      <c r="E50" s="102"/>
      <c r="F50" s="102"/>
      <c r="G50" s="102"/>
      <c r="H50" s="102"/>
      <c r="I50" s="102"/>
      <c r="J50" s="102"/>
      <c r="K50" s="102"/>
      <c r="L50" s="102"/>
      <c r="M50" s="102"/>
      <c r="N50" s="102"/>
      <c r="O50" s="102"/>
    </row>
    <row r="51" customFormat="false" ht="15" hidden="false" customHeight="true" outlineLevel="0" collapsed="false">
      <c r="A51" s="102"/>
      <c r="B51" s="102"/>
      <c r="C51" s="102"/>
      <c r="D51" s="102"/>
      <c r="E51" s="102"/>
      <c r="F51" s="102"/>
      <c r="G51" s="102"/>
      <c r="H51" s="102"/>
      <c r="I51" s="102"/>
      <c r="J51" s="102"/>
      <c r="K51" s="102"/>
      <c r="L51" s="102"/>
      <c r="M51" s="102"/>
      <c r="N51" s="102"/>
      <c r="O51" s="102"/>
    </row>
    <row r="52" customFormat="false" ht="16.5" hidden="false" customHeight="true" outlineLevel="0" collapsed="false">
      <c r="A52" s="102"/>
      <c r="B52" s="108" t="s">
        <v>6372</v>
      </c>
      <c r="C52" s="108" t="s">
        <v>6373</v>
      </c>
      <c r="D52" s="102"/>
      <c r="E52" s="102"/>
      <c r="F52" s="102"/>
      <c r="G52" s="102"/>
      <c r="H52" s="102"/>
      <c r="I52" s="102"/>
      <c r="J52" s="102"/>
      <c r="K52" s="102"/>
      <c r="L52" s="102"/>
      <c r="M52" s="102"/>
      <c r="N52" s="102"/>
      <c r="O52" s="102"/>
    </row>
    <row r="53" customFormat="false" ht="15" hidden="false" customHeight="true" outlineLevel="0" collapsed="false">
      <c r="A53" s="102"/>
      <c r="B53" s="123" t="n">
        <v>1</v>
      </c>
      <c r="C53" s="139" t="n">
        <v>39.6</v>
      </c>
      <c r="D53" s="102"/>
      <c r="E53" s="102"/>
      <c r="F53" s="102"/>
      <c r="G53" s="102"/>
      <c r="H53" s="102"/>
      <c r="I53" s="102"/>
      <c r="J53" s="102"/>
      <c r="K53" s="102"/>
      <c r="L53" s="102"/>
      <c r="M53" s="102"/>
      <c r="N53" s="102"/>
      <c r="O53" s="102"/>
    </row>
    <row r="54" customFormat="false" ht="15" hidden="false" customHeight="true" outlineLevel="0" collapsed="false">
      <c r="A54" s="102"/>
      <c r="B54" s="123" t="n">
        <v>2</v>
      </c>
      <c r="C54" s="139" t="n">
        <v>19.2</v>
      </c>
      <c r="D54" s="102"/>
      <c r="E54" s="102"/>
      <c r="F54" s="102"/>
      <c r="G54" s="102"/>
      <c r="H54" s="102"/>
      <c r="I54" s="102"/>
      <c r="J54" s="102"/>
      <c r="K54" s="102"/>
      <c r="L54" s="102"/>
      <c r="M54" s="102"/>
      <c r="N54" s="102"/>
      <c r="O54" s="102"/>
    </row>
    <row r="55" customFormat="false" ht="15" hidden="false" customHeight="true" outlineLevel="0" collapsed="false">
      <c r="A55" s="102"/>
      <c r="B55" s="123" t="n">
        <v>3</v>
      </c>
      <c r="C55" s="139" t="n">
        <v>31.2</v>
      </c>
      <c r="D55" s="102"/>
      <c r="E55" s="102"/>
      <c r="F55" s="102"/>
      <c r="G55" s="102"/>
      <c r="H55" s="102"/>
      <c r="I55" s="102"/>
      <c r="J55" s="102"/>
      <c r="K55" s="102"/>
      <c r="L55" s="102"/>
      <c r="M55" s="102"/>
      <c r="N55" s="102"/>
      <c r="O55" s="102"/>
    </row>
    <row r="56" customFormat="false" ht="15" hidden="false" customHeight="true" outlineLevel="0" collapsed="false">
      <c r="A56" s="102"/>
      <c r="B56" s="123" t="n">
        <v>4</v>
      </c>
      <c r="C56" s="139" t="n">
        <v>54.8</v>
      </c>
      <c r="D56" s="102"/>
      <c r="E56" s="102"/>
      <c r="F56" s="102"/>
      <c r="G56" s="102"/>
      <c r="H56" s="102"/>
      <c r="I56" s="102"/>
      <c r="J56" s="102"/>
      <c r="K56" s="102"/>
      <c r="L56" s="102"/>
      <c r="M56" s="102"/>
      <c r="N56" s="102"/>
      <c r="O56" s="102"/>
    </row>
    <row r="57" customFormat="false" ht="15" hidden="false" customHeight="true" outlineLevel="0" collapsed="false">
      <c r="A57" s="102"/>
      <c r="B57" s="123" t="n">
        <v>5</v>
      </c>
      <c r="C57" s="139" t="n">
        <v>36.1</v>
      </c>
      <c r="D57" s="102"/>
      <c r="E57" s="102"/>
      <c r="F57" s="102"/>
      <c r="G57" s="102"/>
      <c r="H57" s="102"/>
      <c r="I57" s="102"/>
      <c r="J57" s="102"/>
      <c r="K57" s="102"/>
      <c r="L57" s="102"/>
      <c r="M57" s="102"/>
      <c r="N57" s="102"/>
      <c r="O57" s="102"/>
    </row>
    <row r="58" customFormat="false" ht="15" hidden="false" customHeight="true" outlineLevel="0" collapsed="false">
      <c r="A58" s="102"/>
      <c r="B58" s="123" t="n">
        <v>6</v>
      </c>
      <c r="C58" s="139" t="n">
        <v>17.5</v>
      </c>
      <c r="D58" s="102"/>
      <c r="E58" s="102"/>
      <c r="F58" s="102"/>
      <c r="G58" s="102"/>
      <c r="H58" s="102"/>
      <c r="I58" s="102"/>
      <c r="J58" s="102"/>
      <c r="K58" s="102"/>
      <c r="L58" s="102"/>
      <c r="M58" s="102"/>
      <c r="N58" s="102"/>
      <c r="O58" s="102"/>
    </row>
    <row r="59" customFormat="false" ht="15" hidden="false" customHeight="true" outlineLevel="0" collapsed="false">
      <c r="A59" s="102"/>
      <c r="B59" s="123" t="n">
        <v>7</v>
      </c>
      <c r="C59" s="139" t="n">
        <v>31.5</v>
      </c>
      <c r="D59" s="102"/>
      <c r="E59" s="102"/>
      <c r="F59" s="102"/>
      <c r="G59" s="102"/>
      <c r="H59" s="102"/>
      <c r="I59" s="102"/>
      <c r="J59" s="102"/>
      <c r="K59" s="102"/>
      <c r="L59" s="102"/>
      <c r="M59" s="102"/>
      <c r="N59" s="102"/>
      <c r="O59" s="102"/>
    </row>
    <row r="60" customFormat="false" ht="15" hidden="false" customHeight="true" outlineLevel="0" collapsed="false">
      <c r="A60" s="102"/>
      <c r="B60" s="123" t="n">
        <v>8</v>
      </c>
      <c r="C60" s="139" t="n">
        <v>14.5</v>
      </c>
      <c r="D60" s="102"/>
      <c r="E60" s="102"/>
      <c r="F60" s="102"/>
      <c r="G60" s="102"/>
      <c r="H60" s="102"/>
      <c r="I60" s="102"/>
      <c r="J60" s="102"/>
      <c r="K60" s="102"/>
      <c r="L60" s="102"/>
      <c r="M60" s="102"/>
      <c r="N60" s="102"/>
      <c r="O60" s="102"/>
    </row>
    <row r="61" customFormat="false" ht="15" hidden="false" customHeight="true" outlineLevel="0" collapsed="false">
      <c r="A61" s="102"/>
      <c r="B61" s="123" t="n">
        <v>9</v>
      </c>
      <c r="C61" s="139" t="n">
        <v>55.3</v>
      </c>
      <c r="D61" s="102"/>
      <c r="E61" s="102"/>
      <c r="F61" s="102"/>
      <c r="G61" s="102"/>
      <c r="H61" s="102"/>
      <c r="I61" s="102"/>
      <c r="J61" s="102"/>
      <c r="K61" s="102"/>
      <c r="L61" s="102"/>
      <c r="M61" s="102"/>
      <c r="N61" s="102"/>
      <c r="O61" s="102"/>
    </row>
    <row r="62" customFormat="false" ht="15" hidden="false" customHeight="true" outlineLevel="0" collapsed="false">
      <c r="A62" s="102"/>
      <c r="B62" s="123" t="n">
        <v>10</v>
      </c>
      <c r="C62" s="139" t="n">
        <v>50.2</v>
      </c>
      <c r="D62" s="102"/>
      <c r="E62" s="102"/>
      <c r="F62" s="102"/>
      <c r="G62" s="102"/>
      <c r="H62" s="102"/>
      <c r="I62" s="102"/>
      <c r="J62" s="102"/>
      <c r="K62" s="102"/>
      <c r="L62" s="102"/>
      <c r="M62" s="102"/>
      <c r="N62" s="102"/>
      <c r="O62" s="102"/>
    </row>
    <row r="63" customFormat="false" ht="15" hidden="false" customHeight="true" outlineLevel="0" collapsed="false">
      <c r="A63" s="102"/>
      <c r="B63" s="123" t="n">
        <v>11</v>
      </c>
      <c r="C63" s="139" t="n">
        <v>22.7</v>
      </c>
      <c r="D63" s="102"/>
      <c r="E63" s="102"/>
      <c r="F63" s="102"/>
      <c r="G63" s="102"/>
      <c r="H63" s="102"/>
      <c r="I63" s="102"/>
      <c r="J63" s="102"/>
      <c r="K63" s="102"/>
      <c r="L63" s="102"/>
      <c r="M63" s="102"/>
      <c r="N63" s="102"/>
      <c r="O63" s="102"/>
    </row>
    <row r="64" customFormat="false" ht="15" hidden="false" customHeight="true" outlineLevel="0" collapsed="false">
      <c r="A64" s="102"/>
      <c r="B64" s="123" t="n">
        <v>12</v>
      </c>
      <c r="C64" s="139" t="n">
        <v>27.5</v>
      </c>
      <c r="D64" s="102"/>
      <c r="E64" s="102"/>
      <c r="F64" s="102"/>
      <c r="G64" s="102"/>
      <c r="H64" s="102"/>
      <c r="I64" s="102"/>
      <c r="J64" s="102"/>
      <c r="K64" s="102"/>
      <c r="L64" s="102"/>
      <c r="M64" s="102"/>
      <c r="N64" s="102"/>
      <c r="O64" s="102"/>
    </row>
    <row r="65" customFormat="false" ht="15" hidden="false" customHeight="true" outlineLevel="0" collapsed="false">
      <c r="A65" s="102"/>
      <c r="B65" s="123" t="n">
        <v>13</v>
      </c>
      <c r="C65" s="139" t="n">
        <v>18.5</v>
      </c>
      <c r="D65" s="102"/>
      <c r="E65" s="102"/>
      <c r="F65" s="102"/>
      <c r="G65" s="102"/>
      <c r="H65" s="102"/>
      <c r="I65" s="102"/>
      <c r="J65" s="102"/>
      <c r="K65" s="102"/>
      <c r="L65" s="102"/>
      <c r="M65" s="102"/>
      <c r="N65" s="102"/>
      <c r="O65" s="102"/>
    </row>
    <row r="66" customFormat="false" ht="15" hidden="false" customHeight="true" outlineLevel="0" collapsed="false">
      <c r="A66" s="102"/>
      <c r="B66" s="123" t="n">
        <v>14</v>
      </c>
      <c r="C66" s="139" t="n">
        <v>33.2</v>
      </c>
      <c r="D66" s="102"/>
      <c r="E66" s="102"/>
      <c r="F66" s="102"/>
      <c r="G66" s="102"/>
      <c r="H66" s="102"/>
      <c r="I66" s="102"/>
      <c r="J66" s="102"/>
      <c r="K66" s="102"/>
      <c r="L66" s="102"/>
      <c r="M66" s="102"/>
      <c r="N66" s="102"/>
      <c r="O66" s="102"/>
    </row>
    <row r="67" customFormat="false" ht="15" hidden="false" customHeight="true" outlineLevel="0" collapsed="false">
      <c r="A67" s="102"/>
      <c r="B67" s="123" t="n">
        <v>15</v>
      </c>
      <c r="C67" s="139" t="n">
        <v>43.3</v>
      </c>
      <c r="D67" s="102"/>
      <c r="E67" s="102"/>
      <c r="F67" s="102"/>
      <c r="G67" s="102"/>
      <c r="H67" s="102"/>
      <c r="I67" s="102"/>
      <c r="J67" s="102"/>
      <c r="K67" s="102"/>
      <c r="L67" s="102"/>
      <c r="M67" s="102"/>
      <c r="N67" s="102"/>
      <c r="O67" s="102"/>
    </row>
    <row r="68" customFormat="false" ht="15" hidden="false" customHeight="true" outlineLevel="0" collapsed="false">
      <c r="A68" s="102"/>
      <c r="B68" s="123" t="n">
        <v>16</v>
      </c>
      <c r="C68" s="139" t="n">
        <v>44.6</v>
      </c>
      <c r="D68" s="102"/>
      <c r="E68" s="102"/>
      <c r="F68" s="102"/>
      <c r="G68" s="102"/>
      <c r="H68" s="102"/>
      <c r="I68" s="102"/>
      <c r="J68" s="102"/>
      <c r="K68" s="102"/>
      <c r="L68" s="102"/>
      <c r="M68" s="102"/>
      <c r="N68" s="102"/>
      <c r="O68" s="102"/>
    </row>
    <row r="69" customFormat="false" ht="15" hidden="false" customHeight="true" outlineLevel="0" collapsed="false">
      <c r="A69" s="102"/>
      <c r="B69" s="123" t="n">
        <v>17</v>
      </c>
      <c r="C69" s="139" t="n">
        <v>32.8</v>
      </c>
      <c r="D69" s="102"/>
      <c r="E69" s="102"/>
      <c r="F69" s="102"/>
      <c r="G69" s="102"/>
      <c r="H69" s="102"/>
      <c r="I69" s="102"/>
      <c r="J69" s="102"/>
      <c r="K69" s="102"/>
      <c r="L69" s="102"/>
      <c r="M69" s="102"/>
      <c r="N69" s="102"/>
      <c r="O69" s="102"/>
    </row>
    <row r="70" customFormat="false" ht="15" hidden="false" customHeight="true" outlineLevel="0" collapsed="false">
      <c r="A70" s="102"/>
      <c r="B70" s="123" t="n">
        <v>18</v>
      </c>
      <c r="C70" s="139" t="n">
        <v>42.8</v>
      </c>
      <c r="D70" s="102"/>
      <c r="E70" s="102"/>
      <c r="F70" s="102"/>
      <c r="G70" s="102"/>
      <c r="H70" s="102"/>
      <c r="I70" s="102"/>
      <c r="J70" s="102"/>
      <c r="K70" s="102"/>
      <c r="L70" s="102"/>
      <c r="M70" s="102"/>
      <c r="N70" s="102"/>
      <c r="O70" s="102"/>
    </row>
    <row r="71" customFormat="false" ht="15" hidden="false" customHeight="true" outlineLevel="0" collapsed="false">
      <c r="A71" s="102"/>
      <c r="B71" s="123" t="n">
        <v>19</v>
      </c>
      <c r="C71" s="139" t="n">
        <v>41</v>
      </c>
      <c r="D71" s="102"/>
      <c r="E71" s="102"/>
      <c r="F71" s="102"/>
      <c r="G71" s="102"/>
      <c r="H71" s="102"/>
      <c r="I71" s="102"/>
      <c r="J71" s="102"/>
      <c r="K71" s="102"/>
      <c r="L71" s="102"/>
      <c r="M71" s="102"/>
      <c r="N71" s="102"/>
      <c r="O71" s="102"/>
    </row>
    <row r="72" customFormat="false" ht="15" hidden="false" customHeight="true" outlineLevel="0" collapsed="false">
      <c r="A72" s="102"/>
      <c r="B72" s="123" t="n">
        <v>20</v>
      </c>
      <c r="C72" s="139" t="n">
        <v>65.2</v>
      </c>
      <c r="D72" s="102"/>
      <c r="E72" s="102"/>
      <c r="F72" s="102"/>
      <c r="G72" s="102"/>
      <c r="H72" s="102"/>
      <c r="I72" s="102"/>
      <c r="J72" s="102"/>
      <c r="K72" s="102"/>
      <c r="L72" s="102"/>
      <c r="M72" s="102"/>
      <c r="N72" s="102"/>
      <c r="O72" s="102"/>
    </row>
    <row r="73" customFormat="false" ht="15" hidden="false" customHeight="true" outlineLevel="0" collapsed="false">
      <c r="A73" s="102"/>
      <c r="B73" s="123" t="n">
        <v>21</v>
      </c>
      <c r="C73" s="139" t="n">
        <v>22</v>
      </c>
      <c r="D73" s="102"/>
      <c r="E73" s="102"/>
      <c r="F73" s="102"/>
      <c r="G73" s="102"/>
      <c r="H73" s="102"/>
      <c r="I73" s="102"/>
      <c r="J73" s="102"/>
      <c r="K73" s="102"/>
      <c r="L73" s="102"/>
      <c r="M73" s="102"/>
      <c r="N73" s="102"/>
      <c r="O73" s="102"/>
    </row>
    <row r="74" customFormat="false" ht="15" hidden="false" customHeight="true" outlineLevel="0" collapsed="false">
      <c r="A74" s="102"/>
      <c r="B74" s="123" t="n">
        <v>22</v>
      </c>
      <c r="C74" s="139" t="n">
        <v>35.3</v>
      </c>
      <c r="D74" s="102"/>
      <c r="E74" s="102"/>
      <c r="F74" s="102"/>
      <c r="G74" s="102"/>
      <c r="H74" s="102"/>
      <c r="I74" s="102"/>
      <c r="J74" s="102"/>
      <c r="K74" s="102"/>
      <c r="L74" s="102"/>
      <c r="M74" s="102"/>
      <c r="N74" s="102"/>
      <c r="O74" s="102"/>
    </row>
    <row r="75" customFormat="false" ht="15" hidden="false" customHeight="true" outlineLevel="0" collapsed="false">
      <c r="A75" s="102"/>
      <c r="B75" s="123" t="n">
        <v>23</v>
      </c>
      <c r="C75" s="139" t="n">
        <v>37.1</v>
      </c>
      <c r="D75" s="102"/>
      <c r="E75" s="102"/>
      <c r="F75" s="102"/>
      <c r="G75" s="102"/>
      <c r="H75" s="102"/>
      <c r="I75" s="102"/>
      <c r="J75" s="102"/>
      <c r="K75" s="102"/>
      <c r="L75" s="102"/>
      <c r="M75" s="102"/>
      <c r="N75" s="102"/>
      <c r="O75" s="102"/>
    </row>
    <row r="76" customFormat="false" ht="15" hidden="false" customHeight="true" outlineLevel="0" collapsed="false">
      <c r="A76" s="102"/>
      <c r="B76" s="123" t="n">
        <v>24</v>
      </c>
      <c r="C76" s="139" t="n">
        <v>23.8</v>
      </c>
      <c r="D76" s="102"/>
      <c r="E76" s="102"/>
      <c r="F76" s="102"/>
      <c r="G76" s="102"/>
      <c r="H76" s="102"/>
      <c r="I76" s="102"/>
      <c r="J76" s="102"/>
      <c r="K76" s="102"/>
      <c r="L76" s="102"/>
      <c r="M76" s="102"/>
      <c r="N76" s="102"/>
      <c r="O76" s="102"/>
    </row>
    <row r="77" customFormat="false" ht="15" hidden="false" customHeight="true" outlineLevel="0" collapsed="false">
      <c r="A77" s="102"/>
      <c r="B77" s="123" t="n">
        <v>25</v>
      </c>
      <c r="C77" s="139" t="n">
        <v>36</v>
      </c>
      <c r="D77" s="102"/>
      <c r="E77" s="102"/>
      <c r="F77" s="102"/>
      <c r="G77" s="102"/>
      <c r="H77" s="102"/>
      <c r="I77" s="102"/>
      <c r="J77" s="102"/>
      <c r="K77" s="102"/>
      <c r="L77" s="102"/>
      <c r="M77" s="102"/>
      <c r="N77" s="102"/>
      <c r="O77" s="102"/>
    </row>
    <row r="78" customFormat="false" ht="15" hidden="false" customHeight="true" outlineLevel="0" collapsed="false">
      <c r="A78" s="102"/>
      <c r="B78" s="123" t="n">
        <v>26</v>
      </c>
      <c r="C78" s="139" t="n">
        <v>46.2</v>
      </c>
      <c r="D78" s="102"/>
      <c r="E78" s="102"/>
      <c r="F78" s="102"/>
      <c r="G78" s="102"/>
      <c r="H78" s="102"/>
      <c r="I78" s="102"/>
      <c r="J78" s="102"/>
      <c r="K78" s="102"/>
      <c r="L78" s="102"/>
      <c r="M78" s="102"/>
      <c r="N78" s="102"/>
      <c r="O78" s="102"/>
    </row>
    <row r="79" customFormat="false" ht="15" hidden="false" customHeight="true" outlineLevel="0" collapsed="false">
      <c r="A79" s="102"/>
      <c r="B79" s="123" t="n">
        <v>27</v>
      </c>
      <c r="C79" s="139" t="n">
        <v>35.2</v>
      </c>
      <c r="D79" s="102"/>
      <c r="E79" s="102"/>
      <c r="F79" s="102"/>
      <c r="G79" s="102"/>
      <c r="H79" s="102"/>
      <c r="I79" s="102"/>
      <c r="J79" s="102"/>
      <c r="K79" s="102"/>
      <c r="L79" s="102"/>
      <c r="M79" s="102"/>
      <c r="N79" s="102"/>
      <c r="O79" s="102"/>
    </row>
    <row r="80" customFormat="false" ht="15" hidden="false" customHeight="true" outlineLevel="0" collapsed="false">
      <c r="A80" s="102"/>
      <c r="B80" s="123" t="n">
        <v>28</v>
      </c>
      <c r="C80" s="139" t="n">
        <v>40.9</v>
      </c>
      <c r="D80" s="102"/>
      <c r="E80" s="102"/>
      <c r="F80" s="102"/>
      <c r="G80" s="102"/>
      <c r="H80" s="102"/>
      <c r="I80" s="102"/>
      <c r="J80" s="102"/>
      <c r="K80" s="102"/>
      <c r="L80" s="102"/>
      <c r="M80" s="102"/>
      <c r="N80" s="102"/>
      <c r="O80" s="102"/>
    </row>
    <row r="81" customFormat="false" ht="15" hidden="false" customHeight="true" outlineLevel="0" collapsed="false">
      <c r="A81" s="102"/>
      <c r="B81" s="123" t="n">
        <v>29</v>
      </c>
      <c r="C81" s="139" t="n">
        <v>25.6</v>
      </c>
      <c r="D81" s="102"/>
      <c r="E81" s="102"/>
      <c r="F81" s="102"/>
      <c r="G81" s="102"/>
      <c r="H81" s="102"/>
      <c r="I81" s="102"/>
      <c r="J81" s="102"/>
      <c r="K81" s="102"/>
      <c r="L81" s="102"/>
      <c r="M81" s="102"/>
      <c r="N81" s="102"/>
      <c r="O81" s="102"/>
    </row>
    <row r="82" customFormat="false" ht="15" hidden="false" customHeight="true" outlineLevel="0" collapsed="false">
      <c r="A82" s="102"/>
      <c r="B82" s="123" t="n">
        <v>30</v>
      </c>
      <c r="C82" s="139" t="n">
        <v>28.1</v>
      </c>
      <c r="D82" s="102"/>
      <c r="E82" s="102"/>
      <c r="F82" s="102"/>
      <c r="G82" s="102"/>
      <c r="H82" s="102"/>
      <c r="I82" s="102"/>
      <c r="J82" s="102"/>
      <c r="K82" s="102"/>
      <c r="L82" s="102"/>
      <c r="M82" s="102"/>
      <c r="N82" s="102"/>
      <c r="O82" s="102"/>
    </row>
    <row r="83" customFormat="false" ht="15" hidden="false" customHeight="true" outlineLevel="0" collapsed="false">
      <c r="A83" s="102"/>
      <c r="B83" s="102"/>
      <c r="C83" s="102"/>
      <c r="D83" s="102"/>
      <c r="E83" s="102"/>
      <c r="F83" s="102"/>
      <c r="G83" s="102"/>
      <c r="H83" s="102"/>
      <c r="I83" s="102"/>
      <c r="J83" s="102"/>
      <c r="K83" s="102"/>
      <c r="L83" s="102"/>
      <c r="M83" s="102"/>
      <c r="N83" s="102"/>
      <c r="O83" s="102"/>
    </row>
    <row r="84" customFormat="false" ht="15" hidden="false" customHeight="true" outlineLevel="0" collapsed="false">
      <c r="A84" s="102"/>
      <c r="B84" s="105" t="s">
        <v>6374</v>
      </c>
      <c r="C84" s="133" t="n">
        <f aca="false">PERCENTILE(C53:C82,0.00135)</f>
        <v>14.61745</v>
      </c>
      <c r="D84" s="102"/>
      <c r="E84" s="102"/>
      <c r="F84" s="102"/>
      <c r="G84" s="102"/>
      <c r="H84" s="102"/>
      <c r="I84" s="102"/>
      <c r="J84" s="102"/>
      <c r="K84" s="102"/>
      <c r="L84" s="102"/>
      <c r="M84" s="102"/>
      <c r="N84" s="102"/>
      <c r="O84" s="102"/>
    </row>
    <row r="85" customFormat="false" ht="15" hidden="false" customHeight="true" outlineLevel="0" collapsed="false">
      <c r="A85" s="102"/>
      <c r="B85" s="105" t="s">
        <v>6375</v>
      </c>
      <c r="C85" s="133" t="n">
        <f aca="false">PERCENTILE(C53:C82,0.5)</f>
        <v>35.25</v>
      </c>
      <c r="D85" s="102"/>
      <c r="E85" s="102"/>
      <c r="F85" s="102"/>
      <c r="G85" s="102"/>
      <c r="H85" s="102"/>
      <c r="I85" s="102"/>
      <c r="J85" s="102"/>
      <c r="K85" s="102"/>
      <c r="L85" s="102"/>
      <c r="M85" s="102"/>
      <c r="N85" s="102"/>
      <c r="O85" s="102"/>
    </row>
    <row r="86" customFormat="false" ht="15" hidden="false" customHeight="true" outlineLevel="0" collapsed="false">
      <c r="A86" s="102"/>
      <c r="B86" s="105" t="s">
        <v>6376</v>
      </c>
      <c r="C86" s="133" t="n">
        <f aca="false">PERCENTILE(C53:C82,0.99865)</f>
        <v>64.812415</v>
      </c>
      <c r="D86" s="102"/>
      <c r="E86" s="102"/>
      <c r="F86" s="102"/>
      <c r="G86" s="102"/>
      <c r="H86" s="102"/>
      <c r="I86" s="102"/>
      <c r="J86" s="102"/>
      <c r="K86" s="102"/>
      <c r="L86" s="102"/>
      <c r="M86" s="102"/>
      <c r="N86" s="102"/>
      <c r="O86" s="102"/>
    </row>
    <row r="87" customFormat="false" ht="15" hidden="false" customHeight="true" outlineLevel="0" collapsed="false">
      <c r="A87" s="102"/>
      <c r="B87" s="105" t="s">
        <v>6377</v>
      </c>
      <c r="C87" s="133" t="n">
        <f aca="false">(C50-C85)/(C86-C85)</f>
        <v>1.85201378168867</v>
      </c>
      <c r="D87" s="102"/>
      <c r="E87" s="102"/>
      <c r="F87" s="102"/>
      <c r="G87" s="102"/>
      <c r="H87" s="102"/>
      <c r="I87" s="102"/>
      <c r="J87" s="102"/>
      <c r="K87" s="102"/>
      <c r="L87" s="102"/>
      <c r="M87" s="102"/>
      <c r="N87" s="102"/>
      <c r="O87" s="102"/>
    </row>
    <row r="88" customFormat="false" ht="15" hidden="false" customHeight="true" outlineLevel="0" collapsed="false">
      <c r="A88" s="102"/>
      <c r="B88" s="105" t="s">
        <v>6378</v>
      </c>
      <c r="C88" s="128" t="n">
        <f aca="false">COUNTIF(C53:C82,"&gt;"&amp;C50)/COUNT(C53:C82)</f>
        <v>0</v>
      </c>
      <c r="D88" s="102"/>
      <c r="E88" s="102"/>
      <c r="F88" s="102"/>
      <c r="G88" s="102"/>
      <c r="H88" s="102"/>
      <c r="I88" s="102"/>
      <c r="J88" s="102"/>
      <c r="K88" s="102"/>
      <c r="L88" s="102"/>
      <c r="M88" s="102"/>
      <c r="N88" s="102"/>
      <c r="O88" s="102"/>
    </row>
    <row r="89" customFormat="false" ht="15" hidden="false" customHeight="true" outlineLevel="0" collapsed="false">
      <c r="A89" s="102"/>
      <c r="B89" s="102"/>
      <c r="C89" s="102"/>
      <c r="D89" s="102"/>
      <c r="E89" s="102"/>
      <c r="F89" s="102"/>
      <c r="G89" s="102"/>
      <c r="H89" s="102"/>
      <c r="I89" s="102"/>
      <c r="J89" s="102"/>
      <c r="K89" s="102"/>
      <c r="L89" s="102"/>
      <c r="M89" s="102"/>
      <c r="N89" s="102"/>
      <c r="O89" s="102"/>
    </row>
    <row r="90" customFormat="false" ht="15.75" hidden="false" customHeight="true" outlineLevel="0" collapsed="false">
      <c r="A90" s="102"/>
      <c r="B90" s="103" t="s">
        <v>1493</v>
      </c>
      <c r="C90" s="104"/>
      <c r="D90" s="104"/>
      <c r="E90" s="104"/>
      <c r="F90" s="104"/>
      <c r="G90" s="104"/>
      <c r="H90" s="104"/>
      <c r="I90" s="104"/>
      <c r="J90" s="104"/>
      <c r="K90" s="104"/>
      <c r="L90" s="102"/>
      <c r="M90" s="102"/>
      <c r="N90" s="102"/>
      <c r="O90" s="102"/>
    </row>
    <row r="91" customFormat="false" ht="18.75" hidden="false" customHeight="true" outlineLevel="0" collapsed="false">
      <c r="A91" s="102"/>
      <c r="B91" s="105" t="s">
        <v>1494</v>
      </c>
      <c r="C91" s="117" t="str">
        <f aca="false">IF(C87&gt;=1.33,"Capable on the percentile method: Ppu = "&amp;TEXT(C87,"0.00")&amp;" (≥1.33).","Not yet capable on the percentile method: Ppu = "&amp;TEXT(C87,"0.00")&amp;" (&lt;1.33). "&amp;TEXT(C88,"0.0%")&amp;" of the sampled events already exceed the USL.")</f>
        <v>Capable on the percentile method: Ppu = 1.85 (≥1.33).</v>
      </c>
      <c r="D91" s="117"/>
      <c r="E91" s="117"/>
      <c r="F91" s="102"/>
      <c r="G91" s="102"/>
      <c r="H91" s="102"/>
      <c r="I91" s="102"/>
      <c r="J91" s="102"/>
      <c r="K91" s="102"/>
      <c r="L91" s="102"/>
      <c r="M91" s="102"/>
      <c r="N91" s="102"/>
      <c r="O91" s="102"/>
    </row>
    <row r="92" customFormat="false" ht="15" hidden="false" customHeight="true" outlineLevel="0" collapsed="false">
      <c r="A92" s="102"/>
      <c r="B92" s="102"/>
      <c r="C92" s="102"/>
      <c r="D92" s="102"/>
      <c r="E92" s="102"/>
      <c r="F92" s="102"/>
      <c r="G92" s="102"/>
      <c r="H92" s="102"/>
      <c r="I92" s="102"/>
      <c r="J92" s="102"/>
      <c r="K92" s="102"/>
      <c r="L92" s="102"/>
      <c r="M92" s="102"/>
      <c r="N92" s="102"/>
      <c r="O92" s="102"/>
    </row>
    <row r="93" customFormat="false" ht="17.25" hidden="false" customHeight="true" outlineLevel="0" collapsed="false">
      <c r="A93" s="102"/>
      <c r="B93" s="108" t="s">
        <v>1495</v>
      </c>
      <c r="C93" s="108" t="s">
        <v>1496</v>
      </c>
      <c r="D93" s="108" t="s">
        <v>1497</v>
      </c>
      <c r="E93" s="108"/>
      <c r="F93" s="102"/>
      <c r="G93" s="102"/>
      <c r="H93" s="102"/>
      <c r="I93" s="102"/>
      <c r="J93" s="102"/>
      <c r="K93" s="102"/>
      <c r="L93" s="102"/>
      <c r="M93" s="102"/>
      <c r="N93" s="102"/>
      <c r="O93" s="102"/>
    </row>
    <row r="94" customFormat="false" ht="31.5" hidden="false" customHeight="true" outlineLevel="0" collapsed="false">
      <c r="A94" s="102"/>
      <c r="B94" s="110" t="s">
        <v>6379</v>
      </c>
      <c r="C94" s="111" t="s">
        <v>6380</v>
      </c>
      <c r="D94" s="15" t="s">
        <v>6381</v>
      </c>
      <c r="E94" s="15"/>
      <c r="F94" s="102"/>
      <c r="G94" s="102"/>
      <c r="H94" s="102"/>
      <c r="I94" s="102"/>
      <c r="J94" s="102"/>
      <c r="K94" s="102"/>
      <c r="L94" s="102"/>
      <c r="M94" s="102"/>
      <c r="N94" s="102"/>
      <c r="O94" s="102"/>
    </row>
    <row r="95" customFormat="false" ht="17.25" hidden="false" customHeight="true" outlineLevel="0" collapsed="false">
      <c r="A95" s="102"/>
      <c r="B95" s="110" t="s">
        <v>1784</v>
      </c>
      <c r="C95" s="111" t="s">
        <v>6382</v>
      </c>
      <c r="D95" s="15" t="s">
        <v>6383</v>
      </c>
      <c r="E95" s="15"/>
      <c r="F95" s="102"/>
      <c r="G95" s="102"/>
      <c r="H95" s="102"/>
      <c r="I95" s="102"/>
      <c r="J95" s="102"/>
      <c r="K95" s="102"/>
      <c r="L95" s="102"/>
      <c r="M95" s="102"/>
      <c r="N95" s="102"/>
      <c r="O95" s="102"/>
    </row>
    <row r="96" customFormat="false" ht="17.25" hidden="false" customHeight="true" outlineLevel="0" collapsed="false">
      <c r="A96" s="102"/>
      <c r="B96" s="110" t="s">
        <v>6384</v>
      </c>
      <c r="C96" s="111" t="s">
        <v>6385</v>
      </c>
      <c r="D96" s="15" t="s">
        <v>6386</v>
      </c>
      <c r="E96" s="15"/>
      <c r="F96" s="102"/>
      <c r="G96" s="102"/>
      <c r="H96" s="102"/>
      <c r="I96" s="102"/>
      <c r="J96" s="102"/>
      <c r="K96" s="102"/>
      <c r="L96" s="102"/>
      <c r="M96" s="102"/>
      <c r="N96" s="102"/>
      <c r="O96" s="102"/>
    </row>
    <row r="97" customFormat="false" ht="15" hidden="false" customHeight="true" outlineLevel="0" collapsed="false">
      <c r="A97" s="102"/>
      <c r="B97" s="102"/>
      <c r="C97" s="102"/>
      <c r="D97" s="102"/>
      <c r="E97" s="102"/>
      <c r="F97" s="102"/>
      <c r="G97" s="102"/>
      <c r="H97" s="102"/>
      <c r="I97" s="102"/>
      <c r="J97" s="102"/>
      <c r="K97" s="102"/>
      <c r="L97" s="102"/>
      <c r="M97" s="102"/>
      <c r="N97" s="102"/>
      <c r="O97" s="102"/>
    </row>
    <row r="98" customFormat="false" ht="15" hidden="false" customHeight="true" outlineLevel="0" collapsed="false">
      <c r="A98" s="102"/>
      <c r="B98" s="105" t="s">
        <v>1507</v>
      </c>
      <c r="C98" s="102"/>
      <c r="D98" s="102"/>
      <c r="E98" s="102"/>
      <c r="F98" s="102"/>
      <c r="G98" s="102"/>
      <c r="H98" s="102"/>
      <c r="I98" s="102"/>
      <c r="J98" s="102"/>
      <c r="K98" s="102"/>
      <c r="L98" s="102"/>
      <c r="M98" s="102"/>
      <c r="N98" s="102"/>
      <c r="O98" s="102"/>
    </row>
    <row r="99" customFormat="false" ht="17.25" hidden="false" customHeight="true" outlineLevel="0" collapsed="false">
      <c r="A99" s="102"/>
      <c r="B99" s="106" t="s">
        <v>6387</v>
      </c>
      <c r="C99" s="106"/>
      <c r="D99" s="106"/>
      <c r="E99" s="106"/>
      <c r="F99" s="106"/>
      <c r="G99" s="106"/>
      <c r="H99" s="106"/>
      <c r="I99" s="102"/>
      <c r="J99" s="102"/>
      <c r="K99" s="102"/>
      <c r="L99" s="102"/>
      <c r="M99" s="102"/>
      <c r="N99" s="102"/>
      <c r="O99" s="102"/>
    </row>
    <row r="100" customFormat="false" ht="17.25" hidden="false" customHeight="true" outlineLevel="0" collapsed="false">
      <c r="A100" s="102"/>
      <c r="B100" s="106" t="s">
        <v>6388</v>
      </c>
      <c r="C100" s="106"/>
      <c r="D100" s="106"/>
      <c r="E100" s="106"/>
      <c r="F100" s="106"/>
      <c r="G100" s="106"/>
      <c r="H100" s="106"/>
      <c r="I100" s="102"/>
      <c r="J100" s="102"/>
      <c r="K100" s="102"/>
      <c r="L100" s="102"/>
      <c r="M100" s="102"/>
      <c r="N100" s="102"/>
      <c r="O100" s="102"/>
    </row>
    <row r="101" customFormat="false" ht="17.25" hidden="false" customHeight="true" outlineLevel="0" collapsed="false">
      <c r="A101" s="102"/>
      <c r="B101" s="106" t="s">
        <v>6389</v>
      </c>
      <c r="C101" s="106"/>
      <c r="D101" s="106"/>
      <c r="E101" s="106"/>
      <c r="F101" s="106"/>
      <c r="G101" s="106"/>
      <c r="H101" s="106"/>
      <c r="I101" s="102"/>
      <c r="J101" s="102"/>
      <c r="K101" s="102"/>
      <c r="L101" s="102"/>
      <c r="M101" s="102"/>
      <c r="N101" s="102"/>
      <c r="O101" s="102"/>
    </row>
    <row r="102" customFormat="false" ht="17.25" hidden="false" customHeight="true" outlineLevel="0" collapsed="false">
      <c r="A102" s="102"/>
      <c r="B102" s="106" t="s">
        <v>6390</v>
      </c>
      <c r="C102" s="106"/>
      <c r="D102" s="106"/>
      <c r="E102" s="106"/>
      <c r="F102" s="106"/>
      <c r="G102" s="106"/>
      <c r="H102" s="106"/>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 hidden="false" customHeight="true" outlineLevel="0" collapsed="false">
      <c r="A104" s="102"/>
      <c r="B104" s="102"/>
      <c r="C104" s="102"/>
      <c r="D104" s="102"/>
      <c r="E104" s="102"/>
      <c r="F104" s="102"/>
      <c r="G104" s="102"/>
      <c r="H104" s="102"/>
      <c r="I104" s="102"/>
      <c r="J104" s="102"/>
      <c r="K104" s="102"/>
      <c r="L104" s="102"/>
      <c r="M104" s="102"/>
      <c r="N104" s="102"/>
      <c r="O104" s="102"/>
    </row>
    <row r="105" customFormat="false" ht="17.25" hidden="false" customHeight="true" outlineLevel="0" collapsed="false">
      <c r="A105" s="102"/>
      <c r="B105" s="107" t="s">
        <v>6391</v>
      </c>
      <c r="C105" s="107"/>
      <c r="D105" s="107"/>
      <c r="E105" s="107"/>
      <c r="F105" s="107"/>
      <c r="G105" s="107"/>
      <c r="H105" s="107"/>
      <c r="I105" s="102"/>
      <c r="J105" s="102"/>
      <c r="K105" s="102"/>
      <c r="L105" s="102"/>
      <c r="M105" s="102"/>
      <c r="N105" s="102"/>
      <c r="O105" s="102"/>
    </row>
    <row r="106" customFormat="false" ht="15" hidden="false" customHeight="true" outlineLevel="0" collapsed="false">
      <c r="A106" s="102"/>
      <c r="B106" s="105" t="s">
        <v>6392</v>
      </c>
      <c r="C106" s="146" t="n">
        <v>0.021</v>
      </c>
      <c r="D106" s="102"/>
      <c r="E106" s="102"/>
      <c r="F106" s="102"/>
      <c r="G106" s="102"/>
      <c r="H106" s="102"/>
      <c r="I106" s="102"/>
      <c r="J106" s="102"/>
      <c r="K106" s="102"/>
      <c r="L106" s="102"/>
      <c r="M106" s="102"/>
      <c r="N106" s="102"/>
      <c r="O106" s="102"/>
    </row>
    <row r="107" customFormat="false" ht="15" hidden="false" customHeight="true" outlineLevel="0" collapsed="false">
      <c r="A107" s="102"/>
      <c r="B107" s="105" t="s">
        <v>6393</v>
      </c>
      <c r="C107" s="133" t="n">
        <f aca="false">NORMSINV(1-C106)</f>
        <v>2.03352014925305</v>
      </c>
      <c r="D107" s="102"/>
      <c r="E107" s="102"/>
      <c r="F107" s="102"/>
      <c r="G107" s="102"/>
      <c r="H107" s="102"/>
      <c r="I107" s="102"/>
      <c r="J107" s="102"/>
      <c r="K107" s="102"/>
      <c r="L107" s="102"/>
      <c r="M107" s="102"/>
      <c r="N107" s="102"/>
      <c r="O107" s="102"/>
    </row>
    <row r="108" customFormat="false" ht="15" hidden="false" customHeight="true" outlineLevel="0" collapsed="false">
      <c r="A108" s="102"/>
      <c r="B108" s="105" t="s">
        <v>6394</v>
      </c>
      <c r="C108" s="133" t="n">
        <f aca="false">C107+1.5</f>
        <v>3.53352014925305</v>
      </c>
      <c r="D108" s="102"/>
      <c r="E108" s="102"/>
      <c r="F108" s="102"/>
      <c r="G108" s="102"/>
      <c r="H108" s="102"/>
      <c r="I108" s="102"/>
      <c r="J108" s="102"/>
      <c r="K108" s="102"/>
      <c r="L108" s="102"/>
      <c r="M108" s="102"/>
      <c r="N108" s="102"/>
      <c r="O108" s="102"/>
    </row>
    <row r="109" customFormat="false" ht="15" hidden="false" customHeight="true" outlineLevel="0" collapsed="false">
      <c r="A109" s="102"/>
      <c r="B109" s="105" t="s">
        <v>6395</v>
      </c>
      <c r="C109" s="124" t="n">
        <f aca="false">C106*1000000</f>
        <v>21000</v>
      </c>
      <c r="D109" s="102"/>
      <c r="E109" s="102"/>
      <c r="F109" s="102"/>
      <c r="G109" s="102"/>
      <c r="H109" s="102"/>
      <c r="I109" s="102"/>
      <c r="J109" s="102"/>
      <c r="K109" s="102"/>
      <c r="L109" s="102"/>
      <c r="M109" s="102"/>
      <c r="N109" s="102"/>
      <c r="O109" s="102"/>
    </row>
    <row r="110" customFormat="false" ht="15" hidden="false" customHeight="true" outlineLevel="0" collapsed="false">
      <c r="A110" s="102"/>
      <c r="B110" s="102"/>
      <c r="C110" s="102"/>
      <c r="D110" s="102"/>
      <c r="E110" s="102"/>
      <c r="F110" s="102"/>
      <c r="G110" s="102"/>
      <c r="H110" s="102"/>
      <c r="I110" s="102"/>
      <c r="J110" s="102"/>
      <c r="K110" s="102"/>
      <c r="L110" s="102"/>
      <c r="M110" s="102"/>
      <c r="N110" s="102"/>
      <c r="O110" s="102"/>
    </row>
    <row r="111" customFormat="false" ht="15.75" hidden="false" customHeight="true" outlineLevel="0" collapsed="false">
      <c r="A111" s="102"/>
      <c r="B111" s="103" t="s">
        <v>1493</v>
      </c>
      <c r="C111" s="104"/>
      <c r="D111" s="104"/>
      <c r="E111" s="104"/>
      <c r="F111" s="104"/>
      <c r="G111" s="104"/>
      <c r="H111" s="104"/>
      <c r="I111" s="104"/>
      <c r="J111" s="104"/>
      <c r="K111" s="104"/>
      <c r="L111" s="102"/>
      <c r="M111" s="102"/>
      <c r="N111" s="102"/>
      <c r="O111" s="102"/>
    </row>
    <row r="112" customFormat="false" ht="33.75" hidden="false" customHeight="true" outlineLevel="0" collapsed="false">
      <c r="A112" s="102"/>
      <c r="B112" s="105" t="s">
        <v>1494</v>
      </c>
      <c r="C112" s="117" t="str">
        <f aca="false">IF(C107&gt;=4,"Z-bench = "&amp;TEXT(C107,"0.00")&amp;" - a defect rate this low corresponds to a mature, well-controlled process.","Z-bench = "&amp;TEXT(C107,"0.00")&amp;" - meaningful improvement opportunity remains; benchmark against the sigma levels typical for this industry.")</f>
        <v>Z-bench = 2.03 - meaningful improvement opportunity remains; benchmark against the sigma levels typical for this industry.</v>
      </c>
      <c r="D112" s="117"/>
      <c r="E112" s="117"/>
      <c r="F112" s="117"/>
      <c r="G112" s="117"/>
      <c r="H112" s="102"/>
      <c r="I112" s="102"/>
      <c r="J112" s="102"/>
      <c r="K112" s="102"/>
      <c r="L112" s="102"/>
      <c r="M112" s="102"/>
      <c r="N112" s="102"/>
      <c r="O112" s="102"/>
    </row>
    <row r="113" customFormat="false" ht="15" hidden="false" customHeight="true" outlineLevel="0" collapsed="false">
      <c r="A113" s="102"/>
      <c r="B113" s="102"/>
      <c r="C113" s="102"/>
      <c r="D113" s="102"/>
      <c r="E113" s="102"/>
      <c r="F113" s="102"/>
      <c r="G113" s="102"/>
      <c r="H113" s="102"/>
      <c r="I113" s="102"/>
      <c r="J113" s="102"/>
      <c r="K113" s="102"/>
      <c r="L113" s="102"/>
      <c r="M113" s="102"/>
      <c r="N113" s="102"/>
      <c r="O113" s="102"/>
    </row>
    <row r="114" customFormat="false" ht="17.25" hidden="false" customHeight="true" outlineLevel="0" collapsed="false">
      <c r="A114" s="102"/>
      <c r="B114" s="108" t="s">
        <v>1495</v>
      </c>
      <c r="C114" s="108" t="s">
        <v>1496</v>
      </c>
      <c r="D114" s="108" t="s">
        <v>1497</v>
      </c>
      <c r="E114" s="108"/>
      <c r="F114" s="102"/>
      <c r="G114" s="102"/>
      <c r="H114" s="102"/>
      <c r="I114" s="102"/>
      <c r="J114" s="102"/>
      <c r="K114" s="102"/>
      <c r="L114" s="102"/>
      <c r="M114" s="102"/>
      <c r="N114" s="102"/>
      <c r="O114" s="102"/>
    </row>
    <row r="115" customFormat="false" ht="17.25" hidden="false" customHeight="true" outlineLevel="0" collapsed="false">
      <c r="A115" s="102"/>
      <c r="B115" s="110" t="s">
        <v>6396</v>
      </c>
      <c r="C115" s="111" t="s">
        <v>6397</v>
      </c>
      <c r="D115" s="15" t="s">
        <v>6398</v>
      </c>
      <c r="E115" s="15"/>
      <c r="F115" s="102"/>
      <c r="G115" s="102"/>
      <c r="H115" s="102"/>
      <c r="I115" s="102"/>
      <c r="J115" s="102"/>
      <c r="K115" s="102"/>
      <c r="L115" s="102"/>
      <c r="M115" s="102"/>
      <c r="N115" s="102"/>
      <c r="O115" s="102"/>
    </row>
    <row r="116" customFormat="false" ht="31.5" hidden="false" customHeight="true" outlineLevel="0" collapsed="false">
      <c r="A116" s="102"/>
      <c r="B116" s="110" t="s">
        <v>6399</v>
      </c>
      <c r="C116" s="111" t="s">
        <v>6400</v>
      </c>
      <c r="D116" s="15" t="s">
        <v>6401</v>
      </c>
      <c r="E116" s="15"/>
      <c r="F116" s="102"/>
      <c r="G116" s="102"/>
      <c r="H116" s="102"/>
      <c r="I116" s="102"/>
      <c r="J116" s="102"/>
      <c r="K116" s="102"/>
      <c r="L116" s="102"/>
      <c r="M116" s="102"/>
      <c r="N116" s="102"/>
      <c r="O116" s="102"/>
    </row>
    <row r="117" customFormat="false" ht="17.25" hidden="false" customHeight="true" outlineLevel="0" collapsed="false">
      <c r="A117" s="102"/>
      <c r="B117" s="110" t="s">
        <v>6402</v>
      </c>
      <c r="C117" s="111" t="s">
        <v>6403</v>
      </c>
      <c r="D117" s="15" t="s">
        <v>6404</v>
      </c>
      <c r="E117" s="15"/>
      <c r="F117" s="102"/>
      <c r="G117" s="102"/>
      <c r="H117" s="102"/>
      <c r="I117" s="102"/>
      <c r="J117" s="102"/>
      <c r="K117" s="102"/>
      <c r="L117" s="102"/>
      <c r="M117" s="102"/>
      <c r="N117" s="102"/>
      <c r="O117" s="102"/>
    </row>
    <row r="118" customFormat="false" ht="15" hidden="false" customHeight="true" outlineLevel="0" collapsed="false">
      <c r="A118" s="102"/>
      <c r="B118" s="102"/>
      <c r="C118" s="102"/>
      <c r="D118" s="102"/>
      <c r="E118" s="102"/>
      <c r="F118" s="102"/>
      <c r="G118" s="102"/>
      <c r="H118" s="102"/>
      <c r="I118" s="102"/>
      <c r="J118" s="102"/>
      <c r="K118" s="102"/>
      <c r="L118" s="102"/>
      <c r="M118" s="102"/>
      <c r="N118" s="102"/>
      <c r="O118" s="102"/>
    </row>
    <row r="119" customFormat="false" ht="15" hidden="false" customHeight="true" outlineLevel="0" collapsed="false">
      <c r="A119" s="102"/>
      <c r="B119" s="105" t="s">
        <v>1507</v>
      </c>
      <c r="C119" s="102"/>
      <c r="D119" s="102"/>
      <c r="E119" s="102"/>
      <c r="F119" s="102"/>
      <c r="G119" s="102"/>
      <c r="H119" s="102"/>
      <c r="I119" s="102"/>
      <c r="J119" s="102"/>
      <c r="K119" s="102"/>
      <c r="L119" s="102"/>
      <c r="M119" s="102"/>
      <c r="N119" s="102"/>
      <c r="O119" s="102"/>
    </row>
    <row r="120" customFormat="false" ht="17.25" hidden="false" customHeight="true" outlineLevel="0" collapsed="false">
      <c r="A120" s="102"/>
      <c r="B120" s="106" t="s">
        <v>6405</v>
      </c>
      <c r="C120" s="106"/>
      <c r="D120" s="106"/>
      <c r="E120" s="106"/>
      <c r="F120" s="106"/>
      <c r="G120" s="106"/>
      <c r="H120" s="106"/>
      <c r="I120" s="102"/>
      <c r="J120" s="102"/>
      <c r="K120" s="102"/>
      <c r="L120" s="102"/>
      <c r="M120" s="102"/>
      <c r="N120" s="102"/>
      <c r="O120" s="102"/>
    </row>
    <row r="121" customFormat="false" ht="17.25" hidden="false" customHeight="true" outlineLevel="0" collapsed="false">
      <c r="A121" s="102"/>
      <c r="B121" s="106" t="s">
        <v>6406</v>
      </c>
      <c r="C121" s="106"/>
      <c r="D121" s="106"/>
      <c r="E121" s="106"/>
      <c r="F121" s="106"/>
      <c r="G121" s="106"/>
      <c r="H121" s="106"/>
      <c r="I121" s="102"/>
      <c r="J121" s="102"/>
      <c r="K121" s="102"/>
      <c r="L121" s="102"/>
      <c r="M121" s="102"/>
      <c r="N121" s="102"/>
      <c r="O121" s="102"/>
    </row>
    <row r="122" customFormat="false" ht="17.25" hidden="false" customHeight="true" outlineLevel="0" collapsed="false">
      <c r="A122" s="102"/>
      <c r="B122" s="106" t="s">
        <v>6407</v>
      </c>
      <c r="C122" s="106"/>
      <c r="D122" s="106"/>
      <c r="E122" s="106"/>
      <c r="F122" s="106"/>
      <c r="G122" s="106"/>
      <c r="H122" s="106"/>
      <c r="I122" s="102"/>
      <c r="J122" s="102"/>
      <c r="K122" s="102"/>
      <c r="L122" s="102"/>
      <c r="M122" s="102"/>
      <c r="N122" s="102"/>
      <c r="O122" s="102"/>
    </row>
    <row r="123" customFormat="false" ht="15" hidden="false" customHeight="true" outlineLevel="0" collapsed="false">
      <c r="A123" s="102"/>
      <c r="B123" s="102"/>
      <c r="C123" s="102"/>
      <c r="D123" s="102"/>
      <c r="E123" s="102"/>
      <c r="F123" s="102"/>
      <c r="G123" s="102"/>
      <c r="H123" s="102"/>
      <c r="I123" s="102"/>
      <c r="J123" s="102"/>
      <c r="K123" s="102"/>
      <c r="L123" s="102"/>
      <c r="M123" s="102"/>
      <c r="N123" s="102"/>
      <c r="O123" s="102"/>
    </row>
    <row r="124" customFormat="false" ht="15.75" hidden="false" customHeight="true" outlineLevel="0" collapsed="false">
      <c r="A124" s="102"/>
      <c r="B124" s="103" t="s">
        <v>1513</v>
      </c>
      <c r="C124" s="104"/>
      <c r="D124" s="104"/>
      <c r="E124" s="104"/>
      <c r="F124" s="104"/>
      <c r="G124" s="104"/>
      <c r="H124" s="104"/>
      <c r="I124" s="104"/>
      <c r="J124" s="104"/>
      <c r="K124" s="104"/>
      <c r="L124" s="102"/>
      <c r="M124" s="102"/>
      <c r="N124" s="102"/>
      <c r="O124" s="102"/>
    </row>
    <row r="125" customFormat="false" ht="17.25" hidden="false" customHeight="true" outlineLevel="0" collapsed="false">
      <c r="A125" s="102"/>
      <c r="B125" s="118" t="s">
        <v>1514</v>
      </c>
      <c r="C125" s="118"/>
      <c r="D125" s="118"/>
      <c r="E125" s="118"/>
      <c r="F125" s="102"/>
      <c r="G125" s="102"/>
      <c r="H125" s="102"/>
      <c r="I125" s="102"/>
      <c r="J125" s="102"/>
      <c r="K125" s="102"/>
      <c r="L125" s="102"/>
      <c r="M125" s="102"/>
      <c r="N125" s="119" t="s">
        <v>1515</v>
      </c>
      <c r="O125" s="102"/>
    </row>
    <row r="126" customFormat="false" ht="58.5" hidden="false" customHeight="true" outlineLevel="0" collapsed="false">
      <c r="A126" s="102"/>
      <c r="B126" s="106" t="s">
        <v>6408</v>
      </c>
      <c r="C126" s="106"/>
      <c r="D126" s="106"/>
      <c r="E126" s="106"/>
      <c r="F126" s="102"/>
      <c r="G126" s="102"/>
      <c r="H126" s="102"/>
      <c r="I126" s="102"/>
      <c r="J126" s="102"/>
      <c r="K126" s="102"/>
      <c r="L126" s="102"/>
      <c r="M126" s="102"/>
      <c r="N126" s="120" t="s">
        <v>6409</v>
      </c>
      <c r="O126" s="102"/>
    </row>
    <row r="127" customFormat="false" ht="44.25" hidden="false" customHeight="true" outlineLevel="0" collapsed="false">
      <c r="A127" s="102"/>
      <c r="B127" s="106" t="s">
        <v>6410</v>
      </c>
      <c r="C127" s="106"/>
      <c r="D127" s="106"/>
      <c r="E127" s="106"/>
      <c r="F127" s="102"/>
      <c r="G127" s="102"/>
      <c r="H127" s="102"/>
      <c r="I127" s="102"/>
      <c r="J127" s="102"/>
      <c r="K127" s="102"/>
      <c r="L127" s="102"/>
      <c r="M127" s="102"/>
      <c r="N127" s="120" t="s">
        <v>6411</v>
      </c>
      <c r="O127" s="102"/>
    </row>
    <row r="128" customFormat="false" ht="58.5" hidden="false" customHeight="true" outlineLevel="0" collapsed="false">
      <c r="A128" s="102"/>
      <c r="B128" s="106" t="s">
        <v>6412</v>
      </c>
      <c r="C128" s="106"/>
      <c r="D128" s="106"/>
      <c r="E128" s="106"/>
      <c r="F128" s="102"/>
      <c r="G128" s="102"/>
      <c r="H128" s="102"/>
      <c r="I128" s="102"/>
      <c r="J128" s="102"/>
      <c r="K128" s="102"/>
      <c r="L128" s="102"/>
      <c r="M128" s="102"/>
      <c r="N128" s="120" t="s">
        <v>6413</v>
      </c>
      <c r="O128" s="102"/>
    </row>
    <row r="129" customFormat="false" ht="15" hidden="false" customHeight="true" outlineLevel="0" collapsed="false">
      <c r="A129" s="102"/>
      <c r="B129" s="102"/>
      <c r="C129" s="102"/>
      <c r="D129" s="102"/>
      <c r="E129" s="102"/>
      <c r="F129" s="102"/>
      <c r="G129" s="102"/>
      <c r="H129" s="102"/>
      <c r="I129" s="102"/>
      <c r="J129" s="102"/>
      <c r="K129" s="102"/>
      <c r="L129" s="102"/>
      <c r="M129" s="102"/>
      <c r="N129" s="102"/>
      <c r="O129" s="102"/>
    </row>
    <row r="130" customFormat="false" ht="15.75" hidden="false" customHeight="true" outlineLevel="0" collapsed="false">
      <c r="A130" s="102"/>
      <c r="B130" s="103" t="s">
        <v>1522</v>
      </c>
      <c r="C130" s="104"/>
      <c r="D130" s="104"/>
      <c r="E130" s="104"/>
      <c r="F130" s="104"/>
      <c r="G130" s="104"/>
      <c r="H130" s="104"/>
      <c r="I130" s="104"/>
      <c r="J130" s="104"/>
      <c r="K130" s="104"/>
      <c r="L130" s="102"/>
      <c r="M130" s="102"/>
      <c r="N130" s="102"/>
      <c r="O130" s="102"/>
    </row>
    <row r="131" customFormat="false" ht="16.5" hidden="false" customHeight="true" outlineLevel="0" collapsed="false">
      <c r="A131" s="102"/>
      <c r="B131" s="108" t="s">
        <v>1523</v>
      </c>
      <c r="C131" s="108" t="s">
        <v>1524</v>
      </c>
      <c r="D131" s="108" t="s">
        <v>1615</v>
      </c>
      <c r="E131" s="102"/>
      <c r="F131" s="102"/>
      <c r="G131" s="102"/>
      <c r="H131" s="102"/>
      <c r="I131" s="102"/>
      <c r="J131" s="102"/>
      <c r="K131" s="102"/>
      <c r="L131" s="102"/>
      <c r="M131" s="102"/>
      <c r="N131" s="102"/>
      <c r="O131" s="102"/>
    </row>
    <row r="132" customFormat="false" ht="15" hidden="false" customHeight="true" outlineLevel="0" collapsed="false">
      <c r="A132" s="102"/>
      <c r="B132" s="121" t="s">
        <v>1033</v>
      </c>
      <c r="C132" s="121" t="s">
        <v>970</v>
      </c>
      <c r="D132" s="121" t="s">
        <v>1072</v>
      </c>
      <c r="E132" s="102"/>
      <c r="F132" s="102"/>
      <c r="G132" s="102"/>
      <c r="H132" s="102"/>
      <c r="I132" s="102"/>
      <c r="J132" s="102"/>
      <c r="K132" s="102"/>
      <c r="L132" s="102"/>
      <c r="M132" s="102"/>
      <c r="N132" s="102"/>
      <c r="O132" s="102"/>
    </row>
    <row r="133" customFormat="false" ht="15" hidden="false" customHeight="true" outlineLevel="0" collapsed="false">
      <c r="A133" s="102"/>
      <c r="B133" s="102"/>
      <c r="C133" s="102"/>
      <c r="D133" s="102"/>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 hidden="false" customHeight="true" outlineLevel="0" collapsed="false">
      <c r="A137" s="102"/>
      <c r="B137" s="102"/>
      <c r="C137" s="102"/>
      <c r="D137" s="102"/>
      <c r="E137" s="102"/>
      <c r="F137" s="102"/>
      <c r="G137" s="102"/>
      <c r="H137" s="102"/>
      <c r="I137" s="102"/>
      <c r="J137" s="102"/>
      <c r="K137" s="102"/>
      <c r="L137" s="102"/>
      <c r="M137" s="102"/>
      <c r="N137" s="102"/>
      <c r="O137" s="102"/>
    </row>
    <row r="138" customFormat="false" ht="15" hidden="false" customHeight="true" outlineLevel="0" collapsed="false">
      <c r="A138" s="102"/>
      <c r="B138" s="102"/>
      <c r="C138" s="102"/>
      <c r="D138" s="102"/>
      <c r="E138" s="102"/>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 hidden="false" customHeight="true" outlineLevel="0" collapsed="false">
      <c r="A148" s="102"/>
      <c r="B148" s="102"/>
      <c r="C148" s="102"/>
      <c r="D148" s="102"/>
      <c r="E148" s="102"/>
      <c r="F148" s="102"/>
      <c r="G148" s="102"/>
      <c r="H148" s="102"/>
      <c r="I148" s="102"/>
      <c r="J148" s="102"/>
      <c r="K148" s="102"/>
      <c r="L148" s="102"/>
      <c r="M148" s="102"/>
      <c r="N148" s="102"/>
      <c r="O148" s="102"/>
    </row>
    <row r="149" customFormat="false" ht="15" hidden="false" customHeight="true" outlineLevel="0" collapsed="false">
      <c r="A149" s="102"/>
      <c r="B149" s="102"/>
      <c r="C149" s="102"/>
      <c r="D149" s="102"/>
      <c r="E149" s="102"/>
      <c r="F149" s="102"/>
      <c r="G149" s="102"/>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5" hidden="false" customHeight="true" outlineLevel="0" collapsed="false">
      <c r="A151" s="102"/>
      <c r="B151" s="102"/>
      <c r="C151" s="102"/>
      <c r="D151" s="102"/>
      <c r="E151" s="102"/>
      <c r="F151" s="102"/>
      <c r="G151" s="102"/>
      <c r="H151" s="102"/>
      <c r="I151" s="102"/>
      <c r="J151" s="102"/>
      <c r="K151" s="102"/>
      <c r="L151" s="102"/>
      <c r="M151" s="102"/>
      <c r="N151" s="102"/>
      <c r="O151" s="102"/>
    </row>
    <row r="152" customFormat="false" ht="15" hidden="false" customHeight="true" outlineLevel="0" collapsed="false">
      <c r="A152" s="102"/>
      <c r="B152" s="102"/>
      <c r="C152" s="102"/>
      <c r="D152" s="102"/>
      <c r="E152" s="102"/>
      <c r="F152" s="102"/>
      <c r="G152" s="102"/>
      <c r="H152" s="102"/>
      <c r="I152" s="102"/>
      <c r="J152" s="102"/>
      <c r="K152" s="102"/>
      <c r="L152" s="102"/>
      <c r="M152" s="102"/>
      <c r="N152" s="102"/>
      <c r="O152" s="102"/>
    </row>
    <row r="153" customFormat="false" ht="15" hidden="false" customHeight="true" outlineLevel="0" collapsed="false">
      <c r="A153" s="102"/>
      <c r="B153" s="102"/>
      <c r="C153" s="102"/>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2"/>
      <c r="C156" s="102"/>
      <c r="D156" s="102"/>
      <c r="E156" s="102"/>
      <c r="F156" s="102"/>
      <c r="G156" s="102"/>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5" hidden="false" customHeight="true" outlineLevel="0" collapsed="false">
      <c r="A158" s="102"/>
      <c r="B158" s="102"/>
      <c r="C158" s="102"/>
      <c r="D158" s="102"/>
      <c r="E158" s="102"/>
      <c r="F158" s="102"/>
      <c r="G158" s="102"/>
      <c r="H158" s="102"/>
      <c r="I158" s="102"/>
      <c r="J158" s="102"/>
      <c r="K158" s="102"/>
      <c r="L158" s="102"/>
      <c r="M158" s="102"/>
      <c r="N158" s="102"/>
      <c r="O158" s="102"/>
    </row>
    <row r="159" customFormat="false" ht="15" hidden="false" customHeight="true" outlineLevel="0" collapsed="false">
      <c r="A159" s="102"/>
      <c r="B159" s="102"/>
      <c r="C159" s="102"/>
      <c r="D159" s="102"/>
      <c r="E159" s="102"/>
      <c r="F159" s="102"/>
      <c r="G159" s="102"/>
      <c r="H159" s="102"/>
      <c r="I159" s="102"/>
      <c r="J159" s="102"/>
      <c r="K159" s="102"/>
      <c r="L159" s="102"/>
      <c r="M159" s="102"/>
      <c r="N159" s="102"/>
      <c r="O159" s="102"/>
    </row>
    <row r="160" customFormat="false" ht="15" hidden="false" customHeight="true" outlineLevel="0" collapsed="false">
      <c r="A160" s="102"/>
      <c r="B160" s="102"/>
      <c r="C160" s="102"/>
      <c r="D160" s="102"/>
      <c r="E160" s="102"/>
      <c r="F160" s="102"/>
      <c r="G160" s="102"/>
      <c r="H160" s="102"/>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2"/>
      <c r="C163" s="102"/>
      <c r="D163" s="102"/>
      <c r="E163" s="102"/>
      <c r="F163" s="102"/>
      <c r="G163" s="102"/>
      <c r="H163" s="102"/>
      <c r="I163" s="102"/>
      <c r="J163" s="102"/>
      <c r="K163" s="102"/>
      <c r="L163" s="102"/>
      <c r="M163" s="102"/>
      <c r="N163" s="102"/>
      <c r="O163" s="102"/>
    </row>
    <row r="164" customFormat="false" ht="15" hidden="false" customHeight="true" outlineLevel="0" collapsed="false">
      <c r="A164" s="102"/>
      <c r="B164" s="102"/>
      <c r="C164" s="102"/>
      <c r="D164" s="102"/>
      <c r="E164" s="102"/>
      <c r="F164" s="102"/>
      <c r="G164" s="102"/>
      <c r="H164" s="102"/>
      <c r="I164" s="102"/>
      <c r="J164" s="102"/>
      <c r="K164" s="102"/>
      <c r="L164" s="102"/>
      <c r="M164" s="102"/>
      <c r="N164" s="102"/>
      <c r="O164" s="102"/>
    </row>
    <row r="165" customFormat="false" ht="15" hidden="false" customHeight="true" outlineLevel="0" collapsed="false">
      <c r="A165" s="102"/>
      <c r="B165" s="102"/>
      <c r="C165" s="102"/>
      <c r="D165" s="102"/>
      <c r="E165" s="102"/>
      <c r="F165" s="102"/>
      <c r="G165" s="102"/>
      <c r="H165" s="102"/>
      <c r="I165" s="102"/>
      <c r="J165" s="102"/>
      <c r="K165" s="102"/>
      <c r="L165" s="102"/>
      <c r="M165" s="102"/>
      <c r="N165" s="102"/>
      <c r="O165" s="102"/>
    </row>
    <row r="166" customFormat="false" ht="15" hidden="false" customHeight="true" outlineLevel="0" collapsed="false">
      <c r="A166" s="102"/>
      <c r="B166" s="102"/>
      <c r="C166" s="102"/>
      <c r="D166" s="102"/>
      <c r="E166" s="102"/>
      <c r="F166" s="102"/>
      <c r="G166" s="102"/>
      <c r="H166" s="102"/>
      <c r="I166" s="102"/>
      <c r="J166" s="102"/>
      <c r="K166" s="102"/>
      <c r="L166" s="102"/>
      <c r="M166" s="102"/>
      <c r="N166" s="102"/>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 hidden="false" customHeight="true" outlineLevel="0" collapsed="false">
      <c r="A169" s="102"/>
      <c r="B169" s="102"/>
      <c r="C169" s="102"/>
      <c r="D169" s="102"/>
      <c r="E169" s="102"/>
      <c r="F169" s="102"/>
      <c r="G169" s="102"/>
      <c r="H169" s="102"/>
      <c r="I169" s="102"/>
      <c r="J169" s="102"/>
      <c r="K169" s="102"/>
      <c r="L169" s="102"/>
      <c r="M169" s="102"/>
      <c r="N169" s="102"/>
      <c r="O169" s="102"/>
    </row>
    <row r="170" customFormat="false" ht="15" hidden="false" customHeight="true" outlineLevel="0" collapsed="false">
      <c r="A170" s="102"/>
      <c r="B170" s="102"/>
      <c r="C170" s="102"/>
      <c r="D170" s="102"/>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44">
    <mergeCell ref="B2:J2"/>
    <mergeCell ref="D3:E3"/>
    <mergeCell ref="C6:G6"/>
    <mergeCell ref="C7:G7"/>
    <mergeCell ref="C8:G8"/>
    <mergeCell ref="B11:H13"/>
    <mergeCell ref="B14:H15"/>
    <mergeCell ref="B16:H16"/>
    <mergeCell ref="B17:H19"/>
    <mergeCell ref="B22:D22"/>
    <mergeCell ref="E22:H22"/>
    <mergeCell ref="B23:D23"/>
    <mergeCell ref="E23:H23"/>
    <mergeCell ref="B24:D24"/>
    <mergeCell ref="E24:H24"/>
    <mergeCell ref="B25:H25"/>
    <mergeCell ref="B33:H33"/>
    <mergeCell ref="B34:H36"/>
    <mergeCell ref="B38:H38"/>
    <mergeCell ref="B39:H39"/>
    <mergeCell ref="B47:H47"/>
    <mergeCell ref="C48:D48"/>
    <mergeCell ref="C91:E91"/>
    <mergeCell ref="D93:E93"/>
    <mergeCell ref="D94:E94"/>
    <mergeCell ref="D95:E95"/>
    <mergeCell ref="D96:E96"/>
    <mergeCell ref="B99:H99"/>
    <mergeCell ref="B100:H100"/>
    <mergeCell ref="B101:H101"/>
    <mergeCell ref="B102:H102"/>
    <mergeCell ref="B105:H105"/>
    <mergeCell ref="C112:G112"/>
    <mergeCell ref="D114:E114"/>
    <mergeCell ref="D115:E115"/>
    <mergeCell ref="D116:E116"/>
    <mergeCell ref="D117:E117"/>
    <mergeCell ref="B120:H120"/>
    <mergeCell ref="B121:H121"/>
    <mergeCell ref="B122:H122"/>
    <mergeCell ref="B125:E125"/>
    <mergeCell ref="B126:E126"/>
    <mergeCell ref="B127:E127"/>
    <mergeCell ref="B128:E128"/>
  </mergeCells>
  <hyperlinks>
    <hyperlink ref="B3" location="'N-03 Index DMAIC'!A1" display="← Back to Index"/>
    <hyperlink ref="E28" location="'E-20 Sample Size'!A1" display="E-20  Sample Size Determination"/>
    <hyperlink ref="E29" location="'E-32 Normality Testing'!A1" display="E-32  Normality Testing and Probability Plots"/>
    <hyperlink ref="E30" location="'E-52 p and np Charts'!A1" display="E-52  p and np Charts"/>
    <hyperlink ref="B132" location="'E-57 Process Capability'!A1" display="E-57  Cp, Cpk, Pp, Ppk and Cpm"/>
    <hyperlink ref="C132" location="'E-33 When Assumptions Fail'!A1" display="E-33  When Assumptions Fail: Transformations and Alternatives"/>
    <hyperlink ref="D132" location="'E-52 p and np Charts'!A1" display="E-52  p and np Char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6"/>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6414</v>
      </c>
      <c r="C2" s="3"/>
      <c r="D2" s="3"/>
      <c r="E2" s="3"/>
      <c r="F2" s="3"/>
      <c r="G2" s="3"/>
      <c r="H2" s="3"/>
      <c r="I2" s="3"/>
      <c r="J2" s="3"/>
      <c r="K2" s="46" t="s">
        <v>1389</v>
      </c>
    </row>
    <row r="3" customFormat="false" ht="28.5" hidden="false" customHeight="true" outlineLevel="0" collapsed="false">
      <c r="B3" s="5" t="s">
        <v>3</v>
      </c>
      <c r="D3" s="6" t="s">
        <v>6415</v>
      </c>
      <c r="E3" s="6"/>
      <c r="F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17.25" hidden="false" customHeight="true" outlineLevel="0" collapsed="false">
      <c r="A6" s="102"/>
      <c r="B6" s="105" t="s">
        <v>1392</v>
      </c>
      <c r="C6" s="106" t="s">
        <v>6416</v>
      </c>
      <c r="D6" s="106"/>
      <c r="E6" s="106"/>
      <c r="F6" s="106"/>
      <c r="G6" s="106"/>
      <c r="H6" s="102"/>
      <c r="I6" s="102"/>
      <c r="J6" s="102"/>
      <c r="K6" s="102"/>
      <c r="L6" s="102"/>
      <c r="M6" s="102"/>
      <c r="N6" s="102"/>
      <c r="O6" s="102"/>
    </row>
    <row r="7" customFormat="false" ht="17.25" hidden="false" customHeight="true" outlineLevel="0" collapsed="false">
      <c r="A7" s="102"/>
      <c r="B7" s="105" t="s">
        <v>1394</v>
      </c>
      <c r="C7" s="106" t="s">
        <v>6417</v>
      </c>
      <c r="D7" s="106"/>
      <c r="E7" s="106"/>
      <c r="F7" s="106"/>
      <c r="G7" s="106"/>
      <c r="H7" s="102"/>
      <c r="I7" s="102"/>
      <c r="J7" s="102"/>
      <c r="K7" s="102"/>
      <c r="L7" s="102"/>
      <c r="M7" s="102"/>
      <c r="N7" s="102"/>
      <c r="O7" s="102"/>
    </row>
    <row r="8" customFormat="false" ht="17.25" hidden="false" customHeight="true" outlineLevel="0" collapsed="false">
      <c r="A8" s="102"/>
      <c r="B8" s="105" t="s">
        <v>1396</v>
      </c>
      <c r="C8" s="106" t="s">
        <v>6418</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0.5" hidden="false" customHeight="true" outlineLevel="0" collapsed="false">
      <c r="A11" s="102"/>
      <c r="B11" s="106" t="s">
        <v>6419</v>
      </c>
      <c r="C11" s="106"/>
      <c r="D11" s="106"/>
      <c r="E11" s="106"/>
      <c r="F11" s="106"/>
      <c r="G11" s="106"/>
      <c r="H11" s="106"/>
      <c r="I11" s="102"/>
      <c r="J11" s="102"/>
      <c r="K11" s="102"/>
      <c r="L11" s="102"/>
      <c r="M11" s="102"/>
      <c r="N11" s="102"/>
      <c r="O11" s="102"/>
    </row>
    <row r="12" customFormat="false" ht="10.5" hidden="false" customHeight="true" outlineLevel="0" collapsed="false">
      <c r="A12" s="102"/>
      <c r="B12" s="106"/>
      <c r="C12" s="106"/>
      <c r="D12" s="106"/>
      <c r="E12" s="106"/>
      <c r="F12" s="106"/>
      <c r="G12" s="106"/>
      <c r="H12" s="106"/>
      <c r="I12" s="102"/>
      <c r="J12" s="102"/>
      <c r="K12" s="102"/>
      <c r="L12" s="102"/>
      <c r="M12" s="102"/>
      <c r="N12" s="102"/>
      <c r="O12" s="102"/>
    </row>
    <row r="13" customFormat="false" ht="10.5" hidden="false" customHeight="true" outlineLevel="0" collapsed="false">
      <c r="A13" s="102"/>
      <c r="B13" s="106"/>
      <c r="C13" s="106"/>
      <c r="D13" s="106"/>
      <c r="E13" s="106"/>
      <c r="F13" s="106"/>
      <c r="G13" s="106"/>
      <c r="H13" s="106"/>
      <c r="I13" s="102"/>
      <c r="J13" s="102"/>
      <c r="K13" s="102"/>
      <c r="L13" s="102"/>
      <c r="M13" s="102"/>
      <c r="N13" s="102"/>
      <c r="O13" s="102"/>
    </row>
    <row r="14" customFormat="false" ht="11.25" hidden="false" customHeight="true" outlineLevel="0" collapsed="false">
      <c r="A14" s="102"/>
      <c r="B14" s="106" t="s">
        <v>6420</v>
      </c>
      <c r="C14" s="106"/>
      <c r="D14" s="106"/>
      <c r="E14" s="106"/>
      <c r="F14" s="106"/>
      <c r="G14" s="106"/>
      <c r="H14" s="106"/>
      <c r="I14" s="102"/>
      <c r="J14" s="102"/>
      <c r="K14" s="102"/>
      <c r="L14" s="102"/>
      <c r="M14" s="102"/>
      <c r="N14" s="102"/>
      <c r="O14" s="102"/>
    </row>
    <row r="15" customFormat="false" ht="11.25" hidden="false" customHeight="true" outlineLevel="0" collapsed="false">
      <c r="A15" s="102"/>
      <c r="B15" s="106"/>
      <c r="C15" s="106"/>
      <c r="D15" s="106"/>
      <c r="E15" s="106"/>
      <c r="F15" s="106"/>
      <c r="G15" s="106"/>
      <c r="H15" s="106"/>
      <c r="I15" s="102"/>
      <c r="J15" s="102"/>
      <c r="K15" s="102"/>
      <c r="L15" s="102"/>
      <c r="M15" s="102"/>
      <c r="N15" s="102"/>
      <c r="O15" s="102"/>
    </row>
    <row r="16" customFormat="false" ht="11.25" hidden="false" customHeight="true" outlineLevel="0" collapsed="false">
      <c r="A16" s="102"/>
      <c r="B16" s="106"/>
      <c r="C16" s="106"/>
      <c r="D16" s="106"/>
      <c r="E16" s="106"/>
      <c r="F16" s="106"/>
      <c r="G16" s="106"/>
      <c r="H16" s="106"/>
      <c r="I16" s="102"/>
      <c r="J16" s="102"/>
      <c r="K16" s="102"/>
      <c r="L16" s="102"/>
      <c r="M16" s="102"/>
      <c r="N16" s="102"/>
      <c r="O16" s="102"/>
    </row>
    <row r="17" customFormat="false" ht="11.25" hidden="false" customHeight="true" outlineLevel="0" collapsed="false">
      <c r="A17" s="102"/>
      <c r="B17" s="106"/>
      <c r="C17" s="106"/>
      <c r="D17" s="106"/>
      <c r="E17" s="106"/>
      <c r="F17" s="106"/>
      <c r="G17" s="106"/>
      <c r="H17" s="106"/>
      <c r="I17" s="102"/>
      <c r="J17" s="102"/>
      <c r="K17" s="102"/>
      <c r="L17" s="102"/>
      <c r="M17" s="102"/>
      <c r="N17" s="102"/>
      <c r="O17" s="102"/>
    </row>
    <row r="18" customFormat="false" ht="10.5" hidden="false" customHeight="true" outlineLevel="0" collapsed="false">
      <c r="A18" s="102"/>
      <c r="B18" s="106" t="s">
        <v>6421</v>
      </c>
      <c r="C18" s="106"/>
      <c r="D18" s="106"/>
      <c r="E18" s="106"/>
      <c r="F18" s="106"/>
      <c r="G18" s="106"/>
      <c r="H18" s="106"/>
      <c r="I18" s="102"/>
      <c r="J18" s="102"/>
      <c r="K18" s="102"/>
      <c r="L18" s="102"/>
      <c r="M18" s="102"/>
      <c r="N18" s="102"/>
      <c r="O18" s="102"/>
    </row>
    <row r="19" customFormat="false" ht="10.5" hidden="false" customHeight="true" outlineLevel="0" collapsed="false">
      <c r="A19" s="102"/>
      <c r="B19" s="106"/>
      <c r="C19" s="106"/>
      <c r="D19" s="106"/>
      <c r="E19" s="106"/>
      <c r="F19" s="106"/>
      <c r="G19" s="106"/>
      <c r="H19" s="106"/>
      <c r="I19" s="102"/>
      <c r="J19" s="102"/>
      <c r="K19" s="102"/>
      <c r="L19" s="102"/>
      <c r="M19" s="102"/>
      <c r="N19" s="102"/>
      <c r="O19" s="102"/>
    </row>
    <row r="20" customFormat="false" ht="10.5" hidden="false" customHeight="true" outlineLevel="0" collapsed="false">
      <c r="A20" s="102"/>
      <c r="B20" s="106"/>
      <c r="C20" s="106"/>
      <c r="D20" s="106"/>
      <c r="E20" s="106"/>
      <c r="F20" s="106"/>
      <c r="G20" s="106"/>
      <c r="H20" s="106"/>
      <c r="I20" s="102"/>
      <c r="J20" s="102"/>
      <c r="K20" s="102"/>
      <c r="L20" s="102"/>
      <c r="M20" s="102"/>
      <c r="N20" s="102"/>
      <c r="O20" s="102"/>
    </row>
    <row r="21" customFormat="false" ht="15" hidden="false" customHeight="true" outlineLevel="0" collapsed="false">
      <c r="A21" s="102"/>
      <c r="B21" s="102"/>
      <c r="C21" s="102"/>
      <c r="D21" s="102"/>
      <c r="E21" s="102"/>
      <c r="F21" s="102"/>
      <c r="G21" s="102"/>
      <c r="H21" s="102"/>
      <c r="I21" s="102"/>
      <c r="J21" s="102"/>
      <c r="K21" s="102"/>
      <c r="L21" s="102"/>
      <c r="M21" s="102"/>
      <c r="N21" s="102"/>
      <c r="O21" s="102"/>
    </row>
    <row r="22" customFormat="false" ht="15.75" hidden="false" customHeight="true" outlineLevel="0" collapsed="false">
      <c r="A22" s="102"/>
      <c r="B22" s="103" t="s">
        <v>1406</v>
      </c>
      <c r="C22" s="104"/>
      <c r="D22" s="104"/>
      <c r="E22" s="104"/>
      <c r="F22" s="104"/>
      <c r="G22" s="104"/>
      <c r="H22" s="104"/>
      <c r="I22" s="104"/>
      <c r="J22" s="104"/>
      <c r="K22" s="104"/>
      <c r="L22" s="102"/>
      <c r="M22" s="102"/>
      <c r="N22" s="102"/>
      <c r="O22" s="102"/>
    </row>
    <row r="23" customFormat="false" ht="17.25" hidden="false" customHeight="true" outlineLevel="0" collapsed="false">
      <c r="A23" s="102"/>
      <c r="B23" s="107" t="s">
        <v>1407</v>
      </c>
      <c r="C23" s="107"/>
      <c r="D23" s="107"/>
      <c r="E23" s="107" t="s">
        <v>1408</v>
      </c>
      <c r="F23" s="107"/>
      <c r="G23" s="107"/>
      <c r="H23" s="107"/>
      <c r="I23" s="102"/>
      <c r="J23" s="102"/>
      <c r="K23" s="102"/>
      <c r="L23" s="102"/>
      <c r="M23" s="102"/>
      <c r="N23" s="102"/>
      <c r="O23" s="102"/>
    </row>
    <row r="24" customFormat="false" ht="31.5" hidden="false" customHeight="true" outlineLevel="0" collapsed="false">
      <c r="A24" s="102"/>
      <c r="B24" s="106" t="s">
        <v>6422</v>
      </c>
      <c r="C24" s="106"/>
      <c r="D24" s="106"/>
      <c r="E24" s="106" t="s">
        <v>6423</v>
      </c>
      <c r="F24" s="106"/>
      <c r="G24" s="106"/>
      <c r="H24" s="106"/>
      <c r="I24" s="102"/>
      <c r="J24" s="102"/>
      <c r="K24" s="102"/>
      <c r="L24" s="102"/>
      <c r="M24" s="102"/>
      <c r="N24" s="102"/>
      <c r="O24" s="102"/>
    </row>
    <row r="25" customFormat="false" ht="31.5" hidden="false" customHeight="true" outlineLevel="0" collapsed="false">
      <c r="A25" s="102"/>
      <c r="B25" s="106" t="s">
        <v>6424</v>
      </c>
      <c r="C25" s="106"/>
      <c r="D25" s="106"/>
      <c r="E25" s="106" t="s">
        <v>6425</v>
      </c>
      <c r="F25" s="106"/>
      <c r="G25" s="106"/>
      <c r="H25" s="106"/>
      <c r="I25" s="102"/>
      <c r="J25" s="102"/>
      <c r="K25" s="102"/>
      <c r="L25" s="102"/>
      <c r="M25" s="102"/>
      <c r="N25" s="102"/>
      <c r="O25" s="102"/>
    </row>
    <row r="26" customFormat="false" ht="17.25" hidden="false" customHeight="true" outlineLevel="0" collapsed="false">
      <c r="A26" s="102"/>
      <c r="B26" s="106" t="s">
        <v>6426</v>
      </c>
      <c r="C26" s="106"/>
      <c r="D26" s="106"/>
      <c r="E26" s="106"/>
      <c r="F26" s="106"/>
      <c r="G26" s="106"/>
      <c r="H26" s="106"/>
      <c r="I26" s="102"/>
      <c r="J26" s="102"/>
      <c r="K26" s="102"/>
      <c r="L26" s="102"/>
      <c r="M26" s="102"/>
      <c r="N26" s="102"/>
      <c r="O26" s="102"/>
    </row>
    <row r="27" customFormat="false" ht="15" hidden="false" customHeight="true" outlineLevel="0" collapsed="false">
      <c r="A27" s="102"/>
      <c r="B27" s="102"/>
      <c r="C27" s="102"/>
      <c r="D27" s="102"/>
      <c r="E27" s="102"/>
      <c r="F27" s="102"/>
      <c r="G27" s="102"/>
      <c r="H27" s="102"/>
      <c r="I27" s="102"/>
      <c r="J27" s="102"/>
      <c r="K27" s="102"/>
      <c r="L27" s="102"/>
      <c r="M27" s="102"/>
      <c r="N27" s="102"/>
      <c r="O27" s="102"/>
    </row>
    <row r="28" customFormat="false" ht="16.5" hidden="false" customHeight="true" outlineLevel="0" collapsed="false">
      <c r="A28" s="102"/>
      <c r="B28" s="108" t="s">
        <v>1416</v>
      </c>
      <c r="C28" s="108" t="s">
        <v>1417</v>
      </c>
      <c r="D28" s="108" t="s">
        <v>1418</v>
      </c>
      <c r="E28" s="108" t="s">
        <v>1419</v>
      </c>
      <c r="F28" s="102"/>
      <c r="G28" s="102"/>
      <c r="H28" s="102"/>
      <c r="I28" s="102"/>
      <c r="J28" s="102"/>
      <c r="K28" s="102"/>
      <c r="L28" s="102"/>
      <c r="M28" s="102"/>
      <c r="N28" s="102"/>
      <c r="O28" s="102"/>
    </row>
    <row r="29" customFormat="false" ht="72" hidden="false" customHeight="true" outlineLevel="0" collapsed="false">
      <c r="A29" s="102"/>
      <c r="B29" s="15" t="s">
        <v>6427</v>
      </c>
      <c r="C29" s="15" t="s">
        <v>6428</v>
      </c>
      <c r="D29" s="15" t="s">
        <v>6429</v>
      </c>
      <c r="E29" s="109" t="s">
        <v>1546</v>
      </c>
      <c r="F29" s="102"/>
      <c r="G29" s="102"/>
      <c r="H29" s="102"/>
      <c r="I29" s="102"/>
      <c r="J29" s="102"/>
      <c r="K29" s="102"/>
      <c r="L29" s="102"/>
      <c r="M29" s="102"/>
      <c r="N29" s="102"/>
      <c r="O29" s="102"/>
    </row>
    <row r="30" customFormat="false" ht="30.75" hidden="false" customHeight="true" outlineLevel="0" collapsed="false">
      <c r="A30" s="102"/>
      <c r="B30" s="15" t="s">
        <v>6430</v>
      </c>
      <c r="C30" s="15" t="s">
        <v>6431</v>
      </c>
      <c r="D30" s="15" t="s">
        <v>6432</v>
      </c>
      <c r="E30" s="109" t="s">
        <v>1025</v>
      </c>
      <c r="F30" s="102"/>
      <c r="G30" s="102"/>
      <c r="H30" s="102"/>
      <c r="I30" s="102"/>
      <c r="J30" s="102"/>
      <c r="K30" s="102"/>
      <c r="L30" s="102"/>
      <c r="M30" s="102"/>
      <c r="N30" s="102"/>
      <c r="O30" s="102"/>
    </row>
    <row r="31" customFormat="false" ht="30.75" hidden="false" customHeight="true" outlineLevel="0" collapsed="false">
      <c r="A31" s="102"/>
      <c r="B31" s="15" t="s">
        <v>6433</v>
      </c>
      <c r="C31" s="15" t="s">
        <v>6434</v>
      </c>
      <c r="D31" s="15" t="s">
        <v>6435</v>
      </c>
      <c r="E31" s="109" t="s">
        <v>973</v>
      </c>
      <c r="F31" s="102"/>
      <c r="G31" s="102"/>
      <c r="H31" s="102"/>
      <c r="I31" s="102"/>
      <c r="J31" s="102"/>
      <c r="K31" s="102"/>
      <c r="L31" s="102"/>
      <c r="M31" s="102"/>
      <c r="N31" s="102"/>
      <c r="O31" s="102"/>
    </row>
    <row r="32" customFormat="false" ht="15" hidden="false" customHeight="true" outlineLevel="0" collapsed="false">
      <c r="A32" s="102"/>
      <c r="B32" s="102"/>
      <c r="C32" s="102"/>
      <c r="D32" s="102"/>
      <c r="E32" s="102"/>
      <c r="F32" s="102"/>
      <c r="G32" s="102"/>
      <c r="H32" s="102"/>
      <c r="I32" s="102"/>
      <c r="J32" s="102"/>
      <c r="K32" s="102"/>
      <c r="L32" s="102"/>
      <c r="M32" s="102"/>
      <c r="N32" s="102"/>
      <c r="O32" s="102"/>
    </row>
    <row r="33" customFormat="false" ht="15.75" hidden="false" customHeight="true" outlineLevel="0" collapsed="false">
      <c r="A33" s="102"/>
      <c r="B33" s="103" t="s">
        <v>1429</v>
      </c>
      <c r="C33" s="104"/>
      <c r="D33" s="104"/>
      <c r="E33" s="104"/>
      <c r="F33" s="104"/>
      <c r="G33" s="104"/>
      <c r="H33" s="104"/>
      <c r="I33" s="104"/>
      <c r="J33" s="104"/>
      <c r="K33" s="104"/>
      <c r="L33" s="102"/>
      <c r="M33" s="102"/>
      <c r="N33" s="102"/>
      <c r="O33" s="102"/>
    </row>
    <row r="34" customFormat="false" ht="17.25" hidden="false" customHeight="true" outlineLevel="0" collapsed="false">
      <c r="A34" s="102"/>
      <c r="B34" s="106" t="s">
        <v>6436</v>
      </c>
      <c r="C34" s="106"/>
      <c r="D34" s="106"/>
      <c r="E34" s="106"/>
      <c r="F34" s="106"/>
      <c r="G34" s="106"/>
      <c r="H34" s="106"/>
      <c r="I34" s="102"/>
      <c r="J34" s="102"/>
      <c r="K34" s="102"/>
      <c r="L34" s="102"/>
      <c r="M34" s="102"/>
      <c r="N34" s="102"/>
      <c r="O34" s="102"/>
    </row>
    <row r="35" customFormat="false" ht="17.25" hidden="false" customHeight="true" outlineLevel="0" collapsed="false">
      <c r="A35" s="102"/>
      <c r="B35" s="106" t="s">
        <v>6437</v>
      </c>
      <c r="C35" s="106"/>
      <c r="D35" s="106"/>
      <c r="E35" s="106"/>
      <c r="F35" s="106"/>
      <c r="G35" s="106"/>
      <c r="H35" s="106"/>
      <c r="I35" s="102"/>
      <c r="J35" s="102"/>
      <c r="K35" s="102"/>
      <c r="L35" s="102"/>
      <c r="M35" s="102"/>
      <c r="N35" s="102"/>
      <c r="O35" s="102"/>
    </row>
    <row r="36" customFormat="false" ht="10.5" hidden="false" customHeight="true" outlineLevel="0" collapsed="false">
      <c r="A36" s="102"/>
      <c r="B36" s="106" t="s">
        <v>6438</v>
      </c>
      <c r="C36" s="106"/>
      <c r="D36" s="106"/>
      <c r="E36" s="106"/>
      <c r="F36" s="106"/>
      <c r="G36" s="106"/>
      <c r="H36" s="106"/>
      <c r="I36" s="102"/>
      <c r="J36" s="102"/>
      <c r="K36" s="102"/>
      <c r="L36" s="102"/>
      <c r="M36" s="102"/>
      <c r="N36" s="102"/>
      <c r="O36" s="102"/>
    </row>
    <row r="37" customFormat="false" ht="10.5" hidden="false" customHeight="true" outlineLevel="0" collapsed="false">
      <c r="A37" s="102"/>
      <c r="B37" s="106"/>
      <c r="C37" s="106"/>
      <c r="D37" s="106"/>
      <c r="E37" s="106"/>
      <c r="F37" s="106"/>
      <c r="G37" s="106"/>
      <c r="H37" s="106"/>
      <c r="I37" s="102"/>
      <c r="J37" s="102"/>
      <c r="K37" s="102"/>
      <c r="L37" s="102"/>
      <c r="M37" s="102"/>
      <c r="N37" s="102"/>
      <c r="O37" s="102"/>
    </row>
    <row r="38" customFormat="false" ht="10.5" hidden="false" customHeight="true" outlineLevel="0" collapsed="false">
      <c r="A38" s="102"/>
      <c r="B38" s="106"/>
      <c r="C38" s="106"/>
      <c r="D38" s="106"/>
      <c r="E38" s="106"/>
      <c r="F38" s="106"/>
      <c r="G38" s="106"/>
      <c r="H38" s="106"/>
      <c r="I38" s="102"/>
      <c r="J38" s="102"/>
      <c r="K38" s="102"/>
      <c r="L38" s="102"/>
      <c r="M38" s="102"/>
      <c r="N38" s="102"/>
      <c r="O38" s="102"/>
    </row>
    <row r="39" customFormat="false" ht="8.25" hidden="false" customHeight="true" outlineLevel="0" collapsed="false">
      <c r="A39" s="102"/>
      <c r="B39" s="106" t="s">
        <v>6439</v>
      </c>
      <c r="C39" s="106"/>
      <c r="D39" s="106"/>
      <c r="E39" s="106"/>
      <c r="F39" s="106"/>
      <c r="G39" s="106"/>
      <c r="H39" s="106"/>
      <c r="I39" s="102"/>
      <c r="J39" s="102"/>
      <c r="K39" s="102"/>
      <c r="L39" s="102"/>
      <c r="M39" s="102"/>
      <c r="N39" s="102"/>
      <c r="O39" s="102"/>
    </row>
    <row r="40" customFormat="false" ht="8.25" hidden="false" customHeight="true" outlineLevel="0" collapsed="false">
      <c r="A40" s="102"/>
      <c r="B40" s="106"/>
      <c r="C40" s="106"/>
      <c r="D40" s="106"/>
      <c r="E40" s="106"/>
      <c r="F40" s="106"/>
      <c r="G40" s="106"/>
      <c r="H40" s="106"/>
      <c r="I40" s="102"/>
      <c r="J40" s="102"/>
      <c r="K40" s="102"/>
      <c r="L40" s="102"/>
      <c r="M40" s="102"/>
      <c r="N40" s="102"/>
      <c r="O40" s="102"/>
    </row>
    <row r="41" customFormat="false" ht="17.25" hidden="false" customHeight="true" outlineLevel="0" collapsed="false">
      <c r="A41" s="102"/>
      <c r="B41" s="106" t="s">
        <v>6440</v>
      </c>
      <c r="C41" s="106"/>
      <c r="D41" s="106"/>
      <c r="E41" s="106"/>
      <c r="F41" s="106"/>
      <c r="G41" s="106"/>
      <c r="H41" s="106"/>
      <c r="I41" s="102"/>
      <c r="J41" s="102"/>
      <c r="K41" s="102"/>
      <c r="L41" s="102"/>
      <c r="M41" s="102"/>
      <c r="N41" s="102"/>
      <c r="O41" s="102"/>
    </row>
    <row r="42" customFormat="false" ht="17.25" hidden="false" customHeight="true" outlineLevel="0" collapsed="false">
      <c r="A42" s="102"/>
      <c r="B42" s="106" t="s">
        <v>6441</v>
      </c>
      <c r="C42" s="106"/>
      <c r="D42" s="106"/>
      <c r="E42" s="106"/>
      <c r="F42" s="106"/>
      <c r="G42" s="106"/>
      <c r="H42" s="106"/>
      <c r="I42" s="102"/>
      <c r="J42" s="102"/>
      <c r="K42" s="102"/>
      <c r="L42" s="102"/>
      <c r="M42" s="102"/>
      <c r="N42" s="102"/>
      <c r="O42" s="102"/>
    </row>
    <row r="43" customFormat="false" ht="17.25" hidden="false" customHeight="true" outlineLevel="0" collapsed="false">
      <c r="A43" s="102"/>
      <c r="B43" s="106" t="s">
        <v>6442</v>
      </c>
      <c r="C43" s="106"/>
      <c r="D43" s="106"/>
      <c r="E43" s="106"/>
      <c r="F43" s="106"/>
      <c r="G43" s="106"/>
      <c r="H43" s="106"/>
      <c r="I43" s="102"/>
      <c r="J43" s="102"/>
      <c r="K43" s="102"/>
      <c r="L43" s="102"/>
      <c r="M43" s="102"/>
      <c r="N43" s="102"/>
      <c r="O43" s="102"/>
    </row>
    <row r="44" customFormat="false" ht="15" hidden="false" customHeight="true" outlineLevel="0" collapsed="false">
      <c r="A44" s="102"/>
      <c r="B44" s="102"/>
      <c r="C44" s="102"/>
      <c r="D44" s="102"/>
      <c r="E44" s="102"/>
      <c r="F44" s="102"/>
      <c r="G44" s="102"/>
      <c r="H44" s="102"/>
      <c r="I44" s="102"/>
      <c r="J44" s="102"/>
      <c r="K44" s="102"/>
      <c r="L44" s="102"/>
      <c r="M44" s="102"/>
      <c r="N44" s="102"/>
      <c r="O44" s="102"/>
    </row>
    <row r="45" customFormat="false" ht="15.75" hidden="false" customHeight="true" outlineLevel="0" collapsed="false">
      <c r="A45" s="102"/>
      <c r="B45" s="103" t="s">
        <v>1437</v>
      </c>
      <c r="C45" s="104"/>
      <c r="D45" s="104"/>
      <c r="E45" s="104"/>
      <c r="F45" s="104"/>
      <c r="G45" s="104"/>
      <c r="H45" s="104"/>
      <c r="I45" s="104"/>
      <c r="J45" s="104"/>
      <c r="K45" s="104"/>
      <c r="L45" s="102"/>
      <c r="M45" s="102"/>
      <c r="N45" s="102"/>
      <c r="O45" s="102"/>
    </row>
    <row r="46" customFormat="false" ht="17.25" hidden="false" customHeight="true" outlineLevel="0" collapsed="false">
      <c r="A46" s="102"/>
      <c r="B46" s="108" t="s">
        <v>1438</v>
      </c>
      <c r="C46" s="108" t="s">
        <v>1439</v>
      </c>
      <c r="D46" s="108" t="s">
        <v>1440</v>
      </c>
      <c r="E46" s="108"/>
      <c r="F46" s="102"/>
      <c r="G46" s="102"/>
      <c r="H46" s="102"/>
      <c r="I46" s="102"/>
      <c r="J46" s="102"/>
      <c r="K46" s="102"/>
      <c r="L46" s="102"/>
      <c r="M46" s="102"/>
      <c r="N46" s="102"/>
      <c r="O46" s="102"/>
    </row>
    <row r="47" customFormat="false" ht="17.25" hidden="false" customHeight="true" outlineLevel="0" collapsed="false">
      <c r="A47" s="102"/>
      <c r="B47" s="110" t="s">
        <v>6443</v>
      </c>
      <c r="C47" s="111" t="s">
        <v>6444</v>
      </c>
      <c r="D47" s="15" t="s">
        <v>6445</v>
      </c>
      <c r="E47" s="15"/>
      <c r="F47" s="102"/>
      <c r="G47" s="102"/>
      <c r="H47" s="102"/>
      <c r="I47" s="102"/>
      <c r="J47" s="102"/>
      <c r="K47" s="102"/>
      <c r="L47" s="102"/>
      <c r="M47" s="102"/>
      <c r="N47" s="102"/>
      <c r="O47" s="102"/>
    </row>
    <row r="48" customFormat="false" ht="17.25" hidden="false" customHeight="true" outlineLevel="0" collapsed="false">
      <c r="A48" s="102"/>
      <c r="B48" s="110" t="s">
        <v>4772</v>
      </c>
      <c r="C48" s="111" t="s">
        <v>6446</v>
      </c>
      <c r="D48" s="15" t="s">
        <v>6447</v>
      </c>
      <c r="E48" s="15"/>
      <c r="F48" s="102"/>
      <c r="G48" s="102"/>
      <c r="H48" s="102"/>
      <c r="I48" s="102"/>
      <c r="J48" s="102"/>
      <c r="K48" s="102"/>
      <c r="L48" s="102"/>
      <c r="M48" s="102"/>
      <c r="N48" s="102"/>
      <c r="O48" s="102"/>
    </row>
    <row r="49" customFormat="false" ht="31.5" hidden="false" customHeight="true" outlineLevel="0" collapsed="false">
      <c r="A49" s="102"/>
      <c r="B49" s="110" t="s">
        <v>2588</v>
      </c>
      <c r="C49" s="111" t="s">
        <v>6448</v>
      </c>
      <c r="D49" s="15" t="s">
        <v>6449</v>
      </c>
      <c r="E49" s="15"/>
      <c r="F49" s="102"/>
      <c r="G49" s="102"/>
      <c r="H49" s="102"/>
      <c r="I49" s="102"/>
      <c r="J49" s="102"/>
      <c r="K49" s="102"/>
      <c r="L49" s="102"/>
      <c r="M49" s="102"/>
      <c r="N49" s="102"/>
      <c r="O49" s="102"/>
    </row>
    <row r="50" customFormat="false" ht="15" hidden="false" customHeight="true" outlineLevel="0" collapsed="false">
      <c r="A50" s="102"/>
      <c r="B50" s="102"/>
      <c r="C50" s="102"/>
      <c r="D50" s="102"/>
      <c r="E50" s="102"/>
      <c r="F50" s="102"/>
      <c r="G50" s="102"/>
      <c r="H50" s="102"/>
      <c r="I50" s="102"/>
      <c r="J50" s="102"/>
      <c r="K50" s="102"/>
      <c r="L50" s="102"/>
      <c r="M50" s="102"/>
      <c r="N50" s="102"/>
      <c r="O50" s="102"/>
    </row>
    <row r="51" customFormat="false" ht="15.75" hidden="false" customHeight="true" outlineLevel="0" collapsed="false">
      <c r="A51" s="102"/>
      <c r="B51" s="103" t="s">
        <v>1454</v>
      </c>
      <c r="C51" s="104"/>
      <c r="D51" s="104"/>
      <c r="E51" s="104"/>
      <c r="F51" s="104"/>
      <c r="G51" s="104"/>
      <c r="H51" s="104"/>
      <c r="I51" s="104"/>
      <c r="J51" s="104"/>
      <c r="K51" s="104"/>
      <c r="L51" s="102"/>
      <c r="M51" s="102"/>
      <c r="N51" s="102"/>
      <c r="O51" s="102"/>
    </row>
    <row r="52" customFormat="false" ht="17.25" hidden="false" customHeight="true" outlineLevel="0" collapsed="false">
      <c r="A52" s="102"/>
      <c r="B52" s="106" t="s">
        <v>6450</v>
      </c>
      <c r="C52" s="106"/>
      <c r="D52" s="106"/>
      <c r="E52" s="106"/>
      <c r="F52" s="106"/>
      <c r="G52" s="106"/>
      <c r="H52" s="106"/>
      <c r="I52" s="102"/>
      <c r="J52" s="102"/>
      <c r="K52" s="102"/>
      <c r="L52" s="102"/>
      <c r="M52" s="102"/>
      <c r="N52" s="102"/>
      <c r="O52" s="102"/>
    </row>
    <row r="53" customFormat="false" ht="17.25" hidden="false" customHeight="true" outlineLevel="0" collapsed="false">
      <c r="A53" s="102"/>
      <c r="B53" s="112" t="s">
        <v>85</v>
      </c>
      <c r="C53" s="113" t="s">
        <v>86</v>
      </c>
      <c r="D53" s="113"/>
      <c r="E53" s="102"/>
      <c r="F53" s="102"/>
      <c r="G53" s="102"/>
      <c r="H53" s="102"/>
      <c r="I53" s="102"/>
      <c r="J53" s="102"/>
      <c r="K53" s="102"/>
      <c r="L53" s="102"/>
      <c r="M53" s="102"/>
      <c r="N53" s="102"/>
      <c r="O53" s="102"/>
    </row>
    <row r="54" customFormat="false" ht="15" hidden="false" customHeight="true" outlineLevel="0" collapsed="false">
      <c r="A54" s="102"/>
      <c r="B54" s="102"/>
      <c r="C54" s="102"/>
      <c r="D54" s="102"/>
      <c r="E54" s="102"/>
      <c r="F54" s="102"/>
      <c r="G54" s="102"/>
      <c r="H54" s="102"/>
      <c r="I54" s="102"/>
      <c r="J54" s="102"/>
      <c r="K54" s="102"/>
      <c r="L54" s="102"/>
      <c r="M54" s="102"/>
      <c r="N54" s="102"/>
      <c r="O54" s="102"/>
    </row>
    <row r="55" customFormat="false" ht="15" hidden="false" customHeight="true" outlineLevel="0" collapsed="false">
      <c r="A55" s="102"/>
      <c r="B55" s="105" t="s">
        <v>6451</v>
      </c>
      <c r="C55" s="131" t="n">
        <v>0.3</v>
      </c>
      <c r="D55" s="102"/>
      <c r="E55" s="102"/>
      <c r="F55" s="102"/>
      <c r="G55" s="102"/>
      <c r="H55" s="102"/>
      <c r="I55" s="102"/>
      <c r="J55" s="102"/>
      <c r="K55" s="102"/>
      <c r="L55" s="102"/>
      <c r="M55" s="102"/>
      <c r="N55" s="102"/>
      <c r="O55" s="102"/>
    </row>
    <row r="56" customFormat="false" ht="15" hidden="false" customHeight="true" outlineLevel="0" collapsed="false">
      <c r="A56" s="102"/>
      <c r="B56" s="102"/>
      <c r="C56" s="102"/>
      <c r="D56" s="102"/>
      <c r="E56" s="102"/>
      <c r="F56" s="102"/>
      <c r="G56" s="102"/>
      <c r="H56" s="102"/>
      <c r="I56" s="102"/>
      <c r="J56" s="102"/>
      <c r="K56" s="102"/>
      <c r="L56" s="102"/>
      <c r="M56" s="102"/>
      <c r="N56" s="102"/>
      <c r="O56" s="102"/>
    </row>
    <row r="57" customFormat="false" ht="16.5" hidden="false" customHeight="true" outlineLevel="0" collapsed="false">
      <c r="A57" s="102"/>
      <c r="B57" s="108" t="s">
        <v>6452</v>
      </c>
      <c r="C57" s="108" t="s">
        <v>6453</v>
      </c>
      <c r="D57" s="108" t="s">
        <v>6454</v>
      </c>
      <c r="E57" s="108" t="s">
        <v>6455</v>
      </c>
      <c r="F57" s="108" t="s">
        <v>6456</v>
      </c>
      <c r="G57" s="108" t="s">
        <v>6457</v>
      </c>
      <c r="H57" s="102"/>
      <c r="I57" s="102"/>
      <c r="J57" s="102"/>
      <c r="K57" s="102"/>
      <c r="L57" s="102"/>
      <c r="M57" s="102"/>
      <c r="N57" s="102"/>
      <c r="O57" s="102"/>
    </row>
    <row r="58" customFormat="false" ht="15" hidden="false" customHeight="true" outlineLevel="0" collapsed="false">
      <c r="A58" s="102"/>
      <c r="B58" s="123" t="n">
        <v>1</v>
      </c>
      <c r="C58" s="123" t="s">
        <v>378</v>
      </c>
      <c r="D58" s="136" t="n">
        <v>1.438</v>
      </c>
      <c r="E58" s="136" t="n">
        <v>1.409</v>
      </c>
      <c r="F58" s="129" t="n">
        <f aca="false">D58+E58</f>
        <v>2.847</v>
      </c>
      <c r="G58" s="129" t="n">
        <f aca="false">F58/2</f>
        <v>1.4235</v>
      </c>
      <c r="H58" s="126" t="n">
        <f aca="false">G58-INDEX($C$92:$C$101,MATCH(B58,$B$92:$B$101,0))-INDEX($C$104:$C$106,MATCH(C58,$B$104:$B$106,0))+$C$89</f>
        <v>-0.00528333333333353</v>
      </c>
      <c r="I58" s="102"/>
      <c r="J58" s="102"/>
      <c r="K58" s="102"/>
      <c r="L58" s="102"/>
      <c r="M58" s="102"/>
      <c r="N58" s="102"/>
      <c r="O58" s="102"/>
    </row>
    <row r="59" customFormat="false" ht="15" hidden="false" customHeight="true" outlineLevel="0" collapsed="false">
      <c r="A59" s="102"/>
      <c r="B59" s="123" t="n">
        <v>1</v>
      </c>
      <c r="C59" s="123" t="s">
        <v>5359</v>
      </c>
      <c r="D59" s="136" t="n">
        <v>1.447</v>
      </c>
      <c r="E59" s="136" t="n">
        <v>1.416</v>
      </c>
      <c r="F59" s="129" t="n">
        <f aca="false">D59+E59</f>
        <v>2.863</v>
      </c>
      <c r="G59" s="129" t="n">
        <f aca="false">F59/2</f>
        <v>1.4315</v>
      </c>
      <c r="H59" s="126" t="n">
        <f aca="false">G59-INDEX($C$92:$C$101,MATCH(B59,$B$92:$B$101,0))-INDEX($C$104:$C$106,MATCH(C59,$B$104:$B$106,0))+$C$89</f>
        <v>-0.00833333333333353</v>
      </c>
      <c r="I59" s="102"/>
      <c r="J59" s="102"/>
      <c r="K59" s="102"/>
      <c r="L59" s="102"/>
      <c r="M59" s="102"/>
      <c r="N59" s="102"/>
      <c r="O59" s="102"/>
    </row>
    <row r="60" customFormat="false" ht="15" hidden="false" customHeight="true" outlineLevel="0" collapsed="false">
      <c r="A60" s="102"/>
      <c r="B60" s="123" t="n">
        <v>1</v>
      </c>
      <c r="C60" s="123" t="s">
        <v>640</v>
      </c>
      <c r="D60" s="136" t="n">
        <v>1.404</v>
      </c>
      <c r="E60" s="136" t="n">
        <v>1.441</v>
      </c>
      <c r="F60" s="129" t="n">
        <f aca="false">D60+E60</f>
        <v>2.845</v>
      </c>
      <c r="G60" s="129" t="n">
        <f aca="false">F60/2</f>
        <v>1.4225</v>
      </c>
      <c r="H60" s="126" t="n">
        <f aca="false">G60-INDEX($C$92:$C$101,MATCH(B60,$B$92:$B$101,0))-INDEX($C$104:$C$106,MATCH(C60,$B$104:$B$106,0))+$C$89</f>
        <v>0.0136166666666664</v>
      </c>
      <c r="I60" s="102"/>
      <c r="J60" s="102"/>
      <c r="K60" s="102"/>
      <c r="L60" s="102"/>
      <c r="M60" s="102"/>
      <c r="N60" s="102"/>
      <c r="O60" s="102"/>
    </row>
    <row r="61" customFormat="false" ht="15" hidden="false" customHeight="true" outlineLevel="0" collapsed="false">
      <c r="A61" s="102"/>
      <c r="B61" s="123" t="n">
        <v>2</v>
      </c>
      <c r="C61" s="123" t="s">
        <v>378</v>
      </c>
      <c r="D61" s="136" t="n">
        <v>1.62</v>
      </c>
      <c r="E61" s="136" t="n">
        <v>1.576</v>
      </c>
      <c r="F61" s="129" t="n">
        <f aca="false">D61+E61</f>
        <v>3.196</v>
      </c>
      <c r="G61" s="129" t="n">
        <f aca="false">F61/2</f>
        <v>1.598</v>
      </c>
      <c r="H61" s="126" t="n">
        <f aca="false">G61-INDEX($C$92:$C$101,MATCH(B61,$B$92:$B$101,0))-INDEX($C$104:$C$106,MATCH(C61,$B$104:$B$106,0))+$C$89</f>
        <v>0.0138833333333332</v>
      </c>
      <c r="I61" s="102"/>
      <c r="J61" s="102"/>
      <c r="K61" s="102"/>
      <c r="L61" s="102"/>
      <c r="M61" s="102"/>
      <c r="N61" s="102"/>
      <c r="O61" s="102"/>
    </row>
    <row r="62" customFormat="false" ht="15" hidden="false" customHeight="true" outlineLevel="0" collapsed="false">
      <c r="A62" s="102"/>
      <c r="B62" s="123" t="n">
        <v>2</v>
      </c>
      <c r="C62" s="123" t="s">
        <v>5359</v>
      </c>
      <c r="D62" s="136" t="n">
        <v>1.605</v>
      </c>
      <c r="E62" s="136" t="n">
        <v>1.593</v>
      </c>
      <c r="F62" s="129" t="n">
        <f aca="false">D62+E62</f>
        <v>3.198</v>
      </c>
      <c r="G62" s="129" t="n">
        <f aca="false">F62/2</f>
        <v>1.599</v>
      </c>
      <c r="H62" s="126" t="n">
        <f aca="false">G62-INDEX($C$92:$C$101,MATCH(B62,$B$92:$B$101,0))-INDEX($C$104:$C$106,MATCH(C62,$B$104:$B$106,0))+$C$89</f>
        <v>0.00383333333333313</v>
      </c>
      <c r="I62" s="102"/>
      <c r="J62" s="102"/>
      <c r="K62" s="102"/>
      <c r="L62" s="102"/>
      <c r="M62" s="102"/>
      <c r="N62" s="102"/>
      <c r="O62" s="102"/>
    </row>
    <row r="63" customFormat="false" ht="15" hidden="false" customHeight="true" outlineLevel="0" collapsed="false">
      <c r="A63" s="102"/>
      <c r="B63" s="123" t="n">
        <v>2</v>
      </c>
      <c r="C63" s="123" t="s">
        <v>640</v>
      </c>
      <c r="D63" s="136" t="n">
        <v>1.549</v>
      </c>
      <c r="E63" s="136" t="n">
        <v>1.544</v>
      </c>
      <c r="F63" s="129" t="n">
        <f aca="false">D63+E63</f>
        <v>3.093</v>
      </c>
      <c r="G63" s="129" t="n">
        <f aca="false">F63/2</f>
        <v>1.5465</v>
      </c>
      <c r="H63" s="126" t="n">
        <f aca="false">G63-INDEX($C$92:$C$101,MATCH(B63,$B$92:$B$101,0))-INDEX($C$104:$C$106,MATCH(C63,$B$104:$B$106,0))+$C$89</f>
        <v>-0.0177166666666668</v>
      </c>
      <c r="I63" s="102"/>
      <c r="J63" s="102"/>
      <c r="K63" s="102"/>
      <c r="L63" s="102"/>
      <c r="M63" s="102"/>
      <c r="N63" s="102"/>
      <c r="O63" s="102"/>
    </row>
    <row r="64" customFormat="false" ht="15" hidden="false" customHeight="true" outlineLevel="0" collapsed="false">
      <c r="A64" s="102"/>
      <c r="B64" s="123" t="n">
        <v>3</v>
      </c>
      <c r="C64" s="123" t="s">
        <v>378</v>
      </c>
      <c r="D64" s="136" t="n">
        <v>1.414</v>
      </c>
      <c r="E64" s="136" t="n">
        <v>1.421</v>
      </c>
      <c r="F64" s="129" t="n">
        <f aca="false">D64+E64</f>
        <v>2.835</v>
      </c>
      <c r="G64" s="129" t="n">
        <f aca="false">F64/2</f>
        <v>1.4175</v>
      </c>
      <c r="H64" s="126" t="n">
        <f aca="false">G64-INDEX($C$92:$C$101,MATCH(B64,$B$92:$B$101,0))-INDEX($C$104:$C$106,MATCH(C64,$B$104:$B$106,0))+$C$89</f>
        <v>-0.000783333333333802</v>
      </c>
      <c r="I64" s="102"/>
      <c r="J64" s="102"/>
      <c r="K64" s="102"/>
      <c r="L64" s="102"/>
      <c r="M64" s="102"/>
      <c r="N64" s="102"/>
      <c r="O64" s="102"/>
    </row>
    <row r="65" customFormat="false" ht="15" hidden="false" customHeight="true" outlineLevel="0" collapsed="false">
      <c r="A65" s="102"/>
      <c r="B65" s="123" t="n">
        <v>3</v>
      </c>
      <c r="C65" s="123" t="s">
        <v>5359</v>
      </c>
      <c r="D65" s="136" t="n">
        <v>1.431</v>
      </c>
      <c r="E65" s="136" t="n">
        <v>1.408</v>
      </c>
      <c r="F65" s="129" t="n">
        <f aca="false">D65+E65</f>
        <v>2.839</v>
      </c>
      <c r="G65" s="129" t="n">
        <f aca="false">F65/2</f>
        <v>1.4195</v>
      </c>
      <c r="H65" s="126" t="n">
        <f aca="false">G65-INDEX($C$92:$C$101,MATCH(B65,$B$92:$B$101,0))-INDEX($C$104:$C$106,MATCH(C65,$B$104:$B$106,0))+$C$89</f>
        <v>-0.00983333333333381</v>
      </c>
      <c r="I65" s="102"/>
      <c r="J65" s="102"/>
      <c r="K65" s="102"/>
      <c r="L65" s="102"/>
      <c r="M65" s="102"/>
      <c r="N65" s="102"/>
      <c r="O65" s="102"/>
    </row>
    <row r="66" customFormat="false" ht="15" hidden="false" customHeight="true" outlineLevel="0" collapsed="false">
      <c r="A66" s="102"/>
      <c r="B66" s="123" t="n">
        <v>3</v>
      </c>
      <c r="C66" s="123" t="s">
        <v>640</v>
      </c>
      <c r="D66" s="136" t="n">
        <v>1.417</v>
      </c>
      <c r="E66" s="136" t="n">
        <v>1.401</v>
      </c>
      <c r="F66" s="129" t="n">
        <f aca="false">D66+E66</f>
        <v>2.818</v>
      </c>
      <c r="G66" s="129" t="n">
        <f aca="false">F66/2</f>
        <v>1.409</v>
      </c>
      <c r="H66" s="126" t="n">
        <f aca="false">G66-INDEX($C$92:$C$101,MATCH(B66,$B$92:$B$101,0))-INDEX($C$104:$C$106,MATCH(C66,$B$104:$B$106,0))+$C$89</f>
        <v>0.0106166666666663</v>
      </c>
      <c r="I66" s="102"/>
      <c r="J66" s="102"/>
      <c r="K66" s="102"/>
      <c r="L66" s="102"/>
      <c r="M66" s="102"/>
      <c r="N66" s="102"/>
      <c r="O66" s="102"/>
    </row>
    <row r="67" customFormat="false" ht="15" hidden="false" customHeight="true" outlineLevel="0" collapsed="false">
      <c r="A67" s="102"/>
      <c r="B67" s="123" t="n">
        <v>4</v>
      </c>
      <c r="C67" s="123" t="s">
        <v>378</v>
      </c>
      <c r="D67" s="136" t="n">
        <v>1.414</v>
      </c>
      <c r="E67" s="136" t="n">
        <v>1.407</v>
      </c>
      <c r="F67" s="129" t="n">
        <f aca="false">D67+E67</f>
        <v>2.821</v>
      </c>
      <c r="G67" s="129" t="n">
        <f aca="false">F67/2</f>
        <v>1.4105</v>
      </c>
      <c r="H67" s="126" t="n">
        <f aca="false">G67-INDEX($C$92:$C$101,MATCH(B67,$B$92:$B$101,0))-INDEX($C$104:$C$106,MATCH(C67,$B$104:$B$106,0))+$C$89</f>
        <v>0.00438333333333296</v>
      </c>
      <c r="I67" s="102"/>
      <c r="J67" s="102"/>
      <c r="K67" s="102"/>
      <c r="L67" s="102"/>
      <c r="M67" s="102"/>
      <c r="N67" s="102"/>
      <c r="O67" s="102"/>
    </row>
    <row r="68" customFormat="false" ht="15" hidden="false" customHeight="true" outlineLevel="0" collapsed="false">
      <c r="A68" s="102"/>
      <c r="B68" s="123" t="n">
        <v>4</v>
      </c>
      <c r="C68" s="123" t="s">
        <v>5359</v>
      </c>
      <c r="D68" s="136" t="n">
        <v>1.424</v>
      </c>
      <c r="E68" s="136" t="n">
        <v>1.387</v>
      </c>
      <c r="F68" s="129" t="n">
        <f aca="false">D68+E68</f>
        <v>2.811</v>
      </c>
      <c r="G68" s="129" t="n">
        <f aca="false">F68/2</f>
        <v>1.4055</v>
      </c>
      <c r="H68" s="126" t="n">
        <f aca="false">G68-INDEX($C$92:$C$101,MATCH(B68,$B$92:$B$101,0))-INDEX($C$104:$C$106,MATCH(C68,$B$104:$B$106,0))+$C$89</f>
        <v>-0.0116666666666669</v>
      </c>
      <c r="I68" s="102"/>
      <c r="J68" s="102"/>
      <c r="K68" s="102"/>
      <c r="L68" s="102"/>
      <c r="M68" s="102"/>
      <c r="N68" s="102"/>
      <c r="O68" s="102"/>
    </row>
    <row r="69" customFormat="false" ht="15" hidden="false" customHeight="true" outlineLevel="0" collapsed="false">
      <c r="A69" s="102"/>
      <c r="B69" s="123" t="n">
        <v>4</v>
      </c>
      <c r="C69" s="123" t="s">
        <v>640</v>
      </c>
      <c r="D69" s="136" t="n">
        <v>1.395</v>
      </c>
      <c r="E69" s="136" t="n">
        <v>1.392</v>
      </c>
      <c r="F69" s="129" t="n">
        <f aca="false">D69+E69</f>
        <v>2.787</v>
      </c>
      <c r="G69" s="129" t="n">
        <f aca="false">F69/2</f>
        <v>1.3935</v>
      </c>
      <c r="H69" s="126" t="n">
        <f aca="false">G69-INDEX($C$92:$C$101,MATCH(B69,$B$92:$B$101,0))-INDEX($C$104:$C$106,MATCH(C69,$B$104:$B$106,0))+$C$89</f>
        <v>0.00728333333333309</v>
      </c>
      <c r="I69" s="102"/>
      <c r="J69" s="102"/>
      <c r="K69" s="102"/>
      <c r="L69" s="102"/>
      <c r="M69" s="102"/>
      <c r="N69" s="102"/>
      <c r="O69" s="102"/>
    </row>
    <row r="70" customFormat="false" ht="15" hidden="false" customHeight="true" outlineLevel="0" collapsed="false">
      <c r="A70" s="102"/>
      <c r="B70" s="123" t="n">
        <v>5</v>
      </c>
      <c r="C70" s="123" t="s">
        <v>378</v>
      </c>
      <c r="D70" s="136" t="n">
        <v>1.485</v>
      </c>
      <c r="E70" s="136" t="n">
        <v>1.485</v>
      </c>
      <c r="F70" s="129" t="n">
        <f aca="false">D70+E70</f>
        <v>2.97</v>
      </c>
      <c r="G70" s="129" t="n">
        <f aca="false">F70/2</f>
        <v>1.485</v>
      </c>
      <c r="H70" s="126" t="n">
        <f aca="false">G70-INDEX($C$92:$C$101,MATCH(B70,$B$92:$B$101,0))-INDEX($C$104:$C$106,MATCH(C70,$B$104:$B$106,0))+$C$89</f>
        <v>0.00988333333333324</v>
      </c>
      <c r="I70" s="102"/>
      <c r="J70" s="102"/>
      <c r="K70" s="102"/>
      <c r="L70" s="102"/>
      <c r="M70" s="102"/>
      <c r="N70" s="102"/>
      <c r="O70" s="102"/>
    </row>
    <row r="71" customFormat="false" ht="15" hidden="false" customHeight="true" outlineLevel="0" collapsed="false">
      <c r="A71" s="102"/>
      <c r="B71" s="123" t="n">
        <v>5</v>
      </c>
      <c r="C71" s="123" t="s">
        <v>5359</v>
      </c>
      <c r="D71" s="136" t="n">
        <v>1.491</v>
      </c>
      <c r="E71" s="136" t="n">
        <v>1.468</v>
      </c>
      <c r="F71" s="129" t="n">
        <f aca="false">D71+E71</f>
        <v>2.959</v>
      </c>
      <c r="G71" s="129" t="n">
        <f aca="false">F71/2</f>
        <v>1.4795</v>
      </c>
      <c r="H71" s="126" t="n">
        <f aca="false">G71-INDEX($C$92:$C$101,MATCH(B71,$B$92:$B$101,0))-INDEX($C$104:$C$106,MATCH(C71,$B$104:$B$106,0))+$C$89</f>
        <v>-0.00666666666666682</v>
      </c>
      <c r="I71" s="102"/>
      <c r="J71" s="102"/>
      <c r="K71" s="102"/>
      <c r="L71" s="102"/>
      <c r="M71" s="102"/>
      <c r="N71" s="102"/>
      <c r="O71" s="102"/>
    </row>
    <row r="72" customFormat="false" ht="15" hidden="false" customHeight="true" outlineLevel="0" collapsed="false">
      <c r="A72" s="102"/>
      <c r="B72" s="123" t="n">
        <v>5</v>
      </c>
      <c r="C72" s="123" t="s">
        <v>640</v>
      </c>
      <c r="D72" s="136" t="n">
        <v>1.447</v>
      </c>
      <c r="E72" s="136" t="n">
        <v>1.457</v>
      </c>
      <c r="F72" s="129" t="n">
        <f aca="false">D72+E72</f>
        <v>2.904</v>
      </c>
      <c r="G72" s="129" t="n">
        <f aca="false">F72/2</f>
        <v>1.452</v>
      </c>
      <c r="H72" s="126" t="n">
        <f aca="false">G72-INDEX($C$92:$C$101,MATCH(B72,$B$92:$B$101,0))-INDEX($C$104:$C$106,MATCH(C72,$B$104:$B$106,0))+$C$89</f>
        <v>-0.00321666666666687</v>
      </c>
      <c r="I72" s="102"/>
      <c r="J72" s="102"/>
      <c r="K72" s="102"/>
      <c r="L72" s="102"/>
      <c r="M72" s="102"/>
      <c r="N72" s="102"/>
      <c r="O72" s="102"/>
    </row>
    <row r="73" customFormat="false" ht="15" hidden="false" customHeight="true" outlineLevel="0" collapsed="false">
      <c r="A73" s="102"/>
      <c r="B73" s="123" t="n">
        <v>6</v>
      </c>
      <c r="C73" s="123" t="s">
        <v>378</v>
      </c>
      <c r="D73" s="136" t="n">
        <v>1.242</v>
      </c>
      <c r="E73" s="136" t="n">
        <v>1.29</v>
      </c>
      <c r="F73" s="129" t="n">
        <f aca="false">D73+E73</f>
        <v>2.532</v>
      </c>
      <c r="G73" s="129" t="n">
        <f aca="false">F73/2</f>
        <v>1.266</v>
      </c>
      <c r="H73" s="126" t="n">
        <f aca="false">G73-INDEX($C$92:$C$101,MATCH(B73,$B$92:$B$101,0))-INDEX($C$104:$C$106,MATCH(C73,$B$104:$B$106,0))+$C$89</f>
        <v>-0.0152833333333335</v>
      </c>
      <c r="I73" s="102"/>
      <c r="J73" s="102"/>
      <c r="K73" s="102"/>
      <c r="L73" s="102"/>
      <c r="M73" s="102"/>
      <c r="N73" s="102"/>
      <c r="O73" s="102"/>
    </row>
    <row r="74" customFormat="false" ht="15" hidden="false" customHeight="true" outlineLevel="0" collapsed="false">
      <c r="A74" s="102"/>
      <c r="B74" s="123" t="n">
        <v>6</v>
      </c>
      <c r="C74" s="123" t="s">
        <v>5359</v>
      </c>
      <c r="D74" s="136" t="n">
        <v>1.299</v>
      </c>
      <c r="E74" s="136" t="n">
        <v>1.32</v>
      </c>
      <c r="F74" s="129" t="n">
        <f aca="false">D74+E74</f>
        <v>2.619</v>
      </c>
      <c r="G74" s="129" t="n">
        <f aca="false">F74/2</f>
        <v>1.3095</v>
      </c>
      <c r="H74" s="126" t="n">
        <f aca="false">G74-INDEX($C$92:$C$101,MATCH(B74,$B$92:$B$101,0))-INDEX($C$104:$C$106,MATCH(C74,$B$104:$B$106,0))+$C$89</f>
        <v>0.0171666666666663</v>
      </c>
      <c r="I74" s="102"/>
      <c r="J74" s="102"/>
      <c r="K74" s="102"/>
      <c r="L74" s="102"/>
      <c r="M74" s="102"/>
      <c r="N74" s="102"/>
      <c r="O74" s="102"/>
    </row>
    <row r="75" customFormat="false" ht="15" hidden="false" customHeight="true" outlineLevel="0" collapsed="false">
      <c r="A75" s="102"/>
      <c r="B75" s="123" t="n">
        <v>6</v>
      </c>
      <c r="C75" s="123" t="s">
        <v>640</v>
      </c>
      <c r="D75" s="136" t="n">
        <v>1.27</v>
      </c>
      <c r="E75" s="136" t="n">
        <v>1.249</v>
      </c>
      <c r="F75" s="129" t="n">
        <f aca="false">D75+E75</f>
        <v>2.519</v>
      </c>
      <c r="G75" s="129" t="n">
        <f aca="false">F75/2</f>
        <v>1.2595</v>
      </c>
      <c r="H75" s="126" t="n">
        <f aca="false">G75-INDEX($C$92:$C$101,MATCH(B75,$B$92:$B$101,0))-INDEX($C$104:$C$106,MATCH(C75,$B$104:$B$106,0))+$C$89</f>
        <v>-0.00188333333333346</v>
      </c>
      <c r="I75" s="102"/>
      <c r="J75" s="102"/>
      <c r="K75" s="102"/>
      <c r="L75" s="102"/>
      <c r="M75" s="102"/>
      <c r="N75" s="102"/>
      <c r="O75" s="102"/>
    </row>
    <row r="76" customFormat="false" ht="15" hidden="false" customHeight="true" outlineLevel="0" collapsed="false">
      <c r="A76" s="102"/>
      <c r="B76" s="123" t="n">
        <v>7</v>
      </c>
      <c r="C76" s="123" t="s">
        <v>378</v>
      </c>
      <c r="D76" s="136" t="n">
        <v>1.419</v>
      </c>
      <c r="E76" s="136" t="n">
        <v>1.404</v>
      </c>
      <c r="F76" s="129" t="n">
        <f aca="false">D76+E76</f>
        <v>2.823</v>
      </c>
      <c r="G76" s="129" t="n">
        <f aca="false">F76/2</f>
        <v>1.4115</v>
      </c>
      <c r="H76" s="126" t="n">
        <f aca="false">G76-INDEX($C$92:$C$101,MATCH(B76,$B$92:$B$101,0))-INDEX($C$104:$C$106,MATCH(C76,$B$104:$B$106,0))+$C$89</f>
        <v>0.0177166666666664</v>
      </c>
      <c r="I76" s="102"/>
      <c r="J76" s="102"/>
      <c r="K76" s="102"/>
      <c r="L76" s="102"/>
      <c r="M76" s="102"/>
      <c r="N76" s="102"/>
      <c r="O76" s="102"/>
    </row>
    <row r="77" customFormat="false" ht="15" hidden="false" customHeight="true" outlineLevel="0" collapsed="false">
      <c r="A77" s="102"/>
      <c r="B77" s="123" t="n">
        <v>7</v>
      </c>
      <c r="C77" s="123" t="s">
        <v>5359</v>
      </c>
      <c r="D77" s="136" t="n">
        <v>1.39</v>
      </c>
      <c r="E77" s="136" t="n">
        <v>1.395</v>
      </c>
      <c r="F77" s="129" t="n">
        <f aca="false">D77+E77</f>
        <v>2.785</v>
      </c>
      <c r="G77" s="129" t="n">
        <f aca="false">F77/2</f>
        <v>1.3925</v>
      </c>
      <c r="H77" s="126" t="n">
        <f aca="false">G77-INDEX($C$92:$C$101,MATCH(B77,$B$92:$B$101,0))-INDEX($C$104:$C$106,MATCH(C77,$B$104:$B$106,0))+$C$89</f>
        <v>-0.0123333333333335</v>
      </c>
      <c r="I77" s="102"/>
      <c r="J77" s="102"/>
      <c r="K77" s="102"/>
      <c r="L77" s="102"/>
      <c r="M77" s="102"/>
      <c r="N77" s="102"/>
      <c r="O77" s="102"/>
    </row>
    <row r="78" customFormat="false" ht="15" hidden="false" customHeight="true" outlineLevel="0" collapsed="false">
      <c r="A78" s="102"/>
      <c r="B78" s="123" t="n">
        <v>7</v>
      </c>
      <c r="C78" s="123" t="s">
        <v>640</v>
      </c>
      <c r="D78" s="136" t="n">
        <v>1.356</v>
      </c>
      <c r="E78" s="136" t="n">
        <v>1.381</v>
      </c>
      <c r="F78" s="129" t="n">
        <f aca="false">D78+E78</f>
        <v>2.737</v>
      </c>
      <c r="G78" s="129" t="n">
        <f aca="false">F78/2</f>
        <v>1.3685</v>
      </c>
      <c r="H78" s="126" t="n">
        <f aca="false">G78-INDEX($C$92:$C$101,MATCH(B78,$B$92:$B$101,0))-INDEX($C$104:$C$106,MATCH(C78,$B$104:$B$106,0))+$C$89</f>
        <v>-0.00538333333333352</v>
      </c>
      <c r="I78" s="102"/>
      <c r="J78" s="102"/>
      <c r="K78" s="102"/>
      <c r="L78" s="102"/>
      <c r="M78" s="102"/>
      <c r="N78" s="102"/>
      <c r="O78" s="102"/>
    </row>
    <row r="79" customFormat="false" ht="15" hidden="false" customHeight="true" outlineLevel="0" collapsed="false">
      <c r="A79" s="102"/>
      <c r="B79" s="123" t="n">
        <v>8</v>
      </c>
      <c r="C79" s="123" t="s">
        <v>378</v>
      </c>
      <c r="D79" s="136" t="n">
        <v>1.397</v>
      </c>
      <c r="E79" s="136" t="n">
        <v>1.378</v>
      </c>
      <c r="F79" s="129" t="n">
        <f aca="false">D79+E79</f>
        <v>2.775</v>
      </c>
      <c r="G79" s="129" t="n">
        <f aca="false">F79/2</f>
        <v>1.3875</v>
      </c>
      <c r="H79" s="126" t="n">
        <f aca="false">G79-INDEX($C$92:$C$101,MATCH(B79,$B$92:$B$101,0))-INDEX($C$104:$C$106,MATCH(C79,$B$104:$B$106,0))+$C$89</f>
        <v>-0.00445000000000029</v>
      </c>
      <c r="I79" s="102"/>
      <c r="J79" s="102"/>
      <c r="K79" s="102"/>
      <c r="L79" s="102"/>
      <c r="M79" s="102"/>
      <c r="N79" s="102"/>
      <c r="O79" s="102"/>
    </row>
    <row r="80" customFormat="false" ht="15" hidden="false" customHeight="true" outlineLevel="0" collapsed="false">
      <c r="A80" s="102"/>
      <c r="B80" s="123" t="n">
        <v>8</v>
      </c>
      <c r="C80" s="123" t="s">
        <v>5359</v>
      </c>
      <c r="D80" s="136" t="n">
        <v>1.41</v>
      </c>
      <c r="E80" s="136" t="n">
        <v>1.412</v>
      </c>
      <c r="F80" s="129" t="n">
        <f aca="false">D80+E80</f>
        <v>2.822</v>
      </c>
      <c r="G80" s="129" t="n">
        <f aca="false">F80/2</f>
        <v>1.411</v>
      </c>
      <c r="H80" s="126" t="n">
        <f aca="false">G80-INDEX($C$92:$C$101,MATCH(B80,$B$92:$B$101,0))-INDEX($C$104:$C$106,MATCH(C80,$B$104:$B$106,0))+$C$89</f>
        <v>0.00799999999999979</v>
      </c>
      <c r="I80" s="102"/>
      <c r="J80" s="102"/>
      <c r="K80" s="102"/>
      <c r="L80" s="102"/>
      <c r="M80" s="102"/>
      <c r="N80" s="102"/>
      <c r="O80" s="102"/>
    </row>
    <row r="81" customFormat="false" ht="15" hidden="false" customHeight="true" outlineLevel="0" collapsed="false">
      <c r="A81" s="102"/>
      <c r="B81" s="123" t="n">
        <v>8</v>
      </c>
      <c r="C81" s="123" t="s">
        <v>640</v>
      </c>
      <c r="D81" s="136" t="n">
        <v>1.364</v>
      </c>
      <c r="E81" s="136" t="n">
        <v>1.373</v>
      </c>
      <c r="F81" s="129" t="n">
        <f aca="false">D81+E81</f>
        <v>2.737</v>
      </c>
      <c r="G81" s="129" t="n">
        <f aca="false">F81/2</f>
        <v>1.3685</v>
      </c>
      <c r="H81" s="126" t="n">
        <f aca="false">G81-INDEX($C$92:$C$101,MATCH(B81,$B$92:$B$101,0))-INDEX($C$104:$C$106,MATCH(C81,$B$104:$B$106,0))+$C$89</f>
        <v>-0.00355000000000016</v>
      </c>
      <c r="I81" s="102"/>
      <c r="J81" s="102"/>
      <c r="K81" s="102"/>
      <c r="L81" s="102"/>
      <c r="M81" s="102"/>
      <c r="N81" s="102"/>
      <c r="O81" s="102"/>
    </row>
    <row r="82" customFormat="false" ht="15" hidden="false" customHeight="true" outlineLevel="0" collapsed="false">
      <c r="A82" s="102"/>
      <c r="B82" s="123" t="n">
        <v>9</v>
      </c>
      <c r="C82" s="123" t="s">
        <v>378</v>
      </c>
      <c r="D82" s="136" t="n">
        <v>1.415</v>
      </c>
      <c r="E82" s="136" t="n">
        <v>1.441</v>
      </c>
      <c r="F82" s="129" t="n">
        <f aca="false">D82+E82</f>
        <v>2.856</v>
      </c>
      <c r="G82" s="129" t="n">
        <f aca="false">F82/2</f>
        <v>1.428</v>
      </c>
      <c r="H82" s="126" t="n">
        <f aca="false">G82-INDEX($C$92:$C$101,MATCH(B82,$B$92:$B$101,0))-INDEX($C$104:$C$106,MATCH(C82,$B$104:$B$106,0))+$C$89</f>
        <v>-0.00345000000000018</v>
      </c>
      <c r="I82" s="102"/>
      <c r="J82" s="102"/>
      <c r="K82" s="102"/>
      <c r="L82" s="102"/>
      <c r="M82" s="102"/>
      <c r="N82" s="102"/>
      <c r="O82" s="102"/>
    </row>
    <row r="83" customFormat="false" ht="15" hidden="false" customHeight="true" outlineLevel="0" collapsed="false">
      <c r="A83" s="102"/>
      <c r="B83" s="123" t="n">
        <v>9</v>
      </c>
      <c r="C83" s="123" t="s">
        <v>5359</v>
      </c>
      <c r="D83" s="136" t="n">
        <v>1.429</v>
      </c>
      <c r="E83" s="136" t="n">
        <v>1.462</v>
      </c>
      <c r="F83" s="129" t="n">
        <f aca="false">D83+E83</f>
        <v>2.891</v>
      </c>
      <c r="G83" s="129" t="n">
        <f aca="false">F83/2</f>
        <v>1.4455</v>
      </c>
      <c r="H83" s="126" t="n">
        <f aca="false">G83-INDEX($C$92:$C$101,MATCH(B83,$B$92:$B$101,0))-INDEX($C$104:$C$106,MATCH(C83,$B$104:$B$106,0))+$C$89</f>
        <v>0.00299999999999989</v>
      </c>
      <c r="I83" s="102"/>
      <c r="J83" s="102"/>
      <c r="K83" s="102"/>
      <c r="L83" s="102"/>
      <c r="M83" s="102"/>
      <c r="N83" s="102"/>
      <c r="O83" s="102"/>
    </row>
    <row r="84" customFormat="false" ht="15" hidden="false" customHeight="true" outlineLevel="0" collapsed="false">
      <c r="A84" s="102"/>
      <c r="B84" s="123" t="n">
        <v>9</v>
      </c>
      <c r="C84" s="123" t="s">
        <v>640</v>
      </c>
      <c r="D84" s="136" t="n">
        <v>1.403</v>
      </c>
      <c r="E84" s="136" t="n">
        <v>1.421</v>
      </c>
      <c r="F84" s="129" t="n">
        <f aca="false">D84+E84</f>
        <v>2.824</v>
      </c>
      <c r="G84" s="129" t="n">
        <f aca="false">F84/2</f>
        <v>1.412</v>
      </c>
      <c r="H84" s="126" t="n">
        <f aca="false">G84-INDEX($C$92:$C$101,MATCH(B84,$B$92:$B$101,0))-INDEX($C$104:$C$106,MATCH(C84,$B$104:$B$106,0))+$C$89</f>
        <v>0.000449999999999839</v>
      </c>
      <c r="I84" s="102"/>
      <c r="J84" s="102"/>
      <c r="K84" s="102"/>
      <c r="L84" s="102"/>
      <c r="M84" s="102"/>
      <c r="N84" s="102"/>
      <c r="O84" s="102"/>
    </row>
    <row r="85" customFormat="false" ht="15" hidden="false" customHeight="true" outlineLevel="0" collapsed="false">
      <c r="A85" s="102"/>
      <c r="B85" s="123" t="n">
        <v>10</v>
      </c>
      <c r="C85" s="123" t="s">
        <v>378</v>
      </c>
      <c r="D85" s="136" t="n">
        <v>1.334</v>
      </c>
      <c r="E85" s="136" t="n">
        <v>1.314</v>
      </c>
      <c r="F85" s="129" t="n">
        <f aca="false">D85+E85</f>
        <v>2.648</v>
      </c>
      <c r="G85" s="129" t="n">
        <f aca="false">F85/2</f>
        <v>1.324</v>
      </c>
      <c r="H85" s="126" t="n">
        <f aca="false">G85-INDEX($C$92:$C$101,MATCH(B85,$B$92:$B$101,0))-INDEX($C$104:$C$106,MATCH(C85,$B$104:$B$106,0))+$C$89</f>
        <v>-0.0166166666666667</v>
      </c>
      <c r="I85" s="102"/>
      <c r="J85" s="102"/>
      <c r="K85" s="102"/>
      <c r="L85" s="102"/>
      <c r="M85" s="102"/>
      <c r="N85" s="102"/>
      <c r="O85" s="102"/>
    </row>
    <row r="86" customFormat="false" ht="15" hidden="false" customHeight="true" outlineLevel="0" collapsed="false">
      <c r="A86" s="102"/>
      <c r="B86" s="123" t="n">
        <v>10</v>
      </c>
      <c r="C86" s="123" t="s">
        <v>5359</v>
      </c>
      <c r="D86" s="136" t="n">
        <v>1.385</v>
      </c>
      <c r="E86" s="136" t="n">
        <v>1.352</v>
      </c>
      <c r="F86" s="129" t="n">
        <f aca="false">D86+E86</f>
        <v>2.737</v>
      </c>
      <c r="G86" s="129" t="n">
        <f aca="false">F86/2</f>
        <v>1.3685</v>
      </c>
      <c r="H86" s="126" t="n">
        <f aca="false">G86-INDEX($C$92:$C$101,MATCH(B86,$B$92:$B$101,0))-INDEX($C$104:$C$106,MATCH(C86,$B$104:$B$106,0))+$C$89</f>
        <v>0.0168333333333333</v>
      </c>
      <c r="I86" s="102"/>
      <c r="J86" s="102"/>
      <c r="K86" s="102"/>
      <c r="L86" s="102"/>
      <c r="M86" s="102"/>
      <c r="N86" s="102"/>
      <c r="O86" s="102"/>
    </row>
    <row r="87" customFormat="false" ht="15" hidden="false" customHeight="true" outlineLevel="0" collapsed="false">
      <c r="A87" s="102"/>
      <c r="B87" s="123" t="n">
        <v>10</v>
      </c>
      <c r="C87" s="123" t="s">
        <v>640</v>
      </c>
      <c r="D87" s="136" t="n">
        <v>1.308</v>
      </c>
      <c r="E87" s="136" t="n">
        <v>1.333</v>
      </c>
      <c r="F87" s="129" t="n">
        <f aca="false">D87+E87</f>
        <v>2.641</v>
      </c>
      <c r="G87" s="129" t="n">
        <f aca="false">F87/2</f>
        <v>1.3205</v>
      </c>
      <c r="H87" s="126" t="n">
        <f aca="false">G87-INDEX($C$92:$C$101,MATCH(B87,$B$92:$B$101,0))-INDEX($C$104:$C$106,MATCH(C87,$B$104:$B$106,0))+$C$89</f>
        <v>-0.000216666666666754</v>
      </c>
      <c r="I87" s="102"/>
      <c r="J87" s="102"/>
      <c r="K87" s="102"/>
      <c r="L87" s="102"/>
      <c r="M87" s="102"/>
      <c r="N87" s="102"/>
      <c r="O87" s="102"/>
    </row>
    <row r="88" customFormat="false" ht="15" hidden="false" customHeight="true" outlineLevel="0" collapsed="false">
      <c r="A88" s="102"/>
      <c r="B88" s="102"/>
      <c r="C88" s="102"/>
      <c r="D88" s="102"/>
      <c r="E88" s="102"/>
      <c r="F88" s="102"/>
      <c r="G88" s="102"/>
      <c r="H88" s="102"/>
      <c r="I88" s="102"/>
      <c r="J88" s="102"/>
      <c r="K88" s="102"/>
      <c r="L88" s="102"/>
      <c r="M88" s="102"/>
      <c r="N88" s="102"/>
      <c r="O88" s="102"/>
    </row>
    <row r="89" customFormat="false" ht="15" hidden="false" customHeight="true" outlineLevel="0" collapsed="false">
      <c r="A89" s="102"/>
      <c r="B89" s="105" t="s">
        <v>6458</v>
      </c>
      <c r="C89" s="126" t="n">
        <f aca="false">SUM(F58:F87)/60</f>
        <v>1.4122</v>
      </c>
      <c r="D89" s="102"/>
      <c r="E89" s="102"/>
      <c r="F89" s="102"/>
      <c r="G89" s="102"/>
      <c r="H89" s="102"/>
      <c r="I89" s="102"/>
      <c r="J89" s="102"/>
      <c r="K89" s="102"/>
      <c r="L89" s="102"/>
      <c r="M89" s="102"/>
      <c r="N89" s="102"/>
      <c r="O89" s="102"/>
    </row>
    <row r="90" customFormat="false" ht="15" hidden="false" customHeight="true" outlineLevel="0" collapsed="false">
      <c r="A90" s="102"/>
      <c r="B90" s="102"/>
      <c r="C90" s="102"/>
      <c r="D90" s="102"/>
      <c r="E90" s="102"/>
      <c r="F90" s="102"/>
      <c r="G90" s="102"/>
      <c r="H90" s="102"/>
      <c r="I90" s="102"/>
      <c r="J90" s="102"/>
      <c r="K90" s="102"/>
      <c r="L90" s="102"/>
      <c r="M90" s="102"/>
      <c r="N90" s="102"/>
      <c r="O90" s="102"/>
    </row>
    <row r="91" customFormat="false" ht="16.5" hidden="false" customHeight="true" outlineLevel="0" collapsed="false">
      <c r="A91" s="102"/>
      <c r="B91" s="108" t="s">
        <v>6452</v>
      </c>
      <c r="C91" s="108" t="s">
        <v>6459</v>
      </c>
      <c r="D91" s="102"/>
      <c r="E91" s="102"/>
      <c r="F91" s="102"/>
      <c r="G91" s="102"/>
      <c r="H91" s="102"/>
      <c r="I91" s="102"/>
      <c r="J91" s="102"/>
      <c r="K91" s="102"/>
      <c r="L91" s="102"/>
      <c r="M91" s="102"/>
      <c r="N91" s="102"/>
      <c r="O91" s="102"/>
    </row>
    <row r="92" customFormat="false" ht="15" hidden="false" customHeight="true" outlineLevel="0" collapsed="false">
      <c r="A92" s="102"/>
      <c r="B92" s="123" t="n">
        <v>1</v>
      </c>
      <c r="C92" s="126" t="n">
        <f aca="false">SUM(F58:F60)/6</f>
        <v>1.42583333333333</v>
      </c>
      <c r="D92" s="102"/>
      <c r="E92" s="102"/>
      <c r="F92" s="102"/>
      <c r="G92" s="102"/>
      <c r="H92" s="102"/>
      <c r="I92" s="102"/>
      <c r="J92" s="102"/>
      <c r="K92" s="102"/>
      <c r="L92" s="102"/>
      <c r="M92" s="102"/>
      <c r="N92" s="102"/>
      <c r="O92" s="102"/>
    </row>
    <row r="93" customFormat="false" ht="15" hidden="false" customHeight="true" outlineLevel="0" collapsed="false">
      <c r="A93" s="102"/>
      <c r="B93" s="123" t="n">
        <v>2</v>
      </c>
      <c r="C93" s="126" t="n">
        <f aca="false">SUM(F61:F63)/6</f>
        <v>1.58116666666667</v>
      </c>
      <c r="D93" s="102"/>
      <c r="E93" s="102"/>
      <c r="F93" s="102"/>
      <c r="G93" s="102"/>
      <c r="H93" s="102"/>
      <c r="I93" s="102"/>
      <c r="J93" s="102"/>
      <c r="K93" s="102"/>
      <c r="L93" s="102"/>
      <c r="M93" s="102"/>
      <c r="N93" s="102"/>
      <c r="O93" s="102"/>
    </row>
    <row r="94" customFormat="false" ht="15" hidden="false" customHeight="true" outlineLevel="0" collapsed="false">
      <c r="A94" s="102"/>
      <c r="B94" s="123" t="n">
        <v>3</v>
      </c>
      <c r="C94" s="126" t="n">
        <f aca="false">SUM(F64:F66)/6</f>
        <v>1.41533333333333</v>
      </c>
      <c r="D94" s="102"/>
      <c r="E94" s="102"/>
      <c r="F94" s="102"/>
      <c r="G94" s="102"/>
      <c r="H94" s="102"/>
      <c r="I94" s="102"/>
      <c r="J94" s="102"/>
      <c r="K94" s="102"/>
      <c r="L94" s="102"/>
      <c r="M94" s="102"/>
      <c r="N94" s="102"/>
      <c r="O94" s="102"/>
    </row>
    <row r="95" customFormat="false" ht="15" hidden="false" customHeight="true" outlineLevel="0" collapsed="false">
      <c r="A95" s="102"/>
      <c r="B95" s="123" t="n">
        <v>4</v>
      </c>
      <c r="C95" s="126" t="n">
        <f aca="false">SUM(F67:F69)/6</f>
        <v>1.40316666666667</v>
      </c>
      <c r="D95" s="102"/>
      <c r="E95" s="102"/>
      <c r="F95" s="102"/>
      <c r="G95" s="102"/>
      <c r="H95" s="102"/>
      <c r="I95" s="102"/>
      <c r="J95" s="102"/>
      <c r="K95" s="102"/>
      <c r="L95" s="102"/>
      <c r="M95" s="102"/>
      <c r="N95" s="102"/>
      <c r="O95" s="102"/>
    </row>
    <row r="96" customFormat="false" ht="15" hidden="false" customHeight="true" outlineLevel="0" collapsed="false">
      <c r="A96" s="102"/>
      <c r="B96" s="123" t="n">
        <v>5</v>
      </c>
      <c r="C96" s="126" t="n">
        <f aca="false">SUM(F70:F72)/6</f>
        <v>1.47216666666667</v>
      </c>
      <c r="D96" s="102"/>
      <c r="E96" s="102"/>
      <c r="F96" s="102"/>
      <c r="G96" s="102"/>
      <c r="H96" s="102"/>
      <c r="I96" s="102"/>
      <c r="J96" s="102"/>
      <c r="K96" s="102"/>
      <c r="L96" s="102"/>
      <c r="M96" s="102"/>
      <c r="N96" s="102"/>
      <c r="O96" s="102"/>
    </row>
    <row r="97" customFormat="false" ht="15" hidden="false" customHeight="true" outlineLevel="0" collapsed="false">
      <c r="A97" s="102"/>
      <c r="B97" s="123" t="n">
        <v>6</v>
      </c>
      <c r="C97" s="126" t="n">
        <f aca="false">SUM(F73:F75)/6</f>
        <v>1.27833333333333</v>
      </c>
      <c r="D97" s="102"/>
      <c r="E97" s="102"/>
      <c r="F97" s="102"/>
      <c r="G97" s="102"/>
      <c r="H97" s="102"/>
      <c r="I97" s="102"/>
      <c r="J97" s="102"/>
      <c r="K97" s="102"/>
      <c r="L97" s="102"/>
      <c r="M97" s="102"/>
      <c r="N97" s="102"/>
      <c r="O97" s="102"/>
    </row>
    <row r="98" customFormat="false" ht="15" hidden="false" customHeight="true" outlineLevel="0" collapsed="false">
      <c r="A98" s="102"/>
      <c r="B98" s="123" t="n">
        <v>7</v>
      </c>
      <c r="C98" s="126" t="n">
        <f aca="false">SUM(F76:F78)/6</f>
        <v>1.39083333333333</v>
      </c>
      <c r="D98" s="102"/>
      <c r="E98" s="102"/>
      <c r="F98" s="102"/>
      <c r="G98" s="102"/>
      <c r="H98" s="102"/>
      <c r="I98" s="102"/>
      <c r="J98" s="102"/>
      <c r="K98" s="102"/>
      <c r="L98" s="102"/>
      <c r="M98" s="102"/>
      <c r="N98" s="102"/>
      <c r="O98" s="102"/>
    </row>
    <row r="99" customFormat="false" ht="15" hidden="false" customHeight="true" outlineLevel="0" collapsed="false">
      <c r="A99" s="102"/>
      <c r="B99" s="123" t="n">
        <v>8</v>
      </c>
      <c r="C99" s="126" t="n">
        <f aca="false">SUM(F79:F81)/6</f>
        <v>1.389</v>
      </c>
      <c r="D99" s="102"/>
      <c r="E99" s="102"/>
      <c r="F99" s="102"/>
      <c r="G99" s="102"/>
      <c r="H99" s="102"/>
      <c r="I99" s="102"/>
      <c r="J99" s="102"/>
      <c r="K99" s="102"/>
      <c r="L99" s="102"/>
      <c r="M99" s="102"/>
      <c r="N99" s="102"/>
      <c r="O99" s="102"/>
    </row>
    <row r="100" customFormat="false" ht="15" hidden="false" customHeight="true" outlineLevel="0" collapsed="false">
      <c r="A100" s="102"/>
      <c r="B100" s="123" t="n">
        <v>9</v>
      </c>
      <c r="C100" s="126" t="n">
        <f aca="false">SUM(F82:F84)/6</f>
        <v>1.4285</v>
      </c>
      <c r="D100" s="102"/>
      <c r="E100" s="102"/>
      <c r="F100" s="102"/>
      <c r="G100" s="102"/>
      <c r="H100" s="102"/>
      <c r="I100" s="102"/>
      <c r="J100" s="102"/>
      <c r="K100" s="102"/>
      <c r="L100" s="102"/>
      <c r="M100" s="102"/>
      <c r="N100" s="102"/>
      <c r="O100" s="102"/>
    </row>
    <row r="101" customFormat="false" ht="15" hidden="false" customHeight="true" outlineLevel="0" collapsed="false">
      <c r="A101" s="102"/>
      <c r="B101" s="123" t="n">
        <v>10</v>
      </c>
      <c r="C101" s="126" t="n">
        <f aca="false">SUM(F85:F87)/6</f>
        <v>1.33766666666667</v>
      </c>
      <c r="D101" s="102"/>
      <c r="E101" s="102"/>
      <c r="F101" s="102"/>
      <c r="G101" s="102"/>
      <c r="H101" s="102"/>
      <c r="I101" s="102"/>
      <c r="J101" s="102"/>
      <c r="K101" s="102"/>
      <c r="L101" s="102"/>
      <c r="M101" s="102"/>
      <c r="N101" s="102"/>
      <c r="O101" s="102"/>
    </row>
    <row r="102" customFormat="false" ht="15" hidden="false" customHeight="true" outlineLevel="0" collapsed="false">
      <c r="A102" s="102"/>
      <c r="B102" s="102"/>
      <c r="C102" s="102"/>
      <c r="D102" s="102"/>
      <c r="E102" s="102"/>
      <c r="F102" s="102"/>
      <c r="G102" s="102"/>
      <c r="H102" s="102"/>
      <c r="I102" s="102"/>
      <c r="J102" s="102"/>
      <c r="K102" s="102"/>
      <c r="L102" s="102"/>
      <c r="M102" s="102"/>
      <c r="N102" s="102"/>
      <c r="O102" s="102"/>
    </row>
    <row r="103" customFormat="false" ht="16.5" hidden="false" customHeight="true" outlineLevel="0" collapsed="false">
      <c r="A103" s="102"/>
      <c r="B103" s="108" t="s">
        <v>6453</v>
      </c>
      <c r="C103" s="108" t="s">
        <v>6460</v>
      </c>
      <c r="D103" s="102"/>
      <c r="E103" s="102"/>
      <c r="F103" s="102"/>
      <c r="G103" s="102"/>
      <c r="H103" s="102"/>
      <c r="I103" s="102"/>
      <c r="J103" s="102"/>
      <c r="K103" s="102"/>
      <c r="L103" s="102"/>
      <c r="M103" s="102"/>
      <c r="N103" s="102"/>
      <c r="O103" s="102"/>
    </row>
    <row r="104" customFormat="false" ht="15" hidden="false" customHeight="true" outlineLevel="0" collapsed="false">
      <c r="A104" s="102"/>
      <c r="B104" s="123" t="s">
        <v>378</v>
      </c>
      <c r="C104" s="126" t="n">
        <f aca="false">SUMIF($C$58:$C$87,B104,$F$58:$F$87)/20</f>
        <v>1.41515</v>
      </c>
      <c r="D104" s="102"/>
      <c r="E104" s="102"/>
      <c r="F104" s="102"/>
      <c r="G104" s="102"/>
      <c r="H104" s="102"/>
      <c r="I104" s="102"/>
      <c r="J104" s="102"/>
      <c r="K104" s="102"/>
      <c r="L104" s="102"/>
      <c r="M104" s="102"/>
      <c r="N104" s="102"/>
      <c r="O104" s="102"/>
    </row>
    <row r="105" customFormat="false" ht="15" hidden="false" customHeight="true" outlineLevel="0" collapsed="false">
      <c r="A105" s="102"/>
      <c r="B105" s="123" t="s">
        <v>5359</v>
      </c>
      <c r="C105" s="126" t="n">
        <f aca="false">SUMIF($C$58:$C$87,B105,$F$58:$F$87)/20</f>
        <v>1.4262</v>
      </c>
      <c r="D105" s="102"/>
      <c r="E105" s="102"/>
      <c r="F105" s="102"/>
      <c r="G105" s="102"/>
      <c r="H105" s="102"/>
      <c r="I105" s="102"/>
      <c r="J105" s="102"/>
      <c r="K105" s="102"/>
      <c r="L105" s="102"/>
      <c r="M105" s="102"/>
      <c r="N105" s="102"/>
      <c r="O105" s="102"/>
    </row>
    <row r="106" customFormat="false" ht="15" hidden="false" customHeight="true" outlineLevel="0" collapsed="false">
      <c r="A106" s="102"/>
      <c r="B106" s="123" t="s">
        <v>640</v>
      </c>
      <c r="C106" s="126" t="n">
        <f aca="false">SUMIF($C$58:$C$87,B106,$F$58:$F$87)/20</f>
        <v>1.39525</v>
      </c>
      <c r="D106" s="102"/>
      <c r="E106" s="102"/>
      <c r="F106" s="102"/>
      <c r="G106" s="102"/>
      <c r="H106" s="102"/>
      <c r="I106" s="102"/>
      <c r="J106" s="102"/>
      <c r="K106" s="102"/>
      <c r="L106" s="102"/>
      <c r="M106" s="102"/>
      <c r="N106" s="102"/>
      <c r="O106" s="102"/>
    </row>
    <row r="107" customFormat="false" ht="15" hidden="false" customHeight="true" outlineLevel="0" collapsed="false">
      <c r="A107" s="102"/>
      <c r="B107" s="102"/>
      <c r="C107" s="102"/>
      <c r="D107" s="102"/>
      <c r="E107" s="102"/>
      <c r="F107" s="102"/>
      <c r="G107" s="102"/>
      <c r="H107" s="102"/>
      <c r="I107" s="102"/>
      <c r="J107" s="102"/>
      <c r="K107" s="102"/>
      <c r="L107" s="102"/>
      <c r="M107" s="102"/>
      <c r="N107" s="102"/>
      <c r="O107" s="102"/>
    </row>
    <row r="108" customFormat="false" ht="15" hidden="false" customHeight="true" outlineLevel="0" collapsed="false">
      <c r="A108" s="102"/>
      <c r="B108" s="105" t="s">
        <v>3703</v>
      </c>
      <c r="C108" s="102"/>
      <c r="D108" s="102"/>
      <c r="E108" s="102"/>
      <c r="F108" s="102"/>
      <c r="G108" s="102"/>
      <c r="H108" s="102"/>
      <c r="I108" s="102"/>
      <c r="J108" s="102"/>
      <c r="K108" s="102"/>
      <c r="L108" s="102"/>
      <c r="M108" s="102"/>
      <c r="N108" s="102"/>
      <c r="O108" s="102"/>
    </row>
    <row r="109" customFormat="false" ht="16.5" hidden="false" customHeight="true" outlineLevel="0" collapsed="false">
      <c r="A109" s="102"/>
      <c r="B109" s="108" t="s">
        <v>3704</v>
      </c>
      <c r="C109" s="108" t="s">
        <v>3705</v>
      </c>
      <c r="D109" s="108" t="s">
        <v>2244</v>
      </c>
      <c r="E109" s="108" t="s">
        <v>3706</v>
      </c>
      <c r="F109" s="102"/>
      <c r="G109" s="102"/>
      <c r="H109" s="102"/>
      <c r="I109" s="102"/>
      <c r="J109" s="102"/>
      <c r="K109" s="102"/>
      <c r="L109" s="102"/>
      <c r="M109" s="102"/>
      <c r="N109" s="102"/>
      <c r="O109" s="102"/>
    </row>
    <row r="110" customFormat="false" ht="15" hidden="false" customHeight="true" outlineLevel="0" collapsed="false">
      <c r="A110" s="102"/>
      <c r="B110" s="110" t="s">
        <v>6452</v>
      </c>
      <c r="C110" s="127" t="n">
        <f aca="false">6*DEVSQ($C$92:$C$101)</f>
        <v>0.342953933333333</v>
      </c>
      <c r="D110" s="124" t="n">
        <f aca="false">9</f>
        <v>9</v>
      </c>
      <c r="E110" s="127" t="n">
        <f aca="false">C110/D110</f>
        <v>0.0381059925925926</v>
      </c>
      <c r="F110" s="102"/>
      <c r="G110" s="102"/>
      <c r="H110" s="102"/>
      <c r="I110" s="102"/>
      <c r="J110" s="102"/>
      <c r="K110" s="102"/>
      <c r="L110" s="102"/>
      <c r="M110" s="102"/>
      <c r="N110" s="102"/>
      <c r="O110" s="102"/>
    </row>
    <row r="111" customFormat="false" ht="15" hidden="false" customHeight="true" outlineLevel="0" collapsed="false">
      <c r="A111" s="102"/>
      <c r="B111" s="110" t="s">
        <v>6453</v>
      </c>
      <c r="C111" s="127" t="n">
        <f aca="false">20*DEVSQ($C$104:$C$106)</f>
        <v>0.00984010000000002</v>
      </c>
      <c r="D111" s="124" t="n">
        <f aca="false">2</f>
        <v>2</v>
      </c>
      <c r="E111" s="127" t="n">
        <f aca="false">C111/D111</f>
        <v>0.00492005000000001</v>
      </c>
      <c r="F111" s="102"/>
      <c r="G111" s="102"/>
      <c r="H111" s="102"/>
      <c r="I111" s="102"/>
      <c r="J111" s="102"/>
      <c r="K111" s="102"/>
      <c r="L111" s="102"/>
      <c r="M111" s="102"/>
      <c r="N111" s="102"/>
      <c r="O111" s="102"/>
    </row>
    <row r="112" customFormat="false" ht="15" hidden="false" customHeight="true" outlineLevel="0" collapsed="false">
      <c r="A112" s="102"/>
      <c r="B112" s="110" t="s">
        <v>6461</v>
      </c>
      <c r="C112" s="127" t="n">
        <f aca="false">2*SUMSQ(H58:H87)</f>
        <v>0.00615756666666666</v>
      </c>
      <c r="D112" s="124" t="n">
        <f aca="false">18</f>
        <v>18</v>
      </c>
      <c r="E112" s="127" t="n">
        <f aca="false">C112/D112</f>
        <v>0.000342087037037036</v>
      </c>
      <c r="F112" s="102"/>
      <c r="G112" s="102"/>
      <c r="H112" s="102"/>
      <c r="I112" s="102"/>
      <c r="J112" s="102"/>
      <c r="K112" s="102"/>
      <c r="L112" s="102"/>
      <c r="M112" s="102"/>
      <c r="N112" s="102"/>
      <c r="O112" s="102"/>
    </row>
    <row r="113" customFormat="false" ht="15" hidden="false" customHeight="true" outlineLevel="0" collapsed="false">
      <c r="A113" s="102"/>
      <c r="B113" s="110" t="s">
        <v>6462</v>
      </c>
      <c r="C113" s="127" t="n">
        <f aca="false">SUMPRODUCT((D58:D87-G58:G87)^2)+SUMPRODUCT((E58:E87-G58:G87)^2)</f>
        <v>0.00843800000000001</v>
      </c>
      <c r="D113" s="124" t="n">
        <f aca="false">30</f>
        <v>30</v>
      </c>
      <c r="E113" s="127" t="n">
        <f aca="false">C113/D113</f>
        <v>0.000281266666666667</v>
      </c>
      <c r="F113" s="102"/>
      <c r="G113" s="102"/>
      <c r="H113" s="102"/>
      <c r="I113" s="102"/>
      <c r="J113" s="102"/>
      <c r="K113" s="102"/>
      <c r="L113" s="102"/>
      <c r="M113" s="102"/>
      <c r="N113" s="102"/>
      <c r="O113" s="102"/>
    </row>
    <row r="114" customFormat="false" ht="15" hidden="false" customHeight="true" outlineLevel="0" collapsed="false">
      <c r="A114" s="102"/>
      <c r="B114" s="102"/>
      <c r="C114" s="102"/>
      <c r="D114" s="102"/>
      <c r="E114" s="102"/>
      <c r="F114" s="102"/>
      <c r="G114" s="102"/>
      <c r="H114" s="102"/>
      <c r="I114" s="102"/>
      <c r="J114" s="102"/>
      <c r="K114" s="102"/>
      <c r="L114" s="102"/>
      <c r="M114" s="102"/>
      <c r="N114" s="102"/>
      <c r="O114" s="102"/>
    </row>
    <row r="115" customFormat="false" ht="15" hidden="false" customHeight="true" outlineLevel="0" collapsed="false">
      <c r="A115" s="102"/>
      <c r="B115" s="105" t="s">
        <v>6463</v>
      </c>
      <c r="C115" s="126" t="n">
        <f aca="false">SQRT(E113)</f>
        <v>0.0167710067278821</v>
      </c>
      <c r="D115" s="102"/>
      <c r="E115" s="102"/>
      <c r="F115" s="102"/>
      <c r="G115" s="102"/>
      <c r="H115" s="102"/>
      <c r="I115" s="102"/>
      <c r="J115" s="102"/>
      <c r="K115" s="102"/>
      <c r="L115" s="102"/>
      <c r="M115" s="102"/>
      <c r="N115" s="102"/>
      <c r="O115" s="102"/>
    </row>
    <row r="116" customFormat="false" ht="15" hidden="false" customHeight="true" outlineLevel="0" collapsed="false">
      <c r="A116" s="102"/>
      <c r="B116" s="105" t="s">
        <v>6464</v>
      </c>
      <c r="C116" s="126" t="n">
        <f aca="false">SQRT(MAX(0,(E111-E112)/20))</f>
        <v>0.0151293802962365</v>
      </c>
      <c r="D116" s="102"/>
      <c r="E116" s="102"/>
      <c r="F116" s="102"/>
      <c r="G116" s="102"/>
      <c r="H116" s="102"/>
      <c r="I116" s="102"/>
      <c r="J116" s="102"/>
      <c r="K116" s="102"/>
      <c r="L116" s="102"/>
      <c r="M116" s="102"/>
      <c r="N116" s="102"/>
      <c r="O116" s="102"/>
    </row>
    <row r="117" customFormat="false" ht="15" hidden="false" customHeight="true" outlineLevel="0" collapsed="false">
      <c r="A117" s="102"/>
      <c r="B117" s="105" t="s">
        <v>6465</v>
      </c>
      <c r="C117" s="126" t="n">
        <f aca="false">SQRT(MAX(0,(E112-E113)/2))</f>
        <v>0.00551454306222961</v>
      </c>
      <c r="D117" s="102"/>
      <c r="E117" s="102"/>
      <c r="F117" s="102"/>
      <c r="G117" s="102"/>
      <c r="H117" s="102"/>
      <c r="I117" s="102"/>
      <c r="J117" s="102"/>
      <c r="K117" s="102"/>
      <c r="L117" s="102"/>
      <c r="M117" s="102"/>
      <c r="N117" s="102"/>
      <c r="O117" s="102"/>
    </row>
    <row r="118" customFormat="false" ht="15" hidden="false" customHeight="true" outlineLevel="0" collapsed="false">
      <c r="A118" s="102"/>
      <c r="B118" s="105" t="s">
        <v>6466</v>
      </c>
      <c r="C118" s="126" t="n">
        <f aca="false">SQRT(C115^2+C116^2+C117^2)</f>
        <v>0.0232502688156503</v>
      </c>
      <c r="D118" s="102"/>
      <c r="E118" s="102"/>
      <c r="F118" s="102"/>
      <c r="G118" s="102"/>
      <c r="H118" s="102"/>
      <c r="I118" s="102"/>
      <c r="J118" s="102"/>
      <c r="K118" s="102"/>
      <c r="L118" s="102"/>
      <c r="M118" s="102"/>
      <c r="N118" s="102"/>
      <c r="O118" s="102"/>
    </row>
    <row r="119" customFormat="false" ht="15" hidden="false" customHeight="true" outlineLevel="0" collapsed="false">
      <c r="A119" s="102"/>
      <c r="B119" s="105" t="s">
        <v>6467</v>
      </c>
      <c r="C119" s="126" t="n">
        <f aca="false">SQRT(MAX(0,(E110-E112)/6))</f>
        <v>0.0793346346765349</v>
      </c>
      <c r="D119" s="102"/>
      <c r="E119" s="102"/>
      <c r="F119" s="102"/>
      <c r="G119" s="102"/>
      <c r="H119" s="102"/>
      <c r="I119" s="102"/>
      <c r="J119" s="102"/>
      <c r="K119" s="102"/>
      <c r="L119" s="102"/>
      <c r="M119" s="102"/>
      <c r="N119" s="102"/>
      <c r="O119" s="102"/>
    </row>
    <row r="120" customFormat="false" ht="15" hidden="false" customHeight="true" outlineLevel="0" collapsed="false">
      <c r="A120" s="102"/>
      <c r="B120" s="105" t="s">
        <v>6468</v>
      </c>
      <c r="C120" s="126" t="n">
        <f aca="false">SQRT(C118^2+C119^2)</f>
        <v>0.082671393234052</v>
      </c>
      <c r="D120" s="102"/>
      <c r="E120" s="102"/>
      <c r="F120" s="102"/>
      <c r="G120" s="102"/>
      <c r="H120" s="102"/>
      <c r="I120" s="102"/>
      <c r="J120" s="102"/>
      <c r="K120" s="102"/>
      <c r="L120" s="102"/>
      <c r="M120" s="102"/>
      <c r="N120" s="102"/>
      <c r="O120" s="102"/>
    </row>
    <row r="121" customFormat="false" ht="15" hidden="false" customHeight="true" outlineLevel="0" collapsed="false">
      <c r="A121" s="102"/>
      <c r="B121" s="105" t="s">
        <v>6469</v>
      </c>
      <c r="C121" s="142" t="n">
        <f aca="false">100*C118/C120</f>
        <v>28.1237171724277</v>
      </c>
      <c r="D121" s="102"/>
      <c r="E121" s="102"/>
      <c r="F121" s="102"/>
      <c r="G121" s="102"/>
      <c r="H121" s="102"/>
      <c r="I121" s="102"/>
      <c r="J121" s="102"/>
      <c r="K121" s="102"/>
      <c r="L121" s="102"/>
      <c r="M121" s="102"/>
      <c r="N121" s="102"/>
      <c r="O121" s="102"/>
    </row>
    <row r="122" customFormat="false" ht="15" hidden="false" customHeight="true" outlineLevel="0" collapsed="false">
      <c r="A122" s="102"/>
      <c r="B122" s="105" t="s">
        <v>6470</v>
      </c>
      <c r="C122" s="142" t="n">
        <f aca="false">100*6*C118/C55</f>
        <v>46.5005376313006</v>
      </c>
      <c r="D122" s="102"/>
      <c r="E122" s="102"/>
      <c r="F122" s="102"/>
      <c r="G122" s="102"/>
      <c r="H122" s="102"/>
      <c r="I122" s="102"/>
      <c r="J122" s="102"/>
      <c r="K122" s="102"/>
      <c r="L122" s="102"/>
      <c r="M122" s="102"/>
      <c r="N122" s="102"/>
      <c r="O122" s="102"/>
    </row>
    <row r="123" customFormat="false" ht="15" hidden="false" customHeight="true" outlineLevel="0" collapsed="false">
      <c r="A123" s="102"/>
      <c r="B123" s="105" t="s">
        <v>6471</v>
      </c>
      <c r="C123" s="142" t="n">
        <f aca="false">1.41*C119/C118</f>
        <v>4.81120608887831</v>
      </c>
      <c r="D123" s="102"/>
      <c r="E123" s="102"/>
      <c r="F123" s="102"/>
      <c r="G123" s="102"/>
      <c r="H123" s="102"/>
      <c r="I123" s="102"/>
      <c r="J123" s="102"/>
      <c r="K123" s="102"/>
      <c r="L123" s="102"/>
      <c r="M123" s="102"/>
      <c r="N123" s="102"/>
      <c r="O123" s="102"/>
    </row>
    <row r="124" customFormat="false" ht="15" hidden="false" customHeight="true" outlineLevel="0" collapsed="false">
      <c r="A124" s="102"/>
      <c r="B124" s="102"/>
      <c r="C124" s="102"/>
      <c r="D124" s="102"/>
      <c r="E124" s="102"/>
      <c r="F124" s="102"/>
      <c r="G124" s="102"/>
      <c r="H124" s="102"/>
      <c r="I124" s="102"/>
      <c r="J124" s="102"/>
      <c r="K124" s="102"/>
      <c r="L124" s="102"/>
      <c r="M124" s="102"/>
      <c r="N124" s="102"/>
      <c r="O124" s="102"/>
    </row>
    <row r="125" customFormat="false" ht="17.25" hidden="false" customHeight="true" outlineLevel="0" collapsed="false">
      <c r="A125" s="102"/>
      <c r="B125" s="107" t="s">
        <v>6472</v>
      </c>
      <c r="C125" s="107"/>
      <c r="D125" s="107"/>
      <c r="E125" s="107"/>
      <c r="F125" s="107"/>
      <c r="G125" s="107"/>
      <c r="H125" s="107"/>
      <c r="I125" s="102"/>
      <c r="J125" s="102"/>
      <c r="K125" s="102"/>
      <c r="L125" s="102"/>
      <c r="M125" s="102"/>
      <c r="N125" s="102"/>
      <c r="O125" s="102"/>
    </row>
    <row r="126" customFormat="false" ht="16.5" hidden="false" customHeight="true" outlineLevel="0" collapsed="false">
      <c r="A126" s="102"/>
      <c r="B126" s="108" t="s">
        <v>6473</v>
      </c>
      <c r="C126" s="108" t="s">
        <v>6474</v>
      </c>
      <c r="D126" s="102"/>
      <c r="E126" s="102"/>
      <c r="F126" s="102"/>
      <c r="G126" s="102"/>
      <c r="H126" s="102"/>
      <c r="I126" s="102"/>
      <c r="J126" s="102"/>
      <c r="K126" s="102"/>
      <c r="L126" s="102"/>
      <c r="M126" s="102"/>
      <c r="N126" s="102"/>
      <c r="O126" s="102"/>
    </row>
    <row r="127" customFormat="false" ht="15" hidden="false" customHeight="true" outlineLevel="0" collapsed="false">
      <c r="A127" s="102"/>
      <c r="B127" s="111" t="s">
        <v>6475</v>
      </c>
      <c r="C127" s="142" t="n">
        <f aca="false">100*C115^2/C120^2</f>
        <v>4.11535924991235</v>
      </c>
      <c r="D127" s="102"/>
      <c r="E127" s="102"/>
      <c r="F127" s="102"/>
      <c r="G127" s="102"/>
      <c r="H127" s="102"/>
      <c r="I127" s="102"/>
      <c r="J127" s="102"/>
      <c r="K127" s="102"/>
      <c r="L127" s="102"/>
      <c r="M127" s="102"/>
      <c r="N127" s="102"/>
      <c r="O127" s="102"/>
    </row>
    <row r="128" customFormat="false" ht="15" hidden="false" customHeight="true" outlineLevel="0" collapsed="false">
      <c r="A128" s="102"/>
      <c r="B128" s="111" t="s">
        <v>6476</v>
      </c>
      <c r="C128" s="142" t="n">
        <f aca="false">100*(C116^2+C117^2)/C120^2</f>
        <v>3.79407542603468</v>
      </c>
      <c r="D128" s="102"/>
      <c r="E128" s="102"/>
      <c r="F128" s="102"/>
      <c r="G128" s="102"/>
      <c r="H128" s="102"/>
      <c r="I128" s="102"/>
      <c r="J128" s="102"/>
      <c r="K128" s="102"/>
      <c r="L128" s="102"/>
      <c r="M128" s="102"/>
      <c r="N128" s="102"/>
      <c r="O128" s="102"/>
    </row>
    <row r="129" customFormat="false" ht="15" hidden="false" customHeight="true" outlineLevel="0" collapsed="false">
      <c r="A129" s="102"/>
      <c r="B129" s="111" t="s">
        <v>6477</v>
      </c>
      <c r="C129" s="142" t="n">
        <f aca="false">100*C118^2/C120^2</f>
        <v>7.90943467594703</v>
      </c>
      <c r="D129" s="102"/>
      <c r="E129" s="102"/>
      <c r="F129" s="102"/>
      <c r="G129" s="102"/>
      <c r="H129" s="102"/>
      <c r="I129" s="102"/>
      <c r="J129" s="102"/>
      <c r="K129" s="102"/>
      <c r="L129" s="102"/>
      <c r="M129" s="102"/>
      <c r="N129" s="102"/>
      <c r="O129" s="102"/>
    </row>
    <row r="130" customFormat="false" ht="15" hidden="false" customHeight="true" outlineLevel="0" collapsed="false">
      <c r="A130" s="102"/>
      <c r="B130" s="111" t="s">
        <v>6478</v>
      </c>
      <c r="C130" s="142" t="n">
        <f aca="false">100*C119^2/C120^2</f>
        <v>92.090565324053</v>
      </c>
      <c r="D130" s="102"/>
      <c r="E130" s="102"/>
      <c r="F130" s="102"/>
      <c r="G130" s="102"/>
      <c r="H130" s="102"/>
      <c r="I130" s="102"/>
      <c r="J130" s="102"/>
      <c r="K130" s="102"/>
      <c r="L130" s="102"/>
      <c r="M130" s="102"/>
      <c r="N130" s="102"/>
      <c r="O130" s="102"/>
    </row>
    <row r="131" customFormat="false" ht="15" hidden="false" customHeight="true" outlineLevel="0" collapsed="false">
      <c r="A131" s="102"/>
      <c r="B131" s="102"/>
      <c r="C131" s="102"/>
      <c r="D131" s="102"/>
      <c r="E131" s="102"/>
      <c r="F131" s="102"/>
      <c r="G131" s="102"/>
      <c r="H131" s="102"/>
      <c r="I131" s="102"/>
      <c r="J131" s="102"/>
      <c r="K131" s="102"/>
      <c r="L131" s="102"/>
      <c r="M131" s="102"/>
      <c r="N131" s="102"/>
      <c r="O131" s="102"/>
    </row>
    <row r="132" customFormat="false" ht="15" hidden="false" customHeight="true" outlineLevel="0" collapsed="false">
      <c r="A132" s="102"/>
      <c r="B132" s="102"/>
      <c r="C132" s="102"/>
      <c r="D132" s="102"/>
      <c r="E132" s="102"/>
      <c r="F132" s="102"/>
      <c r="G132" s="102"/>
      <c r="H132" s="102"/>
      <c r="I132" s="102"/>
      <c r="J132" s="102"/>
      <c r="K132" s="102"/>
      <c r="L132" s="102"/>
      <c r="M132" s="102"/>
      <c r="N132" s="102"/>
      <c r="O132" s="102"/>
    </row>
    <row r="133" customFormat="false" ht="15" hidden="false" customHeight="true" outlineLevel="0" collapsed="false">
      <c r="A133" s="102"/>
      <c r="B133" s="102"/>
      <c r="C133" s="102"/>
      <c r="D133" s="102"/>
      <c r="E133" s="102"/>
      <c r="F133" s="102"/>
      <c r="G133" s="102"/>
      <c r="H133" s="102"/>
      <c r="I133" s="102"/>
      <c r="J133" s="102"/>
      <c r="K133" s="102"/>
      <c r="L133" s="102"/>
      <c r="M133" s="102"/>
      <c r="N133" s="102"/>
      <c r="O133" s="102"/>
    </row>
    <row r="134" customFormat="false" ht="15" hidden="false" customHeight="true" outlineLevel="0" collapsed="false">
      <c r="A134" s="102"/>
      <c r="B134" s="102"/>
      <c r="C134" s="102"/>
      <c r="D134" s="102"/>
      <c r="E134" s="102"/>
      <c r="F134" s="102"/>
      <c r="G134" s="102"/>
      <c r="H134" s="102"/>
      <c r="I134" s="102"/>
      <c r="J134" s="102"/>
      <c r="K134" s="102"/>
      <c r="L134" s="102"/>
      <c r="M134" s="102"/>
      <c r="N134" s="102"/>
      <c r="O134" s="102"/>
    </row>
    <row r="135" customFormat="false" ht="15" hidden="false" customHeight="true" outlineLevel="0" collapsed="false">
      <c r="A135" s="102"/>
      <c r="B135" s="102"/>
      <c r="C135" s="102"/>
      <c r="D135" s="102"/>
      <c r="E135" s="102"/>
      <c r="F135" s="102"/>
      <c r="G135" s="102"/>
      <c r="H135" s="102"/>
      <c r="I135" s="102"/>
      <c r="J135" s="102"/>
      <c r="K135" s="102"/>
      <c r="L135" s="102"/>
      <c r="M135" s="102"/>
      <c r="N135" s="102"/>
      <c r="O135" s="102"/>
    </row>
    <row r="136" customFormat="false" ht="15" hidden="false" customHeight="true" outlineLevel="0" collapsed="false">
      <c r="A136" s="102"/>
      <c r="B136" s="102"/>
      <c r="C136" s="102"/>
      <c r="D136" s="102"/>
      <c r="E136" s="102"/>
      <c r="F136" s="102"/>
      <c r="G136" s="102"/>
      <c r="H136" s="102"/>
      <c r="I136" s="102"/>
      <c r="J136" s="102"/>
      <c r="K136" s="102"/>
      <c r="L136" s="102"/>
      <c r="M136" s="102"/>
      <c r="N136" s="102"/>
      <c r="O136" s="102"/>
    </row>
    <row r="137" customFormat="false" ht="15" hidden="false" customHeight="true" outlineLevel="0" collapsed="false">
      <c r="A137" s="102"/>
      <c r="B137" s="102"/>
      <c r="C137" s="102"/>
      <c r="D137" s="102"/>
      <c r="E137" s="102"/>
      <c r="F137" s="102"/>
      <c r="G137" s="102"/>
      <c r="H137" s="102"/>
      <c r="I137" s="102"/>
      <c r="J137" s="102"/>
      <c r="K137" s="102"/>
      <c r="L137" s="102"/>
      <c r="M137" s="102"/>
      <c r="N137" s="102"/>
      <c r="O137" s="102"/>
    </row>
    <row r="138" customFormat="false" ht="15" hidden="false" customHeight="true" outlineLevel="0" collapsed="false">
      <c r="A138" s="102"/>
      <c r="B138" s="102"/>
      <c r="C138" s="102"/>
      <c r="D138" s="102"/>
      <c r="E138" s="102"/>
      <c r="F138" s="102"/>
      <c r="G138" s="102"/>
      <c r="H138" s="102"/>
      <c r="I138" s="102"/>
      <c r="J138" s="102"/>
      <c r="K138" s="102"/>
      <c r="L138" s="102"/>
      <c r="M138" s="102"/>
      <c r="N138" s="102"/>
      <c r="O138" s="102"/>
    </row>
    <row r="139" customFormat="false" ht="15" hidden="false" customHeight="true" outlineLevel="0" collapsed="false">
      <c r="A139" s="102"/>
      <c r="B139" s="102"/>
      <c r="C139" s="102"/>
      <c r="D139" s="102"/>
      <c r="E139" s="102"/>
      <c r="F139" s="102"/>
      <c r="G139" s="102"/>
      <c r="H139" s="102"/>
      <c r="I139" s="102"/>
      <c r="J139" s="102"/>
      <c r="K139" s="102"/>
      <c r="L139" s="102"/>
      <c r="M139" s="102"/>
      <c r="N139" s="102"/>
      <c r="O139" s="102"/>
    </row>
    <row r="140" customFormat="false" ht="15" hidden="false" customHeight="true" outlineLevel="0" collapsed="false">
      <c r="A140" s="102"/>
      <c r="B140" s="102"/>
      <c r="C140" s="102"/>
      <c r="D140" s="102"/>
      <c r="E140" s="102"/>
      <c r="F140" s="102"/>
      <c r="G140" s="102"/>
      <c r="H140" s="102"/>
      <c r="I140" s="102"/>
      <c r="J140" s="102"/>
      <c r="K140" s="102"/>
      <c r="L140" s="102"/>
      <c r="M140" s="102"/>
      <c r="N140" s="102"/>
      <c r="O140" s="102"/>
    </row>
    <row r="141" customFormat="false" ht="15" hidden="false" customHeight="true" outlineLevel="0" collapsed="false">
      <c r="A141" s="102"/>
      <c r="B141" s="102"/>
      <c r="C141" s="102"/>
      <c r="D141" s="102"/>
      <c r="E141" s="102"/>
      <c r="F141" s="102"/>
      <c r="G141" s="102"/>
      <c r="H141" s="102"/>
      <c r="I141" s="102"/>
      <c r="J141" s="102"/>
      <c r="K141" s="102"/>
      <c r="L141" s="102"/>
      <c r="M141" s="102"/>
      <c r="N141" s="102"/>
      <c r="O141" s="102"/>
    </row>
    <row r="142" customFormat="false" ht="15" hidden="false" customHeight="true" outlineLevel="0" collapsed="false">
      <c r="A142" s="102"/>
      <c r="B142" s="102"/>
      <c r="C142" s="102"/>
      <c r="D142" s="102"/>
      <c r="E142" s="102"/>
      <c r="F142" s="102"/>
      <c r="G142" s="102"/>
      <c r="H142" s="102"/>
      <c r="I142" s="102"/>
      <c r="J142" s="102"/>
      <c r="K142" s="102"/>
      <c r="L142" s="102"/>
      <c r="M142" s="102"/>
      <c r="N142" s="102"/>
      <c r="O142" s="102"/>
    </row>
    <row r="143" customFormat="false" ht="15" hidden="false" customHeight="true" outlineLevel="0" collapsed="false">
      <c r="A143" s="102"/>
      <c r="B143" s="102"/>
      <c r="C143" s="102"/>
      <c r="D143" s="102"/>
      <c r="E143" s="102"/>
      <c r="F143" s="102"/>
      <c r="G143" s="102"/>
      <c r="H143" s="102"/>
      <c r="I143" s="102"/>
      <c r="J143" s="102"/>
      <c r="K143" s="102"/>
      <c r="L143" s="102"/>
      <c r="M143" s="102"/>
      <c r="N143" s="102"/>
      <c r="O143" s="102"/>
    </row>
    <row r="144" customFormat="false" ht="15" hidden="false" customHeight="true" outlineLevel="0" collapsed="false">
      <c r="A144" s="102"/>
      <c r="B144" s="102"/>
      <c r="C144" s="102"/>
      <c r="D144" s="102"/>
      <c r="E144" s="102"/>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2"/>
      <c r="C146" s="102"/>
      <c r="D146" s="102"/>
      <c r="E146" s="102"/>
      <c r="F146" s="102"/>
      <c r="G146" s="102"/>
      <c r="H146" s="102"/>
      <c r="I146" s="102"/>
      <c r="J146" s="102"/>
      <c r="K146" s="102"/>
      <c r="L146" s="102"/>
      <c r="M146" s="102"/>
      <c r="N146" s="102"/>
      <c r="O146" s="102"/>
    </row>
    <row r="147" customFormat="false" ht="15" hidden="false" customHeight="true" outlineLevel="0" collapsed="false">
      <c r="A147" s="102"/>
      <c r="B147" s="102"/>
      <c r="C147" s="102"/>
      <c r="D147" s="102"/>
      <c r="E147" s="102"/>
      <c r="F147" s="102"/>
      <c r="G147" s="102"/>
      <c r="H147" s="102"/>
      <c r="I147" s="102"/>
      <c r="J147" s="102"/>
      <c r="K147" s="102"/>
      <c r="L147" s="102"/>
      <c r="M147" s="102"/>
      <c r="N147" s="102"/>
      <c r="O147" s="102"/>
    </row>
    <row r="148" customFormat="false" ht="15.75" hidden="false" customHeight="true" outlineLevel="0" collapsed="false">
      <c r="A148" s="102"/>
      <c r="B148" s="103" t="s">
        <v>1493</v>
      </c>
      <c r="C148" s="104"/>
      <c r="D148" s="104"/>
      <c r="E148" s="104"/>
      <c r="F148" s="104"/>
      <c r="G148" s="104"/>
      <c r="H148" s="104"/>
      <c r="I148" s="104"/>
      <c r="J148" s="104"/>
      <c r="K148" s="104"/>
      <c r="L148" s="102"/>
      <c r="M148" s="102"/>
      <c r="N148" s="102"/>
      <c r="O148" s="102"/>
    </row>
    <row r="149" customFormat="false" ht="33.75" hidden="false" customHeight="true" outlineLevel="0" collapsed="false">
      <c r="A149" s="102"/>
      <c r="B149" s="105" t="s">
        <v>1494</v>
      </c>
      <c r="C149" s="117" t="str">
        <f aca="false">IF(C122&lt;10,"Acceptable measurement system: %GRR of tolerance = "&amp;TEXT(C122,"0.0")&amp;"% (&lt;10%). ndc = "&amp;TEXT(C123,"0.0")&amp;".",IF(C122&lt;30,"Marginal / conditional: %GRR of tolerance = "&amp;TEXT(C122,"0.0")&amp;"% (10-30%). May be acceptable depending on the application, cost and criticality - improve if possible.","Unacceptable measurement system: %GRR of tolerance = "&amp;TEXT(C122,"0.0")&amp;"% (&gt;30%). Fix the gauge or method before trusting any chart or capability study built on it."))</f>
        <v>Unacceptable measurement system: %GRR of tolerance = 46.5% (&gt;30%). Fix the gauge or method before trusting any chart or capability study built on it.</v>
      </c>
      <c r="D149" s="117"/>
      <c r="E149" s="117"/>
      <c r="F149" s="117"/>
      <c r="G149" s="117"/>
      <c r="H149" s="102"/>
      <c r="I149" s="102"/>
      <c r="J149" s="102"/>
      <c r="K149" s="102"/>
      <c r="L149" s="102"/>
      <c r="M149" s="102"/>
      <c r="N149" s="102"/>
      <c r="O149" s="102"/>
    </row>
    <row r="150" customFormat="false" ht="15" hidden="false" customHeight="true" outlineLevel="0" collapsed="false">
      <c r="A150" s="102"/>
      <c r="B150" s="102"/>
      <c r="C150" s="102"/>
      <c r="D150" s="102"/>
      <c r="E150" s="102"/>
      <c r="F150" s="102"/>
      <c r="G150" s="102"/>
      <c r="H150" s="102"/>
      <c r="I150" s="102"/>
      <c r="J150" s="102"/>
      <c r="K150" s="102"/>
      <c r="L150" s="102"/>
      <c r="M150" s="102"/>
      <c r="N150" s="102"/>
      <c r="O150" s="102"/>
    </row>
    <row r="151" customFormat="false" ht="17.25" hidden="false" customHeight="true" outlineLevel="0" collapsed="false">
      <c r="A151" s="102"/>
      <c r="B151" s="108" t="s">
        <v>1495</v>
      </c>
      <c r="C151" s="108" t="s">
        <v>1496</v>
      </c>
      <c r="D151" s="108" t="s">
        <v>1497</v>
      </c>
      <c r="E151" s="108"/>
      <c r="F151" s="102"/>
      <c r="G151" s="102"/>
      <c r="H151" s="102"/>
      <c r="I151" s="102"/>
      <c r="J151" s="102"/>
      <c r="K151" s="102"/>
      <c r="L151" s="102"/>
      <c r="M151" s="102"/>
      <c r="N151" s="102"/>
      <c r="O151" s="102"/>
    </row>
    <row r="152" customFormat="false" ht="17.25" hidden="false" customHeight="true" outlineLevel="0" collapsed="false">
      <c r="A152" s="102"/>
      <c r="B152" s="110" t="s">
        <v>6470</v>
      </c>
      <c r="C152" s="111" t="s">
        <v>6479</v>
      </c>
      <c r="D152" s="15" t="s">
        <v>6480</v>
      </c>
      <c r="E152" s="15"/>
      <c r="F152" s="102"/>
      <c r="G152" s="102"/>
      <c r="H152" s="102"/>
      <c r="I152" s="102"/>
      <c r="J152" s="102"/>
      <c r="K152" s="102"/>
      <c r="L152" s="102"/>
      <c r="M152" s="102"/>
      <c r="N152" s="102"/>
      <c r="O152" s="102"/>
    </row>
    <row r="153" customFormat="false" ht="31.5" hidden="false" customHeight="true" outlineLevel="0" collapsed="false">
      <c r="A153" s="102"/>
      <c r="B153" s="110" t="s">
        <v>6481</v>
      </c>
      <c r="C153" s="111" t="s">
        <v>6482</v>
      </c>
      <c r="D153" s="15" t="s">
        <v>6483</v>
      </c>
      <c r="E153" s="15"/>
      <c r="F153" s="102"/>
      <c r="G153" s="102"/>
      <c r="H153" s="102"/>
      <c r="I153" s="102"/>
      <c r="J153" s="102"/>
      <c r="K153" s="102"/>
      <c r="L153" s="102"/>
      <c r="M153" s="102"/>
      <c r="N153" s="102"/>
      <c r="O153" s="102"/>
    </row>
    <row r="154" customFormat="false" ht="31.5" hidden="false" customHeight="true" outlineLevel="0" collapsed="false">
      <c r="A154" s="102"/>
      <c r="B154" s="110" t="s">
        <v>6484</v>
      </c>
      <c r="C154" s="111" t="s">
        <v>6485</v>
      </c>
      <c r="D154" s="15" t="s">
        <v>6486</v>
      </c>
      <c r="E154" s="15"/>
      <c r="F154" s="102"/>
      <c r="G154" s="102"/>
      <c r="H154" s="102"/>
      <c r="I154" s="102"/>
      <c r="J154" s="102"/>
      <c r="K154" s="102"/>
      <c r="L154" s="102"/>
      <c r="M154" s="102"/>
      <c r="N154" s="102"/>
      <c r="O154" s="102"/>
    </row>
    <row r="155" customFormat="false" ht="15" hidden="false" customHeight="true" outlineLevel="0" collapsed="false">
      <c r="A155" s="102"/>
      <c r="B155" s="102"/>
      <c r="C155" s="102"/>
      <c r="D155" s="102"/>
      <c r="E155" s="102"/>
      <c r="F155" s="102"/>
      <c r="G155" s="102"/>
      <c r="H155" s="102"/>
      <c r="I155" s="102"/>
      <c r="J155" s="102"/>
      <c r="K155" s="102"/>
      <c r="L155" s="102"/>
      <c r="M155" s="102"/>
      <c r="N155" s="102"/>
      <c r="O155" s="102"/>
    </row>
    <row r="156" customFormat="false" ht="15" hidden="false" customHeight="true" outlineLevel="0" collapsed="false">
      <c r="A156" s="102"/>
      <c r="B156" s="105" t="s">
        <v>1507</v>
      </c>
      <c r="C156" s="102"/>
      <c r="D156" s="102"/>
      <c r="E156" s="102"/>
      <c r="F156" s="102"/>
      <c r="G156" s="102"/>
      <c r="H156" s="102"/>
      <c r="I156" s="102"/>
      <c r="J156" s="102"/>
      <c r="K156" s="102"/>
      <c r="L156" s="102"/>
      <c r="M156" s="102"/>
      <c r="N156" s="102"/>
      <c r="O156" s="102"/>
    </row>
    <row r="157" customFormat="false" ht="17.25" hidden="false" customHeight="true" outlineLevel="0" collapsed="false">
      <c r="A157" s="102"/>
      <c r="B157" s="106" t="s">
        <v>6487</v>
      </c>
      <c r="C157" s="106"/>
      <c r="D157" s="106"/>
      <c r="E157" s="106"/>
      <c r="F157" s="106"/>
      <c r="G157" s="106"/>
      <c r="H157" s="106"/>
      <c r="I157" s="102"/>
      <c r="J157" s="102"/>
      <c r="K157" s="102"/>
      <c r="L157" s="102"/>
      <c r="M157" s="102"/>
      <c r="N157" s="102"/>
      <c r="O157" s="102"/>
    </row>
    <row r="158" customFormat="false" ht="17.25" hidden="false" customHeight="true" outlineLevel="0" collapsed="false">
      <c r="A158" s="102"/>
      <c r="B158" s="106" t="s">
        <v>6488</v>
      </c>
      <c r="C158" s="106"/>
      <c r="D158" s="106"/>
      <c r="E158" s="106"/>
      <c r="F158" s="106"/>
      <c r="G158" s="106"/>
      <c r="H158" s="106"/>
      <c r="I158" s="102"/>
      <c r="J158" s="102"/>
      <c r="K158" s="102"/>
      <c r="L158" s="102"/>
      <c r="M158" s="102"/>
      <c r="N158" s="102"/>
      <c r="O158" s="102"/>
    </row>
    <row r="159" customFormat="false" ht="17.25" hidden="false" customHeight="true" outlineLevel="0" collapsed="false">
      <c r="A159" s="102"/>
      <c r="B159" s="106" t="s">
        <v>6489</v>
      </c>
      <c r="C159" s="106"/>
      <c r="D159" s="106"/>
      <c r="E159" s="106"/>
      <c r="F159" s="106"/>
      <c r="G159" s="106"/>
      <c r="H159" s="106"/>
      <c r="I159" s="102"/>
      <c r="J159" s="102"/>
      <c r="K159" s="102"/>
      <c r="L159" s="102"/>
      <c r="M159" s="102"/>
      <c r="N159" s="102"/>
      <c r="O159" s="102"/>
    </row>
    <row r="160" customFormat="false" ht="31.5" hidden="false" customHeight="true" outlineLevel="0" collapsed="false">
      <c r="A160" s="102"/>
      <c r="B160" s="106" t="s">
        <v>6490</v>
      </c>
      <c r="C160" s="106"/>
      <c r="D160" s="106"/>
      <c r="E160" s="106"/>
      <c r="F160" s="106"/>
      <c r="G160" s="106"/>
      <c r="H160" s="106"/>
      <c r="I160" s="102"/>
      <c r="J160" s="102"/>
      <c r="K160" s="102"/>
      <c r="L160" s="102"/>
      <c r="M160" s="102"/>
      <c r="N160" s="102"/>
      <c r="O160" s="102"/>
    </row>
    <row r="161" customFormat="false" ht="15" hidden="false" customHeight="true" outlineLevel="0" collapsed="false">
      <c r="A161" s="102"/>
      <c r="B161" s="102"/>
      <c r="C161" s="102"/>
      <c r="D161" s="102"/>
      <c r="E161" s="102"/>
      <c r="F161" s="102"/>
      <c r="G161" s="102"/>
      <c r="H161" s="102"/>
      <c r="I161" s="102"/>
      <c r="J161" s="102"/>
      <c r="K161" s="102"/>
      <c r="L161" s="102"/>
      <c r="M161" s="102"/>
      <c r="N161" s="102"/>
      <c r="O161" s="102"/>
    </row>
    <row r="162" customFormat="false" ht="15.75" hidden="false" customHeight="true" outlineLevel="0" collapsed="false">
      <c r="A162" s="102"/>
      <c r="B162" s="103" t="s">
        <v>1513</v>
      </c>
      <c r="C162" s="104"/>
      <c r="D162" s="104"/>
      <c r="E162" s="104"/>
      <c r="F162" s="104"/>
      <c r="G162" s="104"/>
      <c r="H162" s="104"/>
      <c r="I162" s="104"/>
      <c r="J162" s="104"/>
      <c r="K162" s="104"/>
      <c r="L162" s="102"/>
      <c r="M162" s="102"/>
      <c r="N162" s="102"/>
      <c r="O162" s="102"/>
    </row>
    <row r="163" customFormat="false" ht="17.25" hidden="false" customHeight="true" outlineLevel="0" collapsed="false">
      <c r="A163" s="102"/>
      <c r="B163" s="118" t="s">
        <v>1514</v>
      </c>
      <c r="C163" s="118"/>
      <c r="D163" s="118"/>
      <c r="E163" s="118"/>
      <c r="F163" s="102"/>
      <c r="G163" s="102"/>
      <c r="H163" s="102"/>
      <c r="I163" s="102"/>
      <c r="J163" s="102"/>
      <c r="K163" s="102"/>
      <c r="L163" s="102"/>
      <c r="M163" s="102"/>
      <c r="N163" s="119" t="s">
        <v>1515</v>
      </c>
      <c r="O163" s="102"/>
    </row>
    <row r="164" customFormat="false" ht="58.5" hidden="false" customHeight="true" outlineLevel="0" collapsed="false">
      <c r="A164" s="102"/>
      <c r="B164" s="106" t="s">
        <v>6491</v>
      </c>
      <c r="C164" s="106"/>
      <c r="D164" s="106"/>
      <c r="E164" s="106"/>
      <c r="F164" s="102"/>
      <c r="G164" s="102"/>
      <c r="H164" s="102"/>
      <c r="I164" s="102"/>
      <c r="J164" s="102"/>
      <c r="K164" s="102"/>
      <c r="L164" s="102"/>
      <c r="M164" s="102"/>
      <c r="N164" s="120" t="s">
        <v>6492</v>
      </c>
      <c r="O164" s="102"/>
    </row>
    <row r="165" customFormat="false" ht="58.5" hidden="false" customHeight="true" outlineLevel="0" collapsed="false">
      <c r="A165" s="102"/>
      <c r="B165" s="106" t="s">
        <v>6493</v>
      </c>
      <c r="C165" s="106"/>
      <c r="D165" s="106"/>
      <c r="E165" s="106"/>
      <c r="F165" s="102"/>
      <c r="G165" s="102"/>
      <c r="H165" s="102"/>
      <c r="I165" s="102"/>
      <c r="J165" s="102"/>
      <c r="K165" s="102"/>
      <c r="L165" s="102"/>
      <c r="M165" s="102"/>
      <c r="N165" s="120" t="s">
        <v>6494</v>
      </c>
      <c r="O165" s="102"/>
    </row>
    <row r="166" customFormat="false" ht="44.25" hidden="false" customHeight="true" outlineLevel="0" collapsed="false">
      <c r="A166" s="102"/>
      <c r="B166" s="106" t="s">
        <v>6495</v>
      </c>
      <c r="C166" s="106"/>
      <c r="D166" s="106"/>
      <c r="E166" s="106"/>
      <c r="F166" s="102"/>
      <c r="G166" s="102"/>
      <c r="H166" s="102"/>
      <c r="I166" s="102"/>
      <c r="J166" s="102"/>
      <c r="K166" s="102"/>
      <c r="L166" s="102"/>
      <c r="M166" s="102"/>
      <c r="N166" s="120" t="s">
        <v>6496</v>
      </c>
      <c r="O166" s="102"/>
    </row>
    <row r="167" customFormat="false" ht="15" hidden="false" customHeight="true" outlineLevel="0" collapsed="false">
      <c r="A167" s="102"/>
      <c r="B167" s="102"/>
      <c r="C167" s="102"/>
      <c r="D167" s="102"/>
      <c r="E167" s="102"/>
      <c r="F167" s="102"/>
      <c r="G167" s="102"/>
      <c r="H167" s="102"/>
      <c r="I167" s="102"/>
      <c r="J167" s="102"/>
      <c r="K167" s="102"/>
      <c r="L167" s="102"/>
      <c r="M167" s="102"/>
      <c r="N167" s="102"/>
      <c r="O167" s="102"/>
    </row>
    <row r="168" customFormat="false" ht="15.75" hidden="false" customHeight="true" outlineLevel="0" collapsed="false">
      <c r="A168" s="102"/>
      <c r="B168" s="103" t="s">
        <v>1522</v>
      </c>
      <c r="C168" s="104"/>
      <c r="D168" s="104"/>
      <c r="E168" s="104"/>
      <c r="F168" s="104"/>
      <c r="G168" s="104"/>
      <c r="H168" s="104"/>
      <c r="I168" s="104"/>
      <c r="J168" s="104"/>
      <c r="K168" s="104"/>
      <c r="L168" s="102"/>
      <c r="M168" s="102"/>
      <c r="N168" s="102"/>
      <c r="O168" s="102"/>
    </row>
    <row r="169" customFormat="false" ht="16.5" hidden="false" customHeight="true" outlineLevel="0" collapsed="false">
      <c r="A169" s="102"/>
      <c r="B169" s="108" t="s">
        <v>1523</v>
      </c>
      <c r="C169" s="108" t="s">
        <v>1524</v>
      </c>
      <c r="D169" s="108" t="s">
        <v>1615</v>
      </c>
      <c r="E169" s="102"/>
      <c r="F169" s="102"/>
      <c r="G169" s="102"/>
      <c r="H169" s="102"/>
      <c r="I169" s="102"/>
      <c r="J169" s="102"/>
      <c r="K169" s="102"/>
      <c r="L169" s="102"/>
      <c r="M169" s="102"/>
      <c r="N169" s="102"/>
      <c r="O169" s="102"/>
    </row>
    <row r="170" customFormat="false" ht="15" hidden="false" customHeight="true" outlineLevel="0" collapsed="false">
      <c r="A170" s="102"/>
      <c r="B170" s="121" t="s">
        <v>1025</v>
      </c>
      <c r="C170" s="121" t="s">
        <v>1206</v>
      </c>
      <c r="D170" s="121" t="s">
        <v>1033</v>
      </c>
      <c r="E170" s="102"/>
      <c r="F170" s="102"/>
      <c r="G170" s="102"/>
      <c r="H170" s="102"/>
      <c r="I170" s="102"/>
      <c r="J170" s="102"/>
      <c r="K170" s="102"/>
      <c r="L170" s="102"/>
      <c r="M170" s="102"/>
      <c r="N170" s="102"/>
      <c r="O170" s="102"/>
    </row>
    <row r="171" customFormat="false" ht="15" hidden="false" customHeight="true" outlineLevel="0" collapsed="false">
      <c r="A171" s="102"/>
      <c r="B171" s="102"/>
      <c r="C171" s="102"/>
      <c r="D171" s="102"/>
      <c r="E171" s="102"/>
      <c r="F171" s="102"/>
      <c r="G171" s="102"/>
      <c r="H171" s="102"/>
      <c r="I171" s="102"/>
      <c r="J171" s="102"/>
      <c r="K171" s="102"/>
      <c r="L171" s="102"/>
      <c r="M171" s="102"/>
      <c r="N171" s="102"/>
      <c r="O171" s="102"/>
    </row>
    <row r="172" customFormat="false" ht="15" hidden="false" customHeight="true" outlineLevel="0" collapsed="false">
      <c r="A172" s="102"/>
      <c r="B172" s="102"/>
      <c r="C172" s="102"/>
      <c r="D172" s="102"/>
      <c r="E172" s="102"/>
      <c r="F172" s="102"/>
      <c r="G172" s="102"/>
      <c r="H172" s="102"/>
      <c r="I172" s="102"/>
      <c r="J172" s="102"/>
      <c r="K172" s="102"/>
      <c r="L172" s="102"/>
      <c r="M172" s="102"/>
      <c r="N172" s="102"/>
      <c r="O172" s="102"/>
    </row>
    <row r="173" customFormat="false" ht="15" hidden="false" customHeight="true" outlineLevel="0" collapsed="false">
      <c r="A173" s="102"/>
      <c r="B173" s="102"/>
      <c r="C173" s="102"/>
      <c r="D173" s="102"/>
      <c r="E173" s="102"/>
      <c r="F173" s="102"/>
      <c r="G173" s="102"/>
      <c r="H173" s="102"/>
      <c r="I173" s="102"/>
      <c r="J173" s="102"/>
      <c r="K173" s="102"/>
      <c r="L173" s="102"/>
      <c r="M173" s="102"/>
      <c r="N173" s="102"/>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 hidden="false" customHeight="true" outlineLevel="0" collapsed="false">
      <c r="A175" s="102"/>
      <c r="B175" s="102"/>
      <c r="C175" s="102"/>
      <c r="D175" s="102"/>
      <c r="E175" s="102"/>
      <c r="F175" s="102"/>
      <c r="G175" s="102"/>
      <c r="H175" s="102"/>
      <c r="I175" s="102"/>
      <c r="J175" s="102"/>
      <c r="K175" s="102"/>
      <c r="L175" s="102"/>
      <c r="M175" s="102"/>
      <c r="N175" s="102"/>
      <c r="O175" s="102"/>
    </row>
    <row r="176" customFormat="false" ht="15" hidden="false" customHeight="true" outlineLevel="0" collapsed="false">
      <c r="A176" s="102"/>
      <c r="B176" s="102"/>
      <c r="C176" s="102"/>
      <c r="D176" s="102"/>
      <c r="E176" s="102"/>
      <c r="F176" s="102"/>
      <c r="G176" s="102"/>
      <c r="H176" s="102"/>
      <c r="I176" s="102"/>
      <c r="J176" s="102"/>
      <c r="K176" s="102"/>
      <c r="L176" s="102"/>
      <c r="M176" s="102"/>
      <c r="N176" s="102"/>
      <c r="O176" s="102"/>
    </row>
    <row r="177" customFormat="false" ht="15" hidden="false" customHeight="true" outlineLevel="0" collapsed="false">
      <c r="A177" s="102"/>
      <c r="B177" s="102"/>
      <c r="C177" s="102"/>
      <c r="D177" s="102"/>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42">
    <mergeCell ref="B2:J2"/>
    <mergeCell ref="D3:F3"/>
    <mergeCell ref="C6:G6"/>
    <mergeCell ref="C7:G7"/>
    <mergeCell ref="C8:G8"/>
    <mergeCell ref="B11:H13"/>
    <mergeCell ref="B14:H17"/>
    <mergeCell ref="B18:H20"/>
    <mergeCell ref="B23:D23"/>
    <mergeCell ref="E23:H23"/>
    <mergeCell ref="B24:D24"/>
    <mergeCell ref="E24:H24"/>
    <mergeCell ref="B25:D25"/>
    <mergeCell ref="E25:H25"/>
    <mergeCell ref="B26:H26"/>
    <mergeCell ref="B34:H34"/>
    <mergeCell ref="B35:H35"/>
    <mergeCell ref="B36:H38"/>
    <mergeCell ref="B39:H40"/>
    <mergeCell ref="B41:H41"/>
    <mergeCell ref="B42:H42"/>
    <mergeCell ref="B43:H43"/>
    <mergeCell ref="D46:E46"/>
    <mergeCell ref="D47:E47"/>
    <mergeCell ref="D48:E48"/>
    <mergeCell ref="D49:E49"/>
    <mergeCell ref="B52:H52"/>
    <mergeCell ref="C53:D53"/>
    <mergeCell ref="B125:H125"/>
    <mergeCell ref="C149:G149"/>
    <mergeCell ref="D151:E151"/>
    <mergeCell ref="D152:E152"/>
    <mergeCell ref="D153:E153"/>
    <mergeCell ref="D154:E154"/>
    <mergeCell ref="B157:H157"/>
    <mergeCell ref="B158:H158"/>
    <mergeCell ref="B159:H159"/>
    <mergeCell ref="B160:H160"/>
    <mergeCell ref="B163:E163"/>
    <mergeCell ref="B164:E164"/>
    <mergeCell ref="B165:E165"/>
    <mergeCell ref="B166:E166"/>
  </mergeCells>
  <hyperlinks>
    <hyperlink ref="B3" location="'N-03 Index DMAIC'!A1" display="← Back to Index"/>
    <hyperlink ref="E29" location="'E-05 Sampling Subgroups'!A1" display="E-05  Sampling Strategies and Rational Subgrouping"/>
    <hyperlink ref="E30" location="'E-06 Data Collection Plan'!A1" display="E-06  Operational Definitions and Data Collection Plan"/>
    <hyperlink ref="E31" location="'E-20 Sample Size'!A1" display="E-20  Sample Size Determination"/>
    <hyperlink ref="B170" location="'E-06 Data Collection Plan'!A1" display="E-06  Operational Definitions and Data Collection Plan"/>
    <hyperlink ref="C170" location="'E-60 MSA Bias Linearity'!A1" display="E-60  MSA: Bias, Linearity, Stability, Attribute Agreement"/>
    <hyperlink ref="D170" location="'E-57 Process Capability'!A1" display="E-57  Cp, Cpk, Pp, Ppk and Cp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O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0" min="3" style="1" width="14"/>
    <col collapsed="false" customWidth="true" hidden="false" outlineLevel="0" max="11" min="11" style="1" width="40"/>
    <col collapsed="false" customWidth="true" hidden="false" outlineLevel="0" max="14" min="14" style="0" width="95"/>
  </cols>
  <sheetData>
    <row r="1" customFormat="false" ht="15" hidden="false" customHeight="true" outlineLevel="0" collapsed="false">
      <c r="A1" s="2" t="s">
        <v>0</v>
      </c>
    </row>
    <row r="2" customFormat="false" ht="22.5" hidden="false" customHeight="true" outlineLevel="0" collapsed="false">
      <c r="B2" s="3" t="s">
        <v>6497</v>
      </c>
      <c r="C2" s="3"/>
      <c r="D2" s="3"/>
      <c r="E2" s="3"/>
      <c r="F2" s="3"/>
      <c r="G2" s="3"/>
      <c r="H2" s="3"/>
      <c r="I2" s="3"/>
      <c r="J2" s="3"/>
      <c r="K2" s="46" t="s">
        <v>1389</v>
      </c>
    </row>
    <row r="3" customFormat="false" ht="42" hidden="false" customHeight="true" outlineLevel="0" collapsed="false">
      <c r="B3" s="5" t="s">
        <v>3</v>
      </c>
      <c r="D3" s="6" t="s">
        <v>6498</v>
      </c>
      <c r="E3" s="6"/>
      <c r="F3" s="6"/>
    </row>
    <row r="5" customFormat="false" ht="15.75" hidden="false" customHeight="true" outlineLevel="0" collapsed="false">
      <c r="A5" s="102"/>
      <c r="B5" s="103" t="s">
        <v>1391</v>
      </c>
      <c r="C5" s="104"/>
      <c r="D5" s="104"/>
      <c r="E5" s="104"/>
      <c r="F5" s="104"/>
      <c r="G5" s="104"/>
      <c r="H5" s="104"/>
      <c r="I5" s="104"/>
      <c r="J5" s="104"/>
      <c r="K5" s="104"/>
      <c r="L5" s="102"/>
      <c r="M5" s="102"/>
      <c r="N5" s="102"/>
      <c r="O5" s="102"/>
    </row>
    <row r="6" customFormat="false" ht="31.5" hidden="false" customHeight="true" outlineLevel="0" collapsed="false">
      <c r="A6" s="102"/>
      <c r="B6" s="105" t="s">
        <v>1392</v>
      </c>
      <c r="C6" s="106" t="s">
        <v>6499</v>
      </c>
      <c r="D6" s="106"/>
      <c r="E6" s="106"/>
      <c r="F6" s="106"/>
      <c r="G6" s="106"/>
      <c r="H6" s="102"/>
      <c r="I6" s="102"/>
      <c r="J6" s="102"/>
      <c r="K6" s="102"/>
      <c r="L6" s="102"/>
      <c r="M6" s="102"/>
      <c r="N6" s="102"/>
      <c r="O6" s="102"/>
    </row>
    <row r="7" customFormat="false" ht="31.5" hidden="false" customHeight="true" outlineLevel="0" collapsed="false">
      <c r="A7" s="102"/>
      <c r="B7" s="105" t="s">
        <v>1394</v>
      </c>
      <c r="C7" s="106" t="s">
        <v>6500</v>
      </c>
      <c r="D7" s="106"/>
      <c r="E7" s="106"/>
      <c r="F7" s="106"/>
      <c r="G7" s="106"/>
      <c r="H7" s="102"/>
      <c r="I7" s="102"/>
      <c r="J7" s="102"/>
      <c r="K7" s="102"/>
      <c r="L7" s="102"/>
      <c r="M7" s="102"/>
      <c r="N7" s="102"/>
      <c r="O7" s="102"/>
    </row>
    <row r="8" customFormat="false" ht="31.5" hidden="false" customHeight="true" outlineLevel="0" collapsed="false">
      <c r="A8" s="102"/>
      <c r="B8" s="105" t="s">
        <v>1396</v>
      </c>
      <c r="C8" s="106" t="s">
        <v>6501</v>
      </c>
      <c r="D8" s="106"/>
      <c r="E8" s="106"/>
      <c r="F8" s="106"/>
      <c r="G8" s="106"/>
      <c r="H8" s="102"/>
      <c r="I8" s="102"/>
      <c r="J8" s="102"/>
      <c r="K8" s="102"/>
      <c r="L8" s="102"/>
      <c r="M8" s="102"/>
      <c r="N8" s="102"/>
      <c r="O8" s="102"/>
    </row>
    <row r="9" customFormat="false" ht="15" hidden="false" customHeight="true" outlineLevel="0" collapsed="false">
      <c r="A9" s="102"/>
      <c r="B9" s="102"/>
      <c r="C9" s="102"/>
      <c r="D9" s="102"/>
      <c r="E9" s="102"/>
      <c r="F9" s="102"/>
      <c r="G9" s="102"/>
      <c r="H9" s="102"/>
      <c r="I9" s="102"/>
      <c r="J9" s="102"/>
      <c r="K9" s="102"/>
      <c r="L9" s="102"/>
      <c r="M9" s="102"/>
      <c r="N9" s="102"/>
      <c r="O9" s="102"/>
    </row>
    <row r="10" customFormat="false" ht="15.75" hidden="false" customHeight="true" outlineLevel="0" collapsed="false">
      <c r="A10" s="102"/>
      <c r="B10" s="103" t="s">
        <v>1398</v>
      </c>
      <c r="C10" s="104"/>
      <c r="D10" s="104"/>
      <c r="E10" s="104"/>
      <c r="F10" s="104"/>
      <c r="G10" s="104"/>
      <c r="H10" s="104"/>
      <c r="I10" s="104"/>
      <c r="J10" s="104"/>
      <c r="K10" s="104"/>
      <c r="L10" s="102"/>
      <c r="M10" s="102"/>
      <c r="N10" s="102"/>
      <c r="O10" s="102"/>
    </row>
    <row r="11" customFormat="false" ht="15.75" hidden="false" customHeight="true" outlineLevel="0" collapsed="false">
      <c r="A11" s="102"/>
      <c r="B11" s="106" t="s">
        <v>6502</v>
      </c>
      <c r="C11" s="106"/>
      <c r="D11" s="106"/>
      <c r="E11" s="106"/>
      <c r="F11" s="106"/>
      <c r="G11" s="106"/>
      <c r="H11" s="106"/>
      <c r="I11" s="102"/>
      <c r="J11" s="102"/>
      <c r="K11" s="102"/>
      <c r="L11" s="102"/>
      <c r="M11" s="102"/>
      <c r="N11" s="102"/>
      <c r="O11" s="102"/>
    </row>
    <row r="12" customFormat="false" ht="15.75" hidden="false" customHeight="true" outlineLevel="0" collapsed="false">
      <c r="A12" s="102"/>
      <c r="B12" s="106"/>
      <c r="C12" s="106"/>
      <c r="D12" s="106"/>
      <c r="E12" s="106"/>
      <c r="F12" s="106"/>
      <c r="G12" s="106"/>
      <c r="H12" s="106"/>
      <c r="I12" s="102"/>
      <c r="J12" s="102"/>
      <c r="K12" s="102"/>
      <c r="L12" s="102"/>
      <c r="M12" s="102"/>
      <c r="N12" s="102"/>
      <c r="O12" s="102"/>
    </row>
    <row r="13" customFormat="false" ht="17.25" hidden="false" customHeight="true" outlineLevel="0" collapsed="false">
      <c r="A13" s="102"/>
      <c r="B13" s="106" t="s">
        <v>6503</v>
      </c>
      <c r="C13" s="106"/>
      <c r="D13" s="106"/>
      <c r="E13" s="106"/>
      <c r="F13" s="106"/>
      <c r="G13" s="106"/>
      <c r="H13" s="106"/>
      <c r="I13" s="102"/>
      <c r="J13" s="102"/>
      <c r="K13" s="102"/>
      <c r="L13" s="102"/>
      <c r="M13" s="102"/>
      <c r="N13" s="102"/>
      <c r="O13" s="102"/>
    </row>
    <row r="14" customFormat="false" ht="10.5" hidden="false" customHeight="true" outlineLevel="0" collapsed="false">
      <c r="A14" s="102"/>
      <c r="B14" s="106" t="s">
        <v>6504</v>
      </c>
      <c r="C14" s="106"/>
      <c r="D14" s="106"/>
      <c r="E14" s="106"/>
      <c r="F14" s="106"/>
      <c r="G14" s="106"/>
      <c r="H14" s="106"/>
      <c r="I14" s="102"/>
      <c r="J14" s="102"/>
      <c r="K14" s="102"/>
      <c r="L14" s="102"/>
      <c r="M14" s="102"/>
      <c r="N14" s="102"/>
      <c r="O14" s="102"/>
    </row>
    <row r="15" customFormat="false" ht="10.5" hidden="false" customHeight="true" outlineLevel="0" collapsed="false">
      <c r="A15" s="102"/>
      <c r="B15" s="106"/>
      <c r="C15" s="106"/>
      <c r="D15" s="106"/>
      <c r="E15" s="106"/>
      <c r="F15" s="106"/>
      <c r="G15" s="106"/>
      <c r="H15" s="106"/>
      <c r="I15" s="102"/>
      <c r="J15" s="102"/>
      <c r="K15" s="102"/>
      <c r="L15" s="102"/>
      <c r="M15" s="102"/>
      <c r="N15" s="102"/>
      <c r="O15" s="102"/>
    </row>
    <row r="16" customFormat="false" ht="10.5" hidden="false" customHeight="true" outlineLevel="0" collapsed="false">
      <c r="A16" s="102"/>
      <c r="B16" s="106"/>
      <c r="C16" s="106"/>
      <c r="D16" s="106"/>
      <c r="E16" s="106"/>
      <c r="F16" s="106"/>
      <c r="G16" s="106"/>
      <c r="H16" s="106"/>
      <c r="I16" s="102"/>
      <c r="J16" s="102"/>
      <c r="K16" s="102"/>
      <c r="L16" s="102"/>
      <c r="M16" s="102"/>
      <c r="N16" s="102"/>
      <c r="O16" s="102"/>
    </row>
    <row r="17" customFormat="false" ht="15" hidden="false" customHeight="true" outlineLevel="0" collapsed="false">
      <c r="A17" s="102"/>
      <c r="B17" s="106" t="s">
        <v>6505</v>
      </c>
      <c r="C17" s="106"/>
      <c r="D17" s="106"/>
      <c r="E17" s="106"/>
      <c r="F17" s="106"/>
      <c r="G17" s="106"/>
      <c r="H17" s="106"/>
      <c r="I17" s="102"/>
      <c r="J17" s="102"/>
      <c r="K17" s="102"/>
      <c r="L17" s="102"/>
      <c r="M17" s="102"/>
      <c r="N17" s="102"/>
      <c r="O17" s="102"/>
    </row>
    <row r="18" customFormat="false" ht="15" hidden="false" customHeight="true" outlineLevel="0" collapsed="false">
      <c r="A18" s="102"/>
      <c r="B18" s="106"/>
      <c r="C18" s="106"/>
      <c r="D18" s="106"/>
      <c r="E18" s="106"/>
      <c r="F18" s="106"/>
      <c r="G18" s="106"/>
      <c r="H18" s="106"/>
      <c r="I18" s="102"/>
      <c r="J18" s="102"/>
      <c r="K18" s="102"/>
      <c r="L18" s="102"/>
      <c r="M18" s="102"/>
      <c r="N18" s="102"/>
      <c r="O18" s="102"/>
    </row>
    <row r="19" customFormat="false" ht="15" hidden="false" customHeight="true" outlineLevel="0" collapsed="false">
      <c r="A19" s="102"/>
      <c r="B19" s="106"/>
      <c r="C19" s="106"/>
      <c r="D19" s="106"/>
      <c r="E19" s="106"/>
      <c r="F19" s="106"/>
      <c r="G19" s="106"/>
      <c r="H19" s="106"/>
      <c r="I19" s="102"/>
      <c r="J19" s="102"/>
      <c r="K19" s="102"/>
      <c r="L19" s="102"/>
      <c r="M19" s="102"/>
      <c r="N19" s="102"/>
      <c r="O19" s="102"/>
    </row>
    <row r="20" customFormat="false" ht="15" hidden="false" customHeight="true" outlineLevel="0" collapsed="false">
      <c r="A20" s="102"/>
      <c r="B20" s="102"/>
      <c r="C20" s="102"/>
      <c r="D20" s="102"/>
      <c r="E20" s="102"/>
      <c r="F20" s="102"/>
      <c r="G20" s="102"/>
      <c r="H20" s="102"/>
      <c r="I20" s="102"/>
      <c r="J20" s="102"/>
      <c r="K20" s="102"/>
      <c r="L20" s="102"/>
      <c r="M20" s="102"/>
      <c r="N20" s="102"/>
      <c r="O20" s="102"/>
    </row>
    <row r="21" customFormat="false" ht="15.75" hidden="false" customHeight="true" outlineLevel="0" collapsed="false">
      <c r="A21" s="102"/>
      <c r="B21" s="103" t="s">
        <v>1406</v>
      </c>
      <c r="C21" s="104"/>
      <c r="D21" s="104"/>
      <c r="E21" s="104"/>
      <c r="F21" s="104"/>
      <c r="G21" s="104"/>
      <c r="H21" s="104"/>
      <c r="I21" s="104"/>
      <c r="J21" s="104"/>
      <c r="K21" s="104"/>
      <c r="L21" s="102"/>
      <c r="M21" s="102"/>
      <c r="N21" s="102"/>
      <c r="O21" s="102"/>
    </row>
    <row r="22" customFormat="false" ht="17.25" hidden="false" customHeight="true" outlineLevel="0" collapsed="false">
      <c r="A22" s="102"/>
      <c r="B22" s="107" t="s">
        <v>1407</v>
      </c>
      <c r="C22" s="107"/>
      <c r="D22" s="107"/>
      <c r="E22" s="107" t="s">
        <v>1408</v>
      </c>
      <c r="F22" s="107"/>
      <c r="G22" s="107"/>
      <c r="H22" s="107"/>
      <c r="I22" s="102"/>
      <c r="J22" s="102"/>
      <c r="K22" s="102"/>
      <c r="L22" s="102"/>
      <c r="M22" s="102"/>
      <c r="N22" s="102"/>
      <c r="O22" s="102"/>
    </row>
    <row r="23" customFormat="false" ht="31.5" hidden="false" customHeight="true" outlineLevel="0" collapsed="false">
      <c r="A23" s="102"/>
      <c r="B23" s="106" t="s">
        <v>6506</v>
      </c>
      <c r="C23" s="106"/>
      <c r="D23" s="106"/>
      <c r="E23" s="106" t="s">
        <v>6507</v>
      </c>
      <c r="F23" s="106"/>
      <c r="G23" s="106"/>
      <c r="H23" s="106"/>
      <c r="I23" s="102"/>
      <c r="J23" s="102"/>
      <c r="K23" s="102"/>
      <c r="L23" s="102"/>
      <c r="M23" s="102"/>
      <c r="N23" s="102"/>
      <c r="O23" s="102"/>
    </row>
    <row r="24" customFormat="false" ht="31.5" hidden="false" customHeight="true" outlineLevel="0" collapsed="false">
      <c r="A24" s="102"/>
      <c r="B24" s="106" t="s">
        <v>6508</v>
      </c>
      <c r="C24" s="106"/>
      <c r="D24" s="106"/>
      <c r="E24" s="106" t="s">
        <v>6509</v>
      </c>
      <c r="F24" s="106"/>
      <c r="G24" s="106"/>
      <c r="H24" s="106"/>
      <c r="I24" s="102"/>
      <c r="J24" s="102"/>
      <c r="K24" s="102"/>
      <c r="L24" s="102"/>
      <c r="M24" s="102"/>
      <c r="N24" s="102"/>
      <c r="O24" s="102"/>
    </row>
    <row r="25" customFormat="false" ht="17.25" hidden="false" customHeight="true" outlineLevel="0" collapsed="false">
      <c r="A25" s="102"/>
      <c r="B25" s="106" t="s">
        <v>6510</v>
      </c>
      <c r="C25" s="106"/>
      <c r="D25" s="106"/>
      <c r="E25" s="106"/>
      <c r="F25" s="106"/>
      <c r="G25" s="106"/>
      <c r="H25" s="106"/>
      <c r="I25" s="102"/>
      <c r="J25" s="102"/>
      <c r="K25" s="102"/>
      <c r="L25" s="102"/>
      <c r="M25" s="102"/>
      <c r="N25" s="102"/>
      <c r="O25" s="102"/>
    </row>
    <row r="26" customFormat="false" ht="15" hidden="false" customHeight="true" outlineLevel="0" collapsed="false">
      <c r="A26" s="102"/>
      <c r="B26" s="102"/>
      <c r="C26" s="102"/>
      <c r="D26" s="102"/>
      <c r="E26" s="102"/>
      <c r="F26" s="102"/>
      <c r="G26" s="102"/>
      <c r="H26" s="102"/>
      <c r="I26" s="102"/>
      <c r="J26" s="102"/>
      <c r="K26" s="102"/>
      <c r="L26" s="102"/>
      <c r="M26" s="102"/>
      <c r="N26" s="102"/>
      <c r="O26" s="102"/>
    </row>
    <row r="27" customFormat="false" ht="30.75" hidden="false" customHeight="true" outlineLevel="0" collapsed="false">
      <c r="A27" s="102"/>
      <c r="B27" s="108" t="s">
        <v>1416</v>
      </c>
      <c r="C27" s="108" t="s">
        <v>1417</v>
      </c>
      <c r="D27" s="108" t="s">
        <v>1418</v>
      </c>
      <c r="E27" s="108" t="s">
        <v>1419</v>
      </c>
      <c r="F27" s="102"/>
      <c r="G27" s="102"/>
      <c r="H27" s="102"/>
      <c r="I27" s="102"/>
      <c r="J27" s="102"/>
      <c r="K27" s="102"/>
      <c r="L27" s="102"/>
      <c r="M27" s="102"/>
      <c r="N27" s="102"/>
      <c r="O27" s="102"/>
    </row>
    <row r="28" customFormat="false" ht="44.25" hidden="false" customHeight="true" outlineLevel="0" collapsed="false">
      <c r="A28" s="102"/>
      <c r="B28" s="15" t="s">
        <v>6511</v>
      </c>
      <c r="C28" s="15" t="s">
        <v>6512</v>
      </c>
      <c r="D28" s="15" t="s">
        <v>6513</v>
      </c>
      <c r="E28" s="109" t="s">
        <v>1025</v>
      </c>
      <c r="F28" s="102"/>
      <c r="G28" s="102"/>
      <c r="H28" s="102"/>
      <c r="I28" s="102"/>
      <c r="J28" s="102"/>
      <c r="K28" s="102"/>
      <c r="L28" s="102"/>
      <c r="M28" s="102"/>
      <c r="N28" s="102"/>
      <c r="O28" s="102"/>
    </row>
    <row r="29" customFormat="false" ht="58.5" hidden="false" customHeight="true" outlineLevel="0" collapsed="false">
      <c r="A29" s="102"/>
      <c r="B29" s="15" t="s">
        <v>6514</v>
      </c>
      <c r="C29" s="15" t="s">
        <v>6515</v>
      </c>
      <c r="D29" s="15" t="s">
        <v>6516</v>
      </c>
      <c r="E29" s="109" t="s">
        <v>1546</v>
      </c>
      <c r="F29" s="102"/>
      <c r="G29" s="102"/>
      <c r="H29" s="102"/>
      <c r="I29" s="102"/>
      <c r="J29" s="102"/>
      <c r="K29" s="102"/>
      <c r="L29" s="102"/>
      <c r="M29" s="102"/>
      <c r="N29" s="102"/>
      <c r="O29" s="102"/>
    </row>
    <row r="30" customFormat="false" ht="86.25" hidden="false" customHeight="true" outlineLevel="0" collapsed="false">
      <c r="A30" s="102"/>
      <c r="B30" s="15" t="s">
        <v>6517</v>
      </c>
      <c r="C30" s="15" t="s">
        <v>6518</v>
      </c>
      <c r="D30" s="15" t="s">
        <v>6519</v>
      </c>
      <c r="E30" s="109" t="s">
        <v>1027</v>
      </c>
      <c r="F30" s="102"/>
      <c r="G30" s="102"/>
      <c r="H30" s="102"/>
      <c r="I30" s="102"/>
      <c r="J30" s="102"/>
      <c r="K30" s="102"/>
      <c r="L30" s="102"/>
      <c r="M30" s="102"/>
      <c r="N30" s="102"/>
      <c r="O30" s="102"/>
    </row>
    <row r="31" customFormat="false" ht="15" hidden="false" customHeight="true" outlineLevel="0" collapsed="false">
      <c r="A31" s="102"/>
      <c r="B31" s="102"/>
      <c r="C31" s="102"/>
      <c r="D31" s="102"/>
      <c r="E31" s="102"/>
      <c r="F31" s="102"/>
      <c r="G31" s="102"/>
      <c r="H31" s="102"/>
      <c r="I31" s="102"/>
      <c r="J31" s="102"/>
      <c r="K31" s="102"/>
      <c r="L31" s="102"/>
      <c r="M31" s="102"/>
      <c r="N31" s="102"/>
      <c r="O31" s="102"/>
    </row>
    <row r="32" customFormat="false" ht="15.75" hidden="false" customHeight="true" outlineLevel="0" collapsed="false">
      <c r="A32" s="102"/>
      <c r="B32" s="103" t="s">
        <v>1429</v>
      </c>
      <c r="C32" s="104"/>
      <c r="D32" s="104"/>
      <c r="E32" s="104"/>
      <c r="F32" s="104"/>
      <c r="G32" s="104"/>
      <c r="H32" s="104"/>
      <c r="I32" s="104"/>
      <c r="J32" s="104"/>
      <c r="K32" s="104"/>
      <c r="L32" s="102"/>
      <c r="M32" s="102"/>
      <c r="N32" s="102"/>
      <c r="O32" s="102"/>
    </row>
    <row r="33" customFormat="false" ht="15.75" hidden="false" customHeight="true" outlineLevel="0" collapsed="false">
      <c r="A33" s="102"/>
      <c r="B33" s="106" t="s">
        <v>6520</v>
      </c>
      <c r="C33" s="106"/>
      <c r="D33" s="106"/>
      <c r="E33" s="106"/>
      <c r="F33" s="106"/>
      <c r="G33" s="106"/>
      <c r="H33" s="106"/>
      <c r="I33" s="102"/>
      <c r="J33" s="102"/>
      <c r="K33" s="102"/>
      <c r="L33" s="102"/>
      <c r="M33" s="102"/>
      <c r="N33" s="102"/>
      <c r="O33" s="102"/>
    </row>
    <row r="34" customFormat="false" ht="15.75" hidden="false" customHeight="true" outlineLevel="0" collapsed="false">
      <c r="A34" s="102"/>
      <c r="B34" s="106"/>
      <c r="C34" s="106"/>
      <c r="D34" s="106"/>
      <c r="E34" s="106"/>
      <c r="F34" s="106"/>
      <c r="G34" s="106"/>
      <c r="H34" s="106"/>
      <c r="I34" s="102"/>
      <c r="J34" s="102"/>
      <c r="K34" s="102"/>
      <c r="L34" s="102"/>
      <c r="M34" s="102"/>
      <c r="N34" s="102"/>
      <c r="O34" s="102"/>
    </row>
    <row r="35" customFormat="false" ht="16.5" hidden="false" customHeight="true" outlineLevel="0" collapsed="false">
      <c r="A35" s="102"/>
      <c r="B35" s="122" t="s">
        <v>6521</v>
      </c>
      <c r="C35" s="102"/>
      <c r="D35" s="102"/>
      <c r="E35" s="102"/>
      <c r="F35" s="102"/>
      <c r="G35" s="102"/>
      <c r="H35" s="102"/>
      <c r="I35" s="102"/>
      <c r="J35" s="102"/>
      <c r="K35" s="102"/>
      <c r="L35" s="102"/>
      <c r="M35" s="102"/>
      <c r="N35" s="102"/>
      <c r="O35" s="102"/>
    </row>
    <row r="36" customFormat="false" ht="17.25" hidden="false" customHeight="true" outlineLevel="0" collapsed="false">
      <c r="A36" s="102"/>
      <c r="B36" s="106" t="s">
        <v>6522</v>
      </c>
      <c r="C36" s="106"/>
      <c r="D36" s="106"/>
      <c r="E36" s="106"/>
      <c r="F36" s="106"/>
      <c r="G36" s="106"/>
      <c r="H36" s="106"/>
      <c r="I36" s="102"/>
      <c r="J36" s="102"/>
      <c r="K36" s="102"/>
      <c r="L36" s="102"/>
      <c r="M36" s="102"/>
      <c r="N36" s="102"/>
      <c r="O36" s="102"/>
    </row>
    <row r="37" customFormat="false" ht="17.25" hidden="false" customHeight="true" outlineLevel="0" collapsed="false">
      <c r="A37" s="102"/>
      <c r="B37" s="106" t="s">
        <v>6523</v>
      </c>
      <c r="C37" s="106"/>
      <c r="D37" s="106"/>
      <c r="E37" s="106"/>
      <c r="F37" s="106"/>
      <c r="G37" s="106"/>
      <c r="H37" s="106"/>
      <c r="I37" s="102"/>
      <c r="J37" s="102"/>
      <c r="K37" s="102"/>
      <c r="L37" s="102"/>
      <c r="M37" s="102"/>
      <c r="N37" s="102"/>
      <c r="O37" s="102"/>
    </row>
    <row r="38" customFormat="false" ht="8.25" hidden="false" customHeight="true" outlineLevel="0" collapsed="false">
      <c r="A38" s="102"/>
      <c r="B38" s="106" t="s">
        <v>6524</v>
      </c>
      <c r="C38" s="106"/>
      <c r="D38" s="106"/>
      <c r="E38" s="106"/>
      <c r="F38" s="106"/>
      <c r="G38" s="106"/>
      <c r="H38" s="106"/>
      <c r="I38" s="102"/>
      <c r="J38" s="102"/>
      <c r="K38" s="102"/>
      <c r="L38" s="102"/>
      <c r="M38" s="102"/>
      <c r="N38" s="102"/>
      <c r="O38" s="102"/>
    </row>
    <row r="39" customFormat="false" ht="8.25" hidden="false" customHeight="true" outlineLevel="0" collapsed="false">
      <c r="A39" s="102"/>
      <c r="B39" s="106"/>
      <c r="C39" s="106"/>
      <c r="D39" s="106"/>
      <c r="E39" s="106"/>
      <c r="F39" s="106"/>
      <c r="G39" s="106"/>
      <c r="H39" s="106"/>
      <c r="I39" s="102"/>
      <c r="J39" s="102"/>
      <c r="K39" s="102"/>
      <c r="L39" s="102"/>
      <c r="M39" s="102"/>
      <c r="N39" s="102"/>
      <c r="O39" s="102"/>
    </row>
    <row r="40" customFormat="false" ht="15" hidden="false" customHeight="true" outlineLevel="0" collapsed="false">
      <c r="A40" s="102"/>
      <c r="B40" s="102"/>
      <c r="C40" s="102"/>
      <c r="D40" s="102"/>
      <c r="E40" s="102"/>
      <c r="F40" s="102"/>
      <c r="G40" s="102"/>
      <c r="H40" s="102"/>
      <c r="I40" s="102"/>
      <c r="J40" s="102"/>
      <c r="K40" s="102"/>
      <c r="L40" s="102"/>
      <c r="M40" s="102"/>
      <c r="N40" s="102"/>
      <c r="O40" s="102"/>
    </row>
    <row r="41" customFormat="false" ht="15.75" hidden="false" customHeight="true" outlineLevel="0" collapsed="false">
      <c r="A41" s="102"/>
      <c r="B41" s="103" t="s">
        <v>1437</v>
      </c>
      <c r="C41" s="104"/>
      <c r="D41" s="104"/>
      <c r="E41" s="104"/>
      <c r="F41" s="104"/>
      <c r="G41" s="104"/>
      <c r="H41" s="104"/>
      <c r="I41" s="104"/>
      <c r="J41" s="104"/>
      <c r="K41" s="104"/>
      <c r="L41" s="102"/>
      <c r="M41" s="102"/>
      <c r="N41" s="102"/>
      <c r="O41" s="102"/>
    </row>
    <row r="42" customFormat="false" ht="16.5" hidden="false" customHeight="true" outlineLevel="0" collapsed="false">
      <c r="A42" s="102"/>
      <c r="B42" s="108" t="s">
        <v>1438</v>
      </c>
      <c r="C42" s="108" t="s">
        <v>1439</v>
      </c>
      <c r="D42" s="108" t="s">
        <v>1440</v>
      </c>
      <c r="E42" s="102"/>
      <c r="F42" s="102"/>
      <c r="G42" s="102"/>
      <c r="H42" s="102"/>
      <c r="I42" s="102"/>
      <c r="J42" s="102"/>
      <c r="K42" s="102"/>
      <c r="L42" s="102"/>
      <c r="M42" s="102"/>
      <c r="N42" s="102"/>
      <c r="O42" s="102"/>
    </row>
    <row r="43" customFormat="false" ht="30.75" hidden="false" customHeight="true" outlineLevel="0" collapsed="false">
      <c r="A43" s="102"/>
      <c r="B43" s="110" t="s">
        <v>6525</v>
      </c>
      <c r="C43" s="111" t="s">
        <v>6526</v>
      </c>
      <c r="D43" s="15" t="s">
        <v>6527</v>
      </c>
      <c r="E43" s="102"/>
      <c r="F43" s="102"/>
      <c r="G43" s="102"/>
      <c r="H43" s="102"/>
      <c r="I43" s="102"/>
      <c r="J43" s="102"/>
      <c r="K43" s="102"/>
      <c r="L43" s="102"/>
      <c r="M43" s="102"/>
      <c r="N43" s="102"/>
      <c r="O43" s="102"/>
    </row>
    <row r="44" customFormat="false" ht="30.75" hidden="false" customHeight="true" outlineLevel="0" collapsed="false">
      <c r="A44" s="102"/>
      <c r="B44" s="110" t="s">
        <v>6528</v>
      </c>
      <c r="C44" s="111" t="s">
        <v>6529</v>
      </c>
      <c r="D44" s="15" t="s">
        <v>6530</v>
      </c>
      <c r="E44" s="102"/>
      <c r="F44" s="102"/>
      <c r="G44" s="102"/>
      <c r="H44" s="102"/>
      <c r="I44" s="102"/>
      <c r="J44" s="102"/>
      <c r="K44" s="102"/>
      <c r="L44" s="102"/>
      <c r="M44" s="102"/>
      <c r="N44" s="102"/>
      <c r="O44" s="102"/>
    </row>
    <row r="45" customFormat="false" ht="30.75" hidden="false" customHeight="true" outlineLevel="0" collapsed="false">
      <c r="A45" s="102"/>
      <c r="B45" s="110" t="s">
        <v>1668</v>
      </c>
      <c r="C45" s="111" t="s">
        <v>6531</v>
      </c>
      <c r="D45" s="15" t="s">
        <v>6532</v>
      </c>
      <c r="E45" s="102"/>
      <c r="F45" s="102"/>
      <c r="G45" s="102"/>
      <c r="H45" s="102"/>
      <c r="I45" s="102"/>
      <c r="J45" s="102"/>
      <c r="K45" s="102"/>
      <c r="L45" s="102"/>
      <c r="M45" s="102"/>
      <c r="N45" s="102"/>
      <c r="O45" s="102"/>
    </row>
    <row r="46" customFormat="false" ht="15" hidden="false" customHeight="true" outlineLevel="0" collapsed="false">
      <c r="A46" s="102"/>
      <c r="B46" s="102"/>
      <c r="C46" s="102"/>
      <c r="D46" s="102"/>
      <c r="E46" s="102"/>
      <c r="F46" s="102"/>
      <c r="G46" s="102"/>
      <c r="H46" s="102"/>
      <c r="I46" s="102"/>
      <c r="J46" s="102"/>
      <c r="K46" s="102"/>
      <c r="L46" s="102"/>
      <c r="M46" s="102"/>
      <c r="N46" s="102"/>
      <c r="O46" s="102"/>
    </row>
    <row r="47" customFormat="false" ht="15.75" hidden="false" customHeight="true" outlineLevel="0" collapsed="false">
      <c r="A47" s="102"/>
      <c r="B47" s="103" t="s">
        <v>1454</v>
      </c>
      <c r="C47" s="104"/>
      <c r="D47" s="104"/>
      <c r="E47" s="104"/>
      <c r="F47" s="104"/>
      <c r="G47" s="104"/>
      <c r="H47" s="104"/>
      <c r="I47" s="104"/>
      <c r="J47" s="104"/>
      <c r="K47" s="104"/>
      <c r="L47" s="102"/>
      <c r="M47" s="102"/>
      <c r="N47" s="102"/>
      <c r="O47" s="102"/>
    </row>
    <row r="48" customFormat="false" ht="17.25" hidden="false" customHeight="true" outlineLevel="0" collapsed="false">
      <c r="A48" s="102"/>
      <c r="B48" s="106" t="s">
        <v>6533</v>
      </c>
      <c r="C48" s="106"/>
      <c r="D48" s="106"/>
      <c r="E48" s="106"/>
      <c r="F48" s="106"/>
      <c r="G48" s="106"/>
      <c r="H48" s="106"/>
      <c r="I48" s="102"/>
      <c r="J48" s="102"/>
      <c r="K48" s="102"/>
      <c r="L48" s="102"/>
      <c r="M48" s="102"/>
      <c r="N48" s="102"/>
      <c r="O48" s="102"/>
    </row>
    <row r="49" customFormat="false" ht="17.25" hidden="false" customHeight="true" outlineLevel="0" collapsed="false">
      <c r="A49" s="102"/>
      <c r="B49" s="112" t="s">
        <v>85</v>
      </c>
      <c r="C49" s="113" t="s">
        <v>86</v>
      </c>
      <c r="D49" s="113"/>
      <c r="E49" s="102"/>
      <c r="F49" s="102"/>
      <c r="G49" s="102"/>
      <c r="H49" s="102"/>
      <c r="I49" s="102"/>
      <c r="J49" s="102"/>
      <c r="K49" s="102"/>
      <c r="L49" s="102"/>
      <c r="M49" s="102"/>
      <c r="N49" s="102"/>
      <c r="O49" s="102"/>
    </row>
    <row r="50" customFormat="false" ht="15" hidden="false" customHeight="true" outlineLevel="0" collapsed="false">
      <c r="A50" s="102"/>
      <c r="B50" s="102"/>
      <c r="C50" s="102"/>
      <c r="D50" s="102"/>
      <c r="E50" s="102"/>
      <c r="F50" s="102"/>
      <c r="G50" s="102"/>
      <c r="H50" s="102"/>
      <c r="I50" s="102"/>
      <c r="J50" s="102"/>
      <c r="K50" s="102"/>
      <c r="L50" s="102"/>
      <c r="M50" s="102"/>
      <c r="N50" s="102"/>
      <c r="O50" s="102"/>
    </row>
    <row r="51" customFormat="false" ht="15" hidden="false" customHeight="true" outlineLevel="0" collapsed="false">
      <c r="A51" s="102"/>
      <c r="B51" s="105" t="s">
        <v>6534</v>
      </c>
      <c r="C51" s="131" t="n">
        <v>500</v>
      </c>
      <c r="D51" s="102"/>
      <c r="E51" s="102"/>
      <c r="F51" s="102"/>
      <c r="G51" s="102"/>
      <c r="H51" s="102"/>
      <c r="I51" s="102"/>
      <c r="J51" s="102"/>
      <c r="K51" s="102"/>
      <c r="L51" s="102"/>
      <c r="M51" s="102"/>
      <c r="N51" s="102"/>
      <c r="O51" s="102"/>
    </row>
    <row r="52" customFormat="false" ht="15" hidden="false" customHeight="true" outlineLevel="0" collapsed="false">
      <c r="A52" s="102"/>
      <c r="B52" s="102"/>
      <c r="C52" s="102"/>
      <c r="D52" s="102"/>
      <c r="E52" s="102"/>
      <c r="F52" s="102"/>
      <c r="G52" s="102"/>
      <c r="H52" s="102"/>
      <c r="I52" s="102"/>
      <c r="J52" s="102"/>
      <c r="K52" s="102"/>
      <c r="L52" s="102"/>
      <c r="M52" s="102"/>
      <c r="N52" s="102"/>
      <c r="O52" s="102"/>
    </row>
    <row r="53" customFormat="false" ht="16.5" hidden="false" customHeight="true" outlineLevel="0" collapsed="false">
      <c r="A53" s="102"/>
      <c r="B53" s="108" t="s">
        <v>6535</v>
      </c>
      <c r="C53" s="108" t="s">
        <v>6536</v>
      </c>
      <c r="D53" s="102"/>
      <c r="E53" s="102"/>
      <c r="F53" s="102"/>
      <c r="G53" s="102"/>
      <c r="H53" s="102"/>
      <c r="I53" s="102"/>
      <c r="J53" s="102"/>
      <c r="K53" s="102"/>
      <c r="L53" s="102"/>
      <c r="M53" s="102"/>
      <c r="N53" s="102"/>
      <c r="O53" s="102"/>
    </row>
    <row r="54" customFormat="false" ht="15" hidden="false" customHeight="true" outlineLevel="0" collapsed="false">
      <c r="A54" s="102"/>
      <c r="B54" s="123" t="n">
        <v>1</v>
      </c>
      <c r="C54" s="131" t="n">
        <v>500.46</v>
      </c>
      <c r="D54" s="102"/>
      <c r="E54" s="102"/>
      <c r="F54" s="102"/>
      <c r="G54" s="102"/>
      <c r="H54" s="102"/>
      <c r="I54" s="102"/>
      <c r="J54" s="102"/>
      <c r="K54" s="102"/>
      <c r="L54" s="102"/>
      <c r="M54" s="102"/>
      <c r="N54" s="102"/>
      <c r="O54" s="102"/>
    </row>
    <row r="55" customFormat="false" ht="15" hidden="false" customHeight="true" outlineLevel="0" collapsed="false">
      <c r="A55" s="102"/>
      <c r="B55" s="123" t="n">
        <v>2</v>
      </c>
      <c r="C55" s="131" t="n">
        <v>500.65</v>
      </c>
      <c r="D55" s="102"/>
      <c r="E55" s="102"/>
      <c r="F55" s="102"/>
      <c r="G55" s="102"/>
      <c r="H55" s="102"/>
      <c r="I55" s="102"/>
      <c r="J55" s="102"/>
      <c r="K55" s="102"/>
      <c r="L55" s="102"/>
      <c r="M55" s="102"/>
      <c r="N55" s="102"/>
      <c r="O55" s="102"/>
    </row>
    <row r="56" customFormat="false" ht="15" hidden="false" customHeight="true" outlineLevel="0" collapsed="false">
      <c r="A56" s="102"/>
      <c r="B56" s="123" t="n">
        <v>3</v>
      </c>
      <c r="C56" s="131" t="n">
        <v>500.34</v>
      </c>
      <c r="D56" s="102"/>
      <c r="E56" s="102"/>
      <c r="F56" s="102"/>
      <c r="G56" s="102"/>
      <c r="H56" s="102"/>
      <c r="I56" s="102"/>
      <c r="J56" s="102"/>
      <c r="K56" s="102"/>
      <c r="L56" s="102"/>
      <c r="M56" s="102"/>
      <c r="N56" s="102"/>
      <c r="O56" s="102"/>
    </row>
    <row r="57" customFormat="false" ht="15" hidden="false" customHeight="true" outlineLevel="0" collapsed="false">
      <c r="A57" s="102"/>
      <c r="B57" s="123" t="n">
        <v>4</v>
      </c>
      <c r="C57" s="131" t="n">
        <v>500.23</v>
      </c>
      <c r="D57" s="102"/>
      <c r="E57" s="102"/>
      <c r="F57" s="102"/>
      <c r="G57" s="102"/>
      <c r="H57" s="102"/>
      <c r="I57" s="102"/>
      <c r="J57" s="102"/>
      <c r="K57" s="102"/>
      <c r="L57" s="102"/>
      <c r="M57" s="102"/>
      <c r="N57" s="102"/>
      <c r="O57" s="102"/>
    </row>
    <row r="58" customFormat="false" ht="15" hidden="false" customHeight="true" outlineLevel="0" collapsed="false">
      <c r="A58" s="102"/>
      <c r="B58" s="123" t="n">
        <v>5</v>
      </c>
      <c r="C58" s="131" t="n">
        <v>500.31</v>
      </c>
      <c r="D58" s="102"/>
      <c r="E58" s="102"/>
      <c r="F58" s="102"/>
      <c r="G58" s="102"/>
      <c r="H58" s="102"/>
      <c r="I58" s="102"/>
      <c r="J58" s="102"/>
      <c r="K58" s="102"/>
      <c r="L58" s="102"/>
      <c r="M58" s="102"/>
      <c r="N58" s="102"/>
      <c r="O58" s="102"/>
    </row>
    <row r="59" customFormat="false" ht="15" hidden="false" customHeight="true" outlineLevel="0" collapsed="false">
      <c r="A59" s="102"/>
      <c r="B59" s="123" t="n">
        <v>6</v>
      </c>
      <c r="C59" s="131" t="n">
        <v>500.06</v>
      </c>
      <c r="D59" s="102"/>
      <c r="E59" s="102"/>
      <c r="F59" s="102"/>
      <c r="G59" s="102"/>
      <c r="H59" s="102"/>
      <c r="I59" s="102"/>
      <c r="J59" s="102"/>
      <c r="K59" s="102"/>
      <c r="L59" s="102"/>
      <c r="M59" s="102"/>
      <c r="N59" s="102"/>
      <c r="O59" s="102"/>
    </row>
    <row r="60" customFormat="false" ht="15" hidden="false" customHeight="true" outlineLevel="0" collapsed="false">
      <c r="A60" s="102"/>
      <c r="B60" s="123" t="n">
        <v>7</v>
      </c>
      <c r="C60" s="131" t="n">
        <v>500.66</v>
      </c>
      <c r="D60" s="102"/>
      <c r="E60" s="102"/>
      <c r="F60" s="102"/>
      <c r="G60" s="102"/>
      <c r="H60" s="102"/>
      <c r="I60" s="102"/>
      <c r="J60" s="102"/>
      <c r="K60" s="102"/>
      <c r="L60" s="102"/>
      <c r="M60" s="102"/>
      <c r="N60" s="102"/>
      <c r="O60" s="102"/>
    </row>
    <row r="61" customFormat="false" ht="15" hidden="false" customHeight="true" outlineLevel="0" collapsed="false">
      <c r="A61" s="102"/>
      <c r="B61" s="123" t="n">
        <v>8</v>
      </c>
      <c r="C61" s="131" t="n">
        <v>500</v>
      </c>
      <c r="D61" s="102"/>
      <c r="E61" s="102"/>
      <c r="F61" s="102"/>
      <c r="G61" s="102"/>
      <c r="H61" s="102"/>
      <c r="I61" s="102"/>
      <c r="J61" s="102"/>
      <c r="K61" s="102"/>
      <c r="L61" s="102"/>
      <c r="M61" s="102"/>
      <c r="N61" s="102"/>
      <c r="O61" s="102"/>
    </row>
    <row r="62" customFormat="false" ht="15" hidden="false" customHeight="true" outlineLevel="0" collapsed="false">
      <c r="A62" s="102"/>
      <c r="B62" s="123" t="n">
        <v>9</v>
      </c>
      <c r="C62" s="131" t="n">
        <v>500.12</v>
      </c>
      <c r="D62" s="102"/>
      <c r="E62" s="102"/>
      <c r="F62" s="102"/>
      <c r="G62" s="102"/>
      <c r="H62" s="102"/>
      <c r="I62" s="102"/>
      <c r="J62" s="102"/>
      <c r="K62" s="102"/>
      <c r="L62" s="102"/>
      <c r="M62" s="102"/>
      <c r="N62" s="102"/>
      <c r="O62" s="102"/>
    </row>
    <row r="63" customFormat="false" ht="15" hidden="false" customHeight="true" outlineLevel="0" collapsed="false">
      <c r="A63" s="102"/>
      <c r="B63" s="123" t="n">
        <v>10</v>
      </c>
      <c r="C63" s="131" t="n">
        <v>500.64</v>
      </c>
      <c r="D63" s="102"/>
      <c r="E63" s="102"/>
      <c r="F63" s="102"/>
      <c r="G63" s="102"/>
      <c r="H63" s="102"/>
      <c r="I63" s="102"/>
      <c r="J63" s="102"/>
      <c r="K63" s="102"/>
      <c r="L63" s="102"/>
      <c r="M63" s="102"/>
      <c r="N63" s="102"/>
      <c r="O63" s="102"/>
    </row>
    <row r="64" customFormat="false" ht="15" hidden="false" customHeight="true" outlineLevel="0" collapsed="false">
      <c r="A64" s="102"/>
      <c r="B64" s="123" t="n">
        <v>11</v>
      </c>
      <c r="C64" s="131" t="n">
        <v>500.1</v>
      </c>
      <c r="D64" s="102"/>
      <c r="E64" s="102"/>
      <c r="F64" s="102"/>
      <c r="G64" s="102"/>
      <c r="H64" s="102"/>
      <c r="I64" s="102"/>
      <c r="J64" s="102"/>
      <c r="K64" s="102"/>
      <c r="L64" s="102"/>
      <c r="M64" s="102"/>
      <c r="N64" s="102"/>
      <c r="O64" s="102"/>
    </row>
    <row r="65" customFormat="false" ht="15" hidden="false" customHeight="true" outlineLevel="0" collapsed="false">
      <c r="A65" s="102"/>
      <c r="B65" s="123" t="n">
        <v>12</v>
      </c>
      <c r="C65" s="131" t="n">
        <v>500.18</v>
      </c>
      <c r="D65" s="102"/>
      <c r="E65" s="102"/>
      <c r="F65" s="102"/>
      <c r="G65" s="102"/>
      <c r="H65" s="102"/>
      <c r="I65" s="102"/>
      <c r="J65" s="102"/>
      <c r="K65" s="102"/>
      <c r="L65" s="102"/>
      <c r="M65" s="102"/>
      <c r="N65" s="102"/>
      <c r="O65" s="102"/>
    </row>
    <row r="66" customFormat="false" ht="15" hidden="false" customHeight="true" outlineLevel="0" collapsed="false">
      <c r="A66" s="102"/>
      <c r="B66" s="123" t="n">
        <v>13</v>
      </c>
      <c r="C66" s="131" t="n">
        <v>500.16</v>
      </c>
      <c r="D66" s="102"/>
      <c r="E66" s="102"/>
      <c r="F66" s="102"/>
      <c r="G66" s="102"/>
      <c r="H66" s="102"/>
      <c r="I66" s="102"/>
      <c r="J66" s="102"/>
      <c r="K66" s="102"/>
      <c r="L66" s="102"/>
      <c r="M66" s="102"/>
      <c r="N66" s="102"/>
      <c r="O66" s="102"/>
    </row>
    <row r="67" customFormat="false" ht="15" hidden="false" customHeight="true" outlineLevel="0" collapsed="false">
      <c r="A67" s="102"/>
      <c r="B67" s="123" t="n">
        <v>14</v>
      </c>
      <c r="C67" s="131" t="n">
        <v>500.02</v>
      </c>
      <c r="D67" s="102"/>
      <c r="E67" s="102"/>
      <c r="F67" s="102"/>
      <c r="G67" s="102"/>
      <c r="H67" s="102"/>
      <c r="I67" s="102"/>
      <c r="J67" s="102"/>
      <c r="K67" s="102"/>
      <c r="L67" s="102"/>
      <c r="M67" s="102"/>
      <c r="N67" s="102"/>
      <c r="O67" s="102"/>
    </row>
    <row r="68" customFormat="false" ht="15" hidden="false" customHeight="true" outlineLevel="0" collapsed="false">
      <c r="A68" s="102"/>
      <c r="B68" s="123" t="n">
        <v>15</v>
      </c>
      <c r="C68" s="131" t="n">
        <v>500.36</v>
      </c>
      <c r="D68" s="102"/>
      <c r="E68" s="102"/>
      <c r="F68" s="102"/>
      <c r="G68" s="102"/>
      <c r="H68" s="102"/>
      <c r="I68" s="102"/>
      <c r="J68" s="102"/>
      <c r="K68" s="102"/>
      <c r="L68" s="102"/>
      <c r="M68" s="102"/>
      <c r="N68" s="102"/>
      <c r="O68" s="102"/>
    </row>
    <row r="69" customFormat="false" ht="15" hidden="false" customHeight="true" outlineLevel="0" collapsed="false">
      <c r="A69" s="102"/>
      <c r="B69" s="102"/>
      <c r="C69" s="102"/>
      <c r="D69" s="102"/>
      <c r="E69" s="102"/>
      <c r="F69" s="102"/>
      <c r="G69" s="102"/>
      <c r="H69" s="102"/>
      <c r="I69" s="102"/>
      <c r="J69" s="102"/>
      <c r="K69" s="102"/>
      <c r="L69" s="102"/>
      <c r="M69" s="102"/>
      <c r="N69" s="102"/>
      <c r="O69" s="102"/>
    </row>
    <row r="70" customFormat="false" ht="15" hidden="false" customHeight="true" outlineLevel="0" collapsed="false">
      <c r="A70" s="102"/>
      <c r="B70" s="105" t="s">
        <v>2085</v>
      </c>
      <c r="C70" s="129" t="n">
        <f aca="false">AVERAGE(C54:C68)</f>
        <v>500.286</v>
      </c>
      <c r="D70" s="102"/>
      <c r="E70" s="102"/>
      <c r="F70" s="102"/>
      <c r="G70" s="102"/>
      <c r="H70" s="102"/>
      <c r="I70" s="102"/>
      <c r="J70" s="102"/>
      <c r="K70" s="102"/>
      <c r="L70" s="102"/>
      <c r="M70" s="102"/>
      <c r="N70" s="102"/>
      <c r="O70" s="102"/>
    </row>
    <row r="71" customFormat="false" ht="15" hidden="false" customHeight="true" outlineLevel="0" collapsed="false">
      <c r="A71" s="102"/>
      <c r="B71" s="105" t="s">
        <v>6537</v>
      </c>
      <c r="C71" s="129" t="n">
        <f aca="false">C70-C51</f>
        <v>0.286000000000001</v>
      </c>
      <c r="D71" s="102"/>
      <c r="E71" s="102"/>
      <c r="F71" s="102"/>
      <c r="G71" s="102"/>
      <c r="H71" s="102"/>
      <c r="I71" s="102"/>
      <c r="J71" s="102"/>
      <c r="K71" s="102"/>
      <c r="L71" s="102"/>
      <c r="M71" s="102"/>
      <c r="N71" s="102"/>
      <c r="O71" s="102"/>
    </row>
    <row r="72" customFormat="false" ht="15" hidden="false" customHeight="true" outlineLevel="0" collapsed="false">
      <c r="A72" s="102"/>
      <c r="B72" s="105" t="s">
        <v>6538</v>
      </c>
      <c r="C72" s="129" t="n">
        <f aca="false">STDEV(C54:C68)</f>
        <v>0.228810589165545</v>
      </c>
      <c r="D72" s="102"/>
      <c r="E72" s="102"/>
      <c r="F72" s="102"/>
      <c r="G72" s="102"/>
      <c r="H72" s="102"/>
      <c r="I72" s="102"/>
      <c r="J72" s="102"/>
      <c r="K72" s="102"/>
      <c r="L72" s="102"/>
      <c r="M72" s="102"/>
      <c r="N72" s="102"/>
      <c r="O72" s="102"/>
    </row>
    <row r="73" customFormat="false" ht="15" hidden="false" customHeight="true" outlineLevel="0" collapsed="false">
      <c r="A73" s="102"/>
      <c r="B73" s="105" t="s">
        <v>1769</v>
      </c>
      <c r="C73" s="124" t="n">
        <f aca="false">COUNT(C54:C68)</f>
        <v>15</v>
      </c>
      <c r="D73" s="102"/>
      <c r="E73" s="102"/>
      <c r="F73" s="102"/>
      <c r="G73" s="102"/>
      <c r="H73" s="102"/>
      <c r="I73" s="102"/>
      <c r="J73" s="102"/>
      <c r="K73" s="102"/>
      <c r="L73" s="102"/>
      <c r="M73" s="102"/>
      <c r="N73" s="102"/>
      <c r="O73" s="102"/>
    </row>
    <row r="74" customFormat="false" ht="15" hidden="false" customHeight="true" outlineLevel="0" collapsed="false">
      <c r="A74" s="102"/>
      <c r="B74" s="105" t="s">
        <v>6539</v>
      </c>
      <c r="C74" s="133" t="n">
        <f aca="false">C71/(C72/SQRT(C73))</f>
        <v>4.8410051346615</v>
      </c>
      <c r="D74" s="102"/>
      <c r="E74" s="102"/>
      <c r="F74" s="102"/>
      <c r="G74" s="102"/>
      <c r="H74" s="102"/>
      <c r="I74" s="102"/>
      <c r="J74" s="102"/>
      <c r="K74" s="102"/>
      <c r="L74" s="102"/>
      <c r="M74" s="102"/>
      <c r="N74" s="102"/>
      <c r="O74" s="102"/>
    </row>
    <row r="75" customFormat="false" ht="15" hidden="false" customHeight="true" outlineLevel="0" collapsed="false">
      <c r="A75" s="102"/>
      <c r="B75" s="105" t="s">
        <v>6540</v>
      </c>
      <c r="C75" s="126" t="n">
        <f aca="false">TDIST(ABS(C74),C73-1,2)</f>
        <v>0.000261634337841403</v>
      </c>
      <c r="D75" s="102"/>
      <c r="E75" s="102"/>
      <c r="F75" s="102"/>
      <c r="G75" s="102"/>
      <c r="H75" s="102"/>
      <c r="I75" s="102"/>
      <c r="J75" s="102"/>
      <c r="K75" s="102"/>
      <c r="L75" s="102"/>
      <c r="M75" s="102"/>
      <c r="N75" s="102"/>
      <c r="O75" s="102"/>
    </row>
    <row r="76" customFormat="false" ht="15" hidden="false" customHeight="true" outlineLevel="0" collapsed="false">
      <c r="A76" s="102"/>
      <c r="B76" s="102"/>
      <c r="C76" s="102"/>
      <c r="D76" s="102"/>
      <c r="E76" s="102"/>
      <c r="F76" s="102"/>
      <c r="G76" s="102"/>
      <c r="H76" s="102"/>
      <c r="I76" s="102"/>
      <c r="J76" s="102"/>
      <c r="K76" s="102"/>
      <c r="L76" s="102"/>
      <c r="M76" s="102"/>
      <c r="N76" s="102"/>
      <c r="O76" s="102"/>
    </row>
    <row r="77" customFormat="false" ht="15.75" hidden="false" customHeight="true" outlineLevel="0" collapsed="false">
      <c r="A77" s="102"/>
      <c r="B77" s="103" t="s">
        <v>1493</v>
      </c>
      <c r="C77" s="104"/>
      <c r="D77" s="104"/>
      <c r="E77" s="104"/>
      <c r="F77" s="104"/>
      <c r="G77" s="104"/>
      <c r="H77" s="104"/>
      <c r="I77" s="104"/>
      <c r="J77" s="104"/>
      <c r="K77" s="104"/>
      <c r="L77" s="102"/>
      <c r="M77" s="102"/>
      <c r="N77" s="102"/>
      <c r="O77" s="102"/>
    </row>
    <row r="78" customFormat="false" ht="33.75" hidden="false" customHeight="true" outlineLevel="0" collapsed="false">
      <c r="A78" s="102"/>
      <c r="B78" s="105" t="s">
        <v>1494</v>
      </c>
      <c r="C78" s="117" t="str">
        <f aca="false">IF(C75&lt;0.05,"Significant bias detected: "&amp;TEXT(C71,"0.000")&amp;" ml (p = "&amp;TEXT(C75,"0.0000")&amp;"). Recalibrate or adjust the gauge before relying on it.","No significant bias detected (p = "&amp;TEXT(C75,"0.0000")&amp;"). The gauge reads the reference value correctly on average.")</f>
        <v>Significant bias detected: 0.286 ml (p = 0.0003). Recalibrate or adjust the gauge before relying on it.</v>
      </c>
      <c r="D78" s="117"/>
      <c r="E78" s="117"/>
      <c r="F78" s="117"/>
      <c r="G78" s="117"/>
      <c r="H78" s="102"/>
      <c r="I78" s="102"/>
      <c r="J78" s="102"/>
      <c r="K78" s="102"/>
      <c r="L78" s="102"/>
      <c r="M78" s="102"/>
      <c r="N78" s="102"/>
      <c r="O78" s="102"/>
    </row>
    <row r="79" customFormat="false" ht="15" hidden="false" customHeight="true" outlineLevel="0" collapsed="false">
      <c r="A79" s="102"/>
      <c r="B79" s="102"/>
      <c r="C79" s="102"/>
      <c r="D79" s="102"/>
      <c r="E79" s="102"/>
      <c r="F79" s="102"/>
      <c r="G79" s="102"/>
      <c r="H79" s="102"/>
      <c r="I79" s="102"/>
      <c r="J79" s="102"/>
      <c r="K79" s="102"/>
      <c r="L79" s="102"/>
      <c r="M79" s="102"/>
      <c r="N79" s="102"/>
      <c r="O79" s="102"/>
    </row>
    <row r="80" customFormat="false" ht="16.5" hidden="false" customHeight="true" outlineLevel="0" collapsed="false">
      <c r="A80" s="102"/>
      <c r="B80" s="108" t="s">
        <v>1495</v>
      </c>
      <c r="C80" s="108" t="s">
        <v>1496</v>
      </c>
      <c r="D80" s="108" t="s">
        <v>1497</v>
      </c>
      <c r="E80" s="102"/>
      <c r="F80" s="102"/>
      <c r="G80" s="102"/>
      <c r="H80" s="102"/>
      <c r="I80" s="102"/>
      <c r="J80" s="102"/>
      <c r="K80" s="102"/>
      <c r="L80" s="102"/>
      <c r="M80" s="102"/>
      <c r="N80" s="102"/>
      <c r="O80" s="102"/>
    </row>
    <row r="81" customFormat="false" ht="30.75" hidden="false" customHeight="true" outlineLevel="0" collapsed="false">
      <c r="A81" s="102"/>
      <c r="B81" s="110" t="s">
        <v>6541</v>
      </c>
      <c r="C81" s="111" t="s">
        <v>3444</v>
      </c>
      <c r="D81" s="15" t="s">
        <v>6542</v>
      </c>
      <c r="E81" s="102"/>
      <c r="F81" s="102"/>
      <c r="G81" s="102"/>
      <c r="H81" s="102"/>
      <c r="I81" s="102"/>
      <c r="J81" s="102"/>
      <c r="K81" s="102"/>
      <c r="L81" s="102"/>
      <c r="M81" s="102"/>
      <c r="N81" s="102"/>
      <c r="O81" s="102"/>
    </row>
    <row r="82" customFormat="false" ht="30.75" hidden="false" customHeight="true" outlineLevel="0" collapsed="false">
      <c r="A82" s="102"/>
      <c r="B82" s="110" t="s">
        <v>6543</v>
      </c>
      <c r="C82" s="111" t="s">
        <v>6544</v>
      </c>
      <c r="D82" s="15" t="s">
        <v>6545</v>
      </c>
      <c r="E82" s="102"/>
      <c r="F82" s="102"/>
      <c r="G82" s="102"/>
      <c r="H82" s="102"/>
      <c r="I82" s="102"/>
      <c r="J82" s="102"/>
      <c r="K82" s="102"/>
      <c r="L82" s="102"/>
      <c r="M82" s="102"/>
      <c r="N82" s="102"/>
      <c r="O82" s="102"/>
    </row>
    <row r="83" customFormat="false" ht="30.75" hidden="false" customHeight="true" outlineLevel="0" collapsed="false">
      <c r="A83" s="102"/>
      <c r="B83" s="110" t="s">
        <v>6546</v>
      </c>
      <c r="C83" s="111" t="s">
        <v>6547</v>
      </c>
      <c r="D83" s="15" t="s">
        <v>6548</v>
      </c>
      <c r="E83" s="102"/>
      <c r="F83" s="102"/>
      <c r="G83" s="102"/>
      <c r="H83" s="102"/>
      <c r="I83" s="102"/>
      <c r="J83" s="102"/>
      <c r="K83" s="102"/>
      <c r="L83" s="102"/>
      <c r="M83" s="102"/>
      <c r="N83" s="102"/>
      <c r="O83" s="102"/>
    </row>
    <row r="84" customFormat="false" ht="15" hidden="false" customHeight="true" outlineLevel="0" collapsed="false">
      <c r="A84" s="102"/>
      <c r="B84" s="102"/>
      <c r="C84" s="102"/>
      <c r="D84" s="102"/>
      <c r="E84" s="102"/>
      <c r="F84" s="102"/>
      <c r="G84" s="102"/>
      <c r="H84" s="102"/>
      <c r="I84" s="102"/>
      <c r="J84" s="102"/>
      <c r="K84" s="102"/>
      <c r="L84" s="102"/>
      <c r="M84" s="102"/>
      <c r="N84" s="102"/>
      <c r="O84" s="102"/>
    </row>
    <row r="85" customFormat="false" ht="15" hidden="false" customHeight="true" outlineLevel="0" collapsed="false">
      <c r="A85" s="102"/>
      <c r="B85" s="105" t="s">
        <v>1507</v>
      </c>
      <c r="C85" s="102"/>
      <c r="D85" s="102"/>
      <c r="E85" s="102"/>
      <c r="F85" s="102"/>
      <c r="G85" s="102"/>
      <c r="H85" s="102"/>
      <c r="I85" s="102"/>
      <c r="J85" s="102"/>
      <c r="K85" s="102"/>
      <c r="L85" s="102"/>
      <c r="M85" s="102"/>
      <c r="N85" s="102"/>
      <c r="O85" s="102"/>
    </row>
    <row r="86" customFormat="false" ht="17.25" hidden="false" customHeight="true" outlineLevel="0" collapsed="false">
      <c r="A86" s="102"/>
      <c r="B86" s="106" t="s">
        <v>6549</v>
      </c>
      <c r="C86" s="106"/>
      <c r="D86" s="106"/>
      <c r="E86" s="106"/>
      <c r="F86" s="106"/>
      <c r="G86" s="106"/>
      <c r="H86" s="106"/>
      <c r="I86" s="102"/>
      <c r="J86" s="102"/>
      <c r="K86" s="102"/>
      <c r="L86" s="102"/>
      <c r="M86" s="102"/>
      <c r="N86" s="102"/>
      <c r="O86" s="102"/>
    </row>
    <row r="87" customFormat="false" ht="17.25" hidden="false" customHeight="true" outlineLevel="0" collapsed="false">
      <c r="A87" s="102"/>
      <c r="B87" s="106" t="s">
        <v>6550</v>
      </c>
      <c r="C87" s="106"/>
      <c r="D87" s="106"/>
      <c r="E87" s="106"/>
      <c r="F87" s="106"/>
      <c r="G87" s="106"/>
      <c r="H87" s="106"/>
      <c r="I87" s="102"/>
      <c r="J87" s="102"/>
      <c r="K87" s="102"/>
      <c r="L87" s="102"/>
      <c r="M87" s="102"/>
      <c r="N87" s="102"/>
      <c r="O87" s="102"/>
    </row>
    <row r="88" customFormat="false" ht="17.25" hidden="false" customHeight="true" outlineLevel="0" collapsed="false">
      <c r="A88" s="102"/>
      <c r="B88" s="106" t="s">
        <v>6551</v>
      </c>
      <c r="C88" s="106"/>
      <c r="D88" s="106"/>
      <c r="E88" s="106"/>
      <c r="F88" s="106"/>
      <c r="G88" s="106"/>
      <c r="H88" s="106"/>
      <c r="I88" s="102"/>
      <c r="J88" s="102"/>
      <c r="K88" s="102"/>
      <c r="L88" s="102"/>
      <c r="M88" s="102"/>
      <c r="N88" s="102"/>
      <c r="O88" s="102"/>
    </row>
    <row r="89" customFormat="false" ht="15" hidden="false" customHeight="true" outlineLevel="0" collapsed="false">
      <c r="A89" s="102"/>
      <c r="B89" s="102"/>
      <c r="C89" s="102"/>
      <c r="D89" s="102"/>
      <c r="E89" s="102"/>
      <c r="F89" s="102"/>
      <c r="G89" s="102"/>
      <c r="H89" s="102"/>
      <c r="I89" s="102"/>
      <c r="J89" s="102"/>
      <c r="K89" s="102"/>
      <c r="L89" s="102"/>
      <c r="M89" s="102"/>
      <c r="N89" s="102"/>
      <c r="O89" s="102"/>
    </row>
    <row r="90" customFormat="false" ht="15" hidden="false" customHeight="true" outlineLevel="0" collapsed="false">
      <c r="A90" s="102"/>
      <c r="B90" s="102"/>
      <c r="C90" s="102"/>
      <c r="D90" s="102"/>
      <c r="E90" s="102"/>
      <c r="F90" s="102"/>
      <c r="G90" s="102"/>
      <c r="H90" s="102"/>
      <c r="I90" s="102"/>
      <c r="J90" s="102"/>
      <c r="K90" s="102"/>
      <c r="L90" s="102"/>
      <c r="M90" s="102"/>
      <c r="N90" s="102"/>
      <c r="O90" s="102"/>
    </row>
    <row r="91" customFormat="false" ht="17.25" hidden="false" customHeight="true" outlineLevel="0" collapsed="false">
      <c r="A91" s="102"/>
      <c r="B91" s="107" t="s">
        <v>6552</v>
      </c>
      <c r="C91" s="107"/>
      <c r="D91" s="107"/>
      <c r="E91" s="107"/>
      <c r="F91" s="107"/>
      <c r="G91" s="107"/>
      <c r="H91" s="107"/>
      <c r="I91" s="102"/>
      <c r="J91" s="102"/>
      <c r="K91" s="102"/>
      <c r="L91" s="102"/>
      <c r="M91" s="102"/>
      <c r="N91" s="102"/>
      <c r="O91" s="102"/>
    </row>
    <row r="92" customFormat="false" ht="16.5" hidden="false" customHeight="true" outlineLevel="0" collapsed="false">
      <c r="A92" s="102"/>
      <c r="B92" s="108" t="s">
        <v>6553</v>
      </c>
      <c r="C92" s="108" t="s">
        <v>6554</v>
      </c>
      <c r="D92" s="108" t="s">
        <v>6555</v>
      </c>
      <c r="E92" s="108" t="s">
        <v>6556</v>
      </c>
      <c r="F92" s="108" t="s">
        <v>2085</v>
      </c>
      <c r="G92" s="108" t="s">
        <v>6557</v>
      </c>
      <c r="H92" s="102"/>
      <c r="I92" s="102"/>
      <c r="J92" s="102"/>
      <c r="K92" s="102"/>
      <c r="L92" s="102"/>
      <c r="M92" s="102"/>
      <c r="N92" s="102"/>
      <c r="O92" s="102"/>
    </row>
    <row r="93" customFormat="false" ht="15" hidden="false" customHeight="true" outlineLevel="0" collapsed="false">
      <c r="A93" s="102"/>
      <c r="B93" s="114" t="n">
        <v>480</v>
      </c>
      <c r="C93" s="131" t="n">
        <v>479.76</v>
      </c>
      <c r="D93" s="131" t="n">
        <v>480.01</v>
      </c>
      <c r="E93" s="131" t="n">
        <v>479.89</v>
      </c>
      <c r="F93" s="133" t="n">
        <f aca="false">AVERAGE(C93:E93)</f>
        <v>479.886666666667</v>
      </c>
      <c r="G93" s="133" t="n">
        <f aca="false">F93-B93</f>
        <v>-0.113333333333401</v>
      </c>
      <c r="H93" s="102"/>
      <c r="I93" s="102"/>
      <c r="J93" s="102"/>
      <c r="K93" s="102"/>
      <c r="L93" s="102"/>
      <c r="M93" s="102"/>
      <c r="N93" s="102"/>
      <c r="O93" s="102"/>
    </row>
    <row r="94" customFormat="false" ht="15" hidden="false" customHeight="true" outlineLevel="0" collapsed="false">
      <c r="A94" s="102"/>
      <c r="B94" s="114" t="n">
        <v>490</v>
      </c>
      <c r="C94" s="131" t="n">
        <v>489.81</v>
      </c>
      <c r="D94" s="131" t="n">
        <v>489.87</v>
      </c>
      <c r="E94" s="131" t="n">
        <v>489.91</v>
      </c>
      <c r="F94" s="133" t="n">
        <f aca="false">AVERAGE(C94:E94)</f>
        <v>489.863333333333</v>
      </c>
      <c r="G94" s="133" t="n">
        <f aca="false">F94-B94</f>
        <v>-0.136666666666599</v>
      </c>
      <c r="H94" s="102"/>
      <c r="I94" s="102"/>
      <c r="J94" s="102"/>
      <c r="K94" s="102"/>
      <c r="L94" s="102"/>
      <c r="M94" s="102"/>
      <c r="N94" s="102"/>
      <c r="O94" s="102"/>
    </row>
    <row r="95" customFormat="false" ht="15" hidden="false" customHeight="true" outlineLevel="0" collapsed="false">
      <c r="A95" s="102"/>
      <c r="B95" s="114" t="n">
        <v>500</v>
      </c>
      <c r="C95" s="131" t="n">
        <v>500.21</v>
      </c>
      <c r="D95" s="131" t="n">
        <v>499.91</v>
      </c>
      <c r="E95" s="131" t="n">
        <v>500.34</v>
      </c>
      <c r="F95" s="133" t="n">
        <f aca="false">AVERAGE(C95:E95)</f>
        <v>500.153333333333</v>
      </c>
      <c r="G95" s="133" t="n">
        <f aca="false">F95-B95</f>
        <v>0.153333333333364</v>
      </c>
      <c r="H95" s="102"/>
      <c r="I95" s="102"/>
      <c r="J95" s="102"/>
      <c r="K95" s="102"/>
      <c r="L95" s="102"/>
      <c r="M95" s="102"/>
      <c r="N95" s="102"/>
      <c r="O95" s="102"/>
    </row>
    <row r="96" customFormat="false" ht="15" hidden="false" customHeight="true" outlineLevel="0" collapsed="false">
      <c r="A96" s="102"/>
      <c r="B96" s="114" t="n">
        <v>510</v>
      </c>
      <c r="C96" s="131" t="n">
        <v>510.25</v>
      </c>
      <c r="D96" s="131" t="n">
        <v>510.06</v>
      </c>
      <c r="E96" s="131" t="n">
        <v>510.33</v>
      </c>
      <c r="F96" s="133" t="n">
        <f aca="false">AVERAGE(C96:E96)</f>
        <v>510.213333333333</v>
      </c>
      <c r="G96" s="133" t="n">
        <f aca="false">F96-B96</f>
        <v>0.21333333333331</v>
      </c>
      <c r="H96" s="102"/>
      <c r="I96" s="102"/>
      <c r="J96" s="102"/>
      <c r="K96" s="102"/>
      <c r="L96" s="102"/>
      <c r="M96" s="102"/>
      <c r="N96" s="102"/>
      <c r="O96" s="102"/>
    </row>
    <row r="97" customFormat="false" ht="15" hidden="false" customHeight="true" outlineLevel="0" collapsed="false">
      <c r="A97" s="102"/>
      <c r="B97" s="114" t="n">
        <v>520</v>
      </c>
      <c r="C97" s="131" t="n">
        <v>520.38</v>
      </c>
      <c r="D97" s="131" t="n">
        <v>520.22</v>
      </c>
      <c r="E97" s="131" t="n">
        <v>520.4</v>
      </c>
      <c r="F97" s="133" t="n">
        <f aca="false">AVERAGE(C97:E97)</f>
        <v>520.333333333333</v>
      </c>
      <c r="G97" s="133" t="n">
        <f aca="false">F97-B97</f>
        <v>0.333333333333371</v>
      </c>
      <c r="H97" s="102"/>
      <c r="I97" s="102"/>
      <c r="J97" s="102"/>
      <c r="K97" s="102"/>
      <c r="L97" s="102"/>
      <c r="M97" s="102"/>
      <c r="N97" s="102"/>
      <c r="O97" s="102"/>
    </row>
    <row r="98" customFormat="false" ht="15" hidden="false" customHeight="true" outlineLevel="0" collapsed="false">
      <c r="A98" s="102"/>
      <c r="B98" s="102"/>
      <c r="C98" s="102"/>
      <c r="D98" s="102"/>
      <c r="E98" s="102"/>
      <c r="F98" s="102"/>
      <c r="G98" s="102"/>
      <c r="H98" s="102"/>
      <c r="I98" s="102"/>
      <c r="J98" s="102"/>
      <c r="K98" s="102"/>
      <c r="L98" s="102"/>
      <c r="M98" s="102"/>
      <c r="N98" s="102"/>
      <c r="O98" s="102"/>
    </row>
    <row r="99" customFormat="false" ht="15" hidden="false" customHeight="true" outlineLevel="0" collapsed="false">
      <c r="A99" s="102"/>
      <c r="B99" s="105" t="s">
        <v>6558</v>
      </c>
      <c r="C99" s="126" t="n">
        <f aca="false">SLOPE(G93:G97,B93:B97)</f>
        <v>0.0124333333333345</v>
      </c>
      <c r="D99" s="102"/>
      <c r="E99" s="102"/>
      <c r="F99" s="102"/>
      <c r="G99" s="102"/>
      <c r="H99" s="102"/>
      <c r="I99" s="102"/>
      <c r="J99" s="102"/>
      <c r="K99" s="102"/>
      <c r="L99" s="102"/>
      <c r="M99" s="102"/>
      <c r="N99" s="102"/>
      <c r="O99" s="102"/>
    </row>
    <row r="100" customFormat="false" ht="15" hidden="false" customHeight="true" outlineLevel="0" collapsed="false">
      <c r="A100" s="102"/>
      <c r="B100" s="105" t="s">
        <v>4780</v>
      </c>
      <c r="C100" s="126" t="n">
        <f aca="false">INTERCEPT(G93:G97,B93:B97)</f>
        <v>-6.12666666666726</v>
      </c>
      <c r="D100" s="102"/>
      <c r="E100" s="102"/>
      <c r="F100" s="102"/>
      <c r="G100" s="102"/>
      <c r="H100" s="102"/>
      <c r="I100" s="102"/>
      <c r="J100" s="102"/>
      <c r="K100" s="102"/>
      <c r="L100" s="102"/>
      <c r="M100" s="102"/>
      <c r="N100" s="102"/>
      <c r="O100" s="102"/>
    </row>
    <row r="101" customFormat="false" ht="15" hidden="false" customHeight="true" outlineLevel="0" collapsed="false">
      <c r="A101" s="102"/>
      <c r="B101" s="105" t="s">
        <v>6559</v>
      </c>
      <c r="C101" s="129" t="n">
        <f aca="false">RSQ(G93:G97,B93:B97)</f>
        <v>0.903200467411165</v>
      </c>
      <c r="D101" s="102"/>
      <c r="E101" s="102"/>
      <c r="F101" s="102"/>
      <c r="G101" s="102"/>
      <c r="H101" s="102"/>
      <c r="I101" s="102"/>
      <c r="J101" s="102"/>
      <c r="K101" s="102"/>
      <c r="L101" s="102"/>
      <c r="M101" s="102"/>
      <c r="N101" s="102"/>
      <c r="O101" s="102"/>
    </row>
    <row r="102" customFormat="false" ht="15" hidden="false" customHeight="true" outlineLevel="0" collapsed="false">
      <c r="A102" s="102"/>
      <c r="B102" s="105" t="s">
        <v>6560</v>
      </c>
      <c r="C102" s="142" t="n">
        <f aca="false">ABS(C99)*100</f>
        <v>1.24333333333345</v>
      </c>
      <c r="D102" s="102"/>
      <c r="E102" s="102"/>
      <c r="F102" s="102"/>
      <c r="G102" s="102"/>
      <c r="H102" s="102"/>
      <c r="I102" s="102"/>
      <c r="J102" s="102"/>
      <c r="K102" s="102"/>
      <c r="L102" s="102"/>
      <c r="M102" s="102"/>
      <c r="N102" s="102"/>
      <c r="O102" s="102"/>
    </row>
    <row r="103" customFormat="false" ht="15" hidden="false" customHeight="true" outlineLevel="0" collapsed="false">
      <c r="A103" s="102"/>
      <c r="B103" s="102"/>
      <c r="C103" s="102"/>
      <c r="D103" s="102"/>
      <c r="E103" s="102"/>
      <c r="F103" s="102"/>
      <c r="G103" s="102"/>
      <c r="H103" s="102"/>
      <c r="I103" s="102"/>
      <c r="J103" s="102"/>
      <c r="K103" s="102"/>
      <c r="L103" s="102"/>
      <c r="M103" s="102"/>
      <c r="N103" s="102"/>
      <c r="O103" s="102"/>
    </row>
    <row r="104" customFormat="false" ht="15.75" hidden="false" customHeight="true" outlineLevel="0" collapsed="false">
      <c r="A104" s="102"/>
      <c r="B104" s="103" t="s">
        <v>1493</v>
      </c>
      <c r="C104" s="104"/>
      <c r="D104" s="104"/>
      <c r="E104" s="104"/>
      <c r="F104" s="104"/>
      <c r="G104" s="104"/>
      <c r="H104" s="104"/>
      <c r="I104" s="104"/>
      <c r="J104" s="104"/>
      <c r="K104" s="104"/>
      <c r="L104" s="102"/>
      <c r="M104" s="102"/>
      <c r="N104" s="102"/>
      <c r="O104" s="102"/>
    </row>
    <row r="105" customFormat="false" ht="18.75" hidden="false" customHeight="true" outlineLevel="0" collapsed="false">
      <c r="A105" s="102"/>
      <c r="B105" s="105" t="s">
        <v>1494</v>
      </c>
      <c r="C105" s="117" t="str">
        <f aca="false">IF(C102&lt;5,"Acceptable linearity: "&amp;TEXT(C102,"0.0")&amp;"% (&lt;5%). Bias is essentially constant across the range.","Linearity problem: "&amp;TEXT(C102,"0.0")&amp;"% (≥5%). Bias changes meaningfully across the operating range - the gauge may need a range-dependent correction or recalibration.")</f>
        <v>Acceptable linearity: 1.2% (&lt;5%). Bias is essentially constant across the range.</v>
      </c>
      <c r="D105" s="117"/>
      <c r="E105" s="117"/>
      <c r="F105" s="117"/>
      <c r="G105" s="102"/>
      <c r="H105" s="102"/>
      <c r="I105" s="102"/>
      <c r="J105" s="102"/>
      <c r="K105" s="102"/>
      <c r="L105" s="102"/>
      <c r="M105" s="102"/>
      <c r="N105" s="102"/>
      <c r="O105" s="102"/>
    </row>
    <row r="106" customFormat="false" ht="15" hidden="false" customHeight="true" outlineLevel="0" collapsed="false">
      <c r="A106" s="102"/>
      <c r="B106" s="102"/>
      <c r="C106" s="102"/>
      <c r="D106" s="102"/>
      <c r="E106" s="102"/>
      <c r="F106" s="102"/>
      <c r="G106" s="102"/>
      <c r="H106" s="102"/>
      <c r="I106" s="102"/>
      <c r="J106" s="102"/>
      <c r="K106" s="102"/>
      <c r="L106" s="102"/>
      <c r="M106" s="102"/>
      <c r="N106" s="102"/>
      <c r="O106" s="102"/>
    </row>
    <row r="107" customFormat="false" ht="16.5" hidden="false" customHeight="true" outlineLevel="0" collapsed="false">
      <c r="A107" s="102"/>
      <c r="B107" s="108" t="s">
        <v>1495</v>
      </c>
      <c r="C107" s="108" t="s">
        <v>1496</v>
      </c>
      <c r="D107" s="108" t="s">
        <v>1497</v>
      </c>
      <c r="E107" s="102"/>
      <c r="F107" s="102"/>
      <c r="G107" s="102"/>
      <c r="H107" s="102"/>
      <c r="I107" s="102"/>
      <c r="J107" s="102"/>
      <c r="K107" s="102"/>
      <c r="L107" s="102"/>
      <c r="M107" s="102"/>
      <c r="N107" s="102"/>
      <c r="O107" s="102"/>
    </row>
    <row r="108" customFormat="false" ht="30.75" hidden="false" customHeight="true" outlineLevel="0" collapsed="false">
      <c r="A108" s="102"/>
      <c r="B108" s="110" t="s">
        <v>6561</v>
      </c>
      <c r="C108" s="111" t="s">
        <v>6562</v>
      </c>
      <c r="D108" s="15" t="s">
        <v>6563</v>
      </c>
      <c r="E108" s="102"/>
      <c r="F108" s="102"/>
      <c r="G108" s="102"/>
      <c r="H108" s="102"/>
      <c r="I108" s="102"/>
      <c r="J108" s="102"/>
      <c r="K108" s="102"/>
      <c r="L108" s="102"/>
      <c r="M108" s="102"/>
      <c r="N108" s="102"/>
      <c r="O108" s="102"/>
    </row>
    <row r="109" customFormat="false" ht="30.75" hidden="false" customHeight="true" outlineLevel="0" collapsed="false">
      <c r="A109" s="102"/>
      <c r="B109" s="110" t="s">
        <v>6564</v>
      </c>
      <c r="C109" s="111" t="s">
        <v>6565</v>
      </c>
      <c r="D109" s="15" t="s">
        <v>6566</v>
      </c>
      <c r="E109" s="102"/>
      <c r="F109" s="102"/>
      <c r="G109" s="102"/>
      <c r="H109" s="102"/>
      <c r="I109" s="102"/>
      <c r="J109" s="102"/>
      <c r="K109" s="102"/>
      <c r="L109" s="102"/>
      <c r="M109" s="102"/>
      <c r="N109" s="102"/>
      <c r="O109" s="102"/>
    </row>
    <row r="110" customFormat="false" ht="44.25" hidden="false" customHeight="true" outlineLevel="0" collapsed="false">
      <c r="A110" s="102"/>
      <c r="B110" s="110" t="s">
        <v>6567</v>
      </c>
      <c r="C110" s="111" t="s">
        <v>6568</v>
      </c>
      <c r="D110" s="15" t="s">
        <v>6569</v>
      </c>
      <c r="E110" s="102"/>
      <c r="F110" s="102"/>
      <c r="G110" s="102"/>
      <c r="H110" s="102"/>
      <c r="I110" s="102"/>
      <c r="J110" s="102"/>
      <c r="K110" s="102"/>
      <c r="L110" s="102"/>
      <c r="M110" s="102"/>
      <c r="N110" s="102"/>
      <c r="O110" s="102"/>
    </row>
    <row r="111" customFormat="false" ht="15" hidden="false" customHeight="true" outlineLevel="0" collapsed="false">
      <c r="A111" s="102"/>
      <c r="B111" s="102"/>
      <c r="C111" s="102"/>
      <c r="D111" s="102"/>
      <c r="E111" s="102"/>
      <c r="F111" s="102"/>
      <c r="G111" s="102"/>
      <c r="H111" s="102"/>
      <c r="I111" s="102"/>
      <c r="J111" s="102"/>
      <c r="K111" s="102"/>
      <c r="L111" s="102"/>
      <c r="M111" s="102"/>
      <c r="N111" s="102"/>
      <c r="O111" s="102"/>
    </row>
    <row r="112" customFormat="false" ht="15" hidden="false" customHeight="true" outlineLevel="0" collapsed="false">
      <c r="A112" s="102"/>
      <c r="B112" s="105" t="s">
        <v>1507</v>
      </c>
      <c r="C112" s="102"/>
      <c r="D112" s="102"/>
      <c r="E112" s="102"/>
      <c r="F112" s="102"/>
      <c r="G112" s="102"/>
      <c r="H112" s="102"/>
      <c r="I112" s="102"/>
      <c r="J112" s="102"/>
      <c r="K112" s="102"/>
      <c r="L112" s="102"/>
      <c r="M112" s="102"/>
      <c r="N112" s="102"/>
      <c r="O112" s="102"/>
    </row>
    <row r="113" customFormat="false" ht="17.25" hidden="false" customHeight="true" outlineLevel="0" collapsed="false">
      <c r="A113" s="102"/>
      <c r="B113" s="106" t="s">
        <v>6570</v>
      </c>
      <c r="C113" s="106"/>
      <c r="D113" s="106"/>
      <c r="E113" s="106"/>
      <c r="F113" s="106"/>
      <c r="G113" s="106"/>
      <c r="H113" s="106"/>
      <c r="I113" s="102"/>
      <c r="J113" s="102"/>
      <c r="K113" s="102"/>
      <c r="L113" s="102"/>
      <c r="M113" s="102"/>
      <c r="N113" s="102"/>
      <c r="O113" s="102"/>
    </row>
    <row r="114" customFormat="false" ht="17.25" hidden="false" customHeight="true" outlineLevel="0" collapsed="false">
      <c r="A114" s="102"/>
      <c r="B114" s="106" t="s">
        <v>6571</v>
      </c>
      <c r="C114" s="106"/>
      <c r="D114" s="106"/>
      <c r="E114" s="106"/>
      <c r="F114" s="106"/>
      <c r="G114" s="106"/>
      <c r="H114" s="106"/>
      <c r="I114" s="102"/>
      <c r="J114" s="102"/>
      <c r="K114" s="102"/>
      <c r="L114" s="102"/>
      <c r="M114" s="102"/>
      <c r="N114" s="102"/>
      <c r="O114" s="102"/>
    </row>
    <row r="115" customFormat="false" ht="17.25" hidden="false" customHeight="true" outlineLevel="0" collapsed="false">
      <c r="A115" s="102"/>
      <c r="B115" s="106" t="s">
        <v>6572</v>
      </c>
      <c r="C115" s="106"/>
      <c r="D115" s="106"/>
      <c r="E115" s="106"/>
      <c r="F115" s="106"/>
      <c r="G115" s="106"/>
      <c r="H115" s="106"/>
      <c r="I115" s="102"/>
      <c r="J115" s="102"/>
      <c r="K115" s="102"/>
      <c r="L115" s="102"/>
      <c r="M115" s="102"/>
      <c r="N115" s="102"/>
      <c r="O115" s="102"/>
    </row>
    <row r="116" customFormat="false" ht="15" hidden="false" customHeight="true" outlineLevel="0" collapsed="false">
      <c r="A116" s="102"/>
      <c r="B116" s="102"/>
      <c r="C116" s="102"/>
      <c r="D116" s="102"/>
      <c r="E116" s="102"/>
      <c r="F116" s="102"/>
      <c r="G116" s="102"/>
      <c r="H116" s="102"/>
      <c r="I116" s="102"/>
      <c r="J116" s="102"/>
      <c r="K116" s="102"/>
      <c r="L116" s="102"/>
      <c r="M116" s="102"/>
      <c r="N116" s="102"/>
      <c r="O116" s="102"/>
    </row>
    <row r="117" customFormat="false" ht="15" hidden="false" customHeight="true" outlineLevel="0" collapsed="false">
      <c r="A117" s="102"/>
      <c r="B117" s="102"/>
      <c r="C117" s="102"/>
      <c r="D117" s="102"/>
      <c r="E117" s="102"/>
      <c r="F117" s="102"/>
      <c r="G117" s="102"/>
      <c r="H117" s="102"/>
      <c r="I117" s="102"/>
      <c r="J117" s="102"/>
      <c r="K117" s="102"/>
      <c r="L117" s="102"/>
      <c r="M117" s="102"/>
      <c r="N117" s="102"/>
      <c r="O117" s="102"/>
    </row>
    <row r="118" customFormat="false" ht="11.25" hidden="false" customHeight="true" outlineLevel="0" collapsed="false">
      <c r="A118" s="102"/>
      <c r="B118" s="107" t="s">
        <v>6573</v>
      </c>
      <c r="C118" s="107"/>
      <c r="D118" s="107"/>
      <c r="E118" s="107"/>
      <c r="F118" s="107"/>
      <c r="G118" s="107"/>
      <c r="H118" s="107"/>
      <c r="I118" s="102"/>
      <c r="J118" s="102"/>
      <c r="K118" s="102"/>
      <c r="L118" s="102"/>
      <c r="M118" s="102"/>
      <c r="N118" s="102"/>
      <c r="O118" s="102"/>
    </row>
    <row r="119" customFormat="false" ht="11.25" hidden="false" customHeight="true" outlineLevel="0" collapsed="false">
      <c r="A119" s="102"/>
      <c r="B119" s="107"/>
      <c r="C119" s="107"/>
      <c r="D119" s="107"/>
      <c r="E119" s="107"/>
      <c r="F119" s="107"/>
      <c r="G119" s="107"/>
      <c r="H119" s="107"/>
      <c r="I119" s="102"/>
      <c r="J119" s="102"/>
      <c r="K119" s="102"/>
      <c r="L119" s="102"/>
      <c r="M119" s="102"/>
      <c r="N119" s="102"/>
      <c r="O119" s="102"/>
    </row>
    <row r="120" customFormat="false" ht="11.25" hidden="false" customHeight="true" outlineLevel="0" collapsed="false">
      <c r="A120" s="102"/>
      <c r="B120" s="107"/>
      <c r="C120" s="107"/>
      <c r="D120" s="107"/>
      <c r="E120" s="107"/>
      <c r="F120" s="107"/>
      <c r="G120" s="107"/>
      <c r="H120" s="107"/>
      <c r="I120" s="102"/>
      <c r="J120" s="102"/>
      <c r="K120" s="102"/>
      <c r="L120" s="102"/>
      <c r="M120" s="102"/>
      <c r="N120" s="102"/>
      <c r="O120" s="102"/>
    </row>
    <row r="121" customFormat="false" ht="11.25" hidden="false" customHeight="true" outlineLevel="0" collapsed="false">
      <c r="A121" s="102"/>
      <c r="B121" s="107"/>
      <c r="C121" s="107"/>
      <c r="D121" s="107"/>
      <c r="E121" s="107"/>
      <c r="F121" s="107"/>
      <c r="G121" s="107"/>
      <c r="H121" s="107"/>
      <c r="I121" s="102"/>
      <c r="J121" s="102"/>
      <c r="K121" s="102"/>
      <c r="L121" s="102"/>
      <c r="M121" s="102"/>
      <c r="N121" s="102"/>
      <c r="O121" s="102"/>
    </row>
    <row r="122" customFormat="false" ht="15" hidden="false" customHeight="true" outlineLevel="0" collapsed="false">
      <c r="A122" s="102"/>
      <c r="B122" s="102"/>
      <c r="C122" s="102"/>
      <c r="D122" s="102"/>
      <c r="E122" s="102"/>
      <c r="F122" s="102"/>
      <c r="G122" s="102"/>
      <c r="H122" s="102"/>
      <c r="I122" s="102"/>
      <c r="J122" s="102"/>
      <c r="K122" s="102"/>
      <c r="L122" s="102"/>
      <c r="M122" s="102"/>
      <c r="N122" s="102"/>
      <c r="O122" s="102"/>
    </row>
    <row r="123" customFormat="false" ht="17.25" hidden="false" customHeight="true" outlineLevel="0" collapsed="false">
      <c r="A123" s="102"/>
      <c r="B123" s="107" t="s">
        <v>6574</v>
      </c>
      <c r="C123" s="107"/>
      <c r="D123" s="107"/>
      <c r="E123" s="107"/>
      <c r="F123" s="107"/>
      <c r="G123" s="107"/>
      <c r="H123" s="107"/>
      <c r="I123" s="102"/>
      <c r="J123" s="102"/>
      <c r="K123" s="102"/>
      <c r="L123" s="102"/>
      <c r="M123" s="102"/>
      <c r="N123" s="102"/>
      <c r="O123" s="102"/>
    </row>
    <row r="124" customFormat="false" ht="16.5" hidden="false" customHeight="true" outlineLevel="0" collapsed="false">
      <c r="A124" s="102"/>
      <c r="B124" s="108" t="s">
        <v>6575</v>
      </c>
      <c r="C124" s="108" t="s">
        <v>6576</v>
      </c>
      <c r="D124" s="108" t="s">
        <v>6577</v>
      </c>
      <c r="E124" s="108" t="s">
        <v>6578</v>
      </c>
      <c r="F124" s="102"/>
      <c r="G124" s="102"/>
      <c r="H124" s="102"/>
      <c r="I124" s="102"/>
      <c r="J124" s="102"/>
      <c r="K124" s="102"/>
      <c r="L124" s="102"/>
      <c r="M124" s="102"/>
      <c r="N124" s="102"/>
      <c r="O124" s="102"/>
    </row>
    <row r="125" customFormat="false" ht="15" hidden="false" customHeight="true" outlineLevel="0" collapsed="false">
      <c r="A125" s="102"/>
      <c r="B125" s="123" t="n">
        <v>1</v>
      </c>
      <c r="C125" s="114" t="n">
        <v>0</v>
      </c>
      <c r="D125" s="114" t="n">
        <v>1</v>
      </c>
      <c r="E125" s="132" t="str">
        <f aca="false">IF(C125=D125,"Agree","Disagree")</f>
        <v>Disagree</v>
      </c>
      <c r="F125" s="102"/>
      <c r="G125" s="102"/>
      <c r="H125" s="102"/>
      <c r="I125" s="102"/>
      <c r="J125" s="102"/>
      <c r="K125" s="102"/>
      <c r="L125" s="102"/>
      <c r="M125" s="102"/>
      <c r="N125" s="102"/>
      <c r="O125" s="102"/>
    </row>
    <row r="126" customFormat="false" ht="15" hidden="false" customHeight="true" outlineLevel="0" collapsed="false">
      <c r="A126" s="102"/>
      <c r="B126" s="123" t="n">
        <v>2</v>
      </c>
      <c r="C126" s="114" t="n">
        <v>1</v>
      </c>
      <c r="D126" s="114" t="n">
        <v>1</v>
      </c>
      <c r="E126" s="132" t="str">
        <f aca="false">IF(C126=D126,"Agree","Disagree")</f>
        <v>Agree</v>
      </c>
      <c r="F126" s="102"/>
      <c r="G126" s="102"/>
      <c r="H126" s="102"/>
      <c r="I126" s="102"/>
      <c r="J126" s="102"/>
      <c r="K126" s="102"/>
      <c r="L126" s="102"/>
      <c r="M126" s="102"/>
      <c r="N126" s="102"/>
      <c r="O126" s="102"/>
    </row>
    <row r="127" customFormat="false" ht="15" hidden="false" customHeight="true" outlineLevel="0" collapsed="false">
      <c r="A127" s="102"/>
      <c r="B127" s="123" t="n">
        <v>3</v>
      </c>
      <c r="C127" s="114" t="n">
        <v>0</v>
      </c>
      <c r="D127" s="114" t="n">
        <v>0</v>
      </c>
      <c r="E127" s="132" t="str">
        <f aca="false">IF(C127=D127,"Agree","Disagree")</f>
        <v>Agree</v>
      </c>
      <c r="F127" s="102"/>
      <c r="G127" s="102"/>
      <c r="H127" s="102"/>
      <c r="I127" s="102"/>
      <c r="J127" s="102"/>
      <c r="K127" s="102"/>
      <c r="L127" s="102"/>
      <c r="M127" s="102"/>
      <c r="N127" s="102"/>
      <c r="O127" s="102"/>
    </row>
    <row r="128" customFormat="false" ht="15" hidden="false" customHeight="true" outlineLevel="0" collapsed="false">
      <c r="A128" s="102"/>
      <c r="B128" s="123" t="n">
        <v>4</v>
      </c>
      <c r="C128" s="114" t="n">
        <v>1</v>
      </c>
      <c r="D128" s="114" t="n">
        <v>1</v>
      </c>
      <c r="E128" s="132" t="str">
        <f aca="false">IF(C128=D128,"Agree","Disagree")</f>
        <v>Agree</v>
      </c>
      <c r="F128" s="102"/>
      <c r="G128" s="102"/>
      <c r="H128" s="102"/>
      <c r="I128" s="102"/>
      <c r="J128" s="102"/>
      <c r="K128" s="102"/>
      <c r="L128" s="102"/>
      <c r="M128" s="102"/>
      <c r="N128" s="102"/>
      <c r="O128" s="102"/>
    </row>
    <row r="129" customFormat="false" ht="15" hidden="false" customHeight="true" outlineLevel="0" collapsed="false">
      <c r="A129" s="102"/>
      <c r="B129" s="123" t="n">
        <v>5</v>
      </c>
      <c r="C129" s="114" t="n">
        <v>0</v>
      </c>
      <c r="D129" s="114" t="n">
        <v>1</v>
      </c>
      <c r="E129" s="132" t="str">
        <f aca="false">IF(C129=D129,"Agree","Disagree")</f>
        <v>Disagree</v>
      </c>
      <c r="F129" s="102"/>
      <c r="G129" s="102"/>
      <c r="H129" s="102"/>
      <c r="I129" s="102"/>
      <c r="J129" s="102"/>
      <c r="K129" s="102"/>
      <c r="L129" s="102"/>
      <c r="M129" s="102"/>
      <c r="N129" s="102"/>
      <c r="O129" s="102"/>
    </row>
    <row r="130" customFormat="false" ht="15" hidden="false" customHeight="true" outlineLevel="0" collapsed="false">
      <c r="A130" s="102"/>
      <c r="B130" s="123" t="n">
        <v>6</v>
      </c>
      <c r="C130" s="114" t="n">
        <v>1</v>
      </c>
      <c r="D130" s="114" t="n">
        <v>1</v>
      </c>
      <c r="E130" s="132" t="str">
        <f aca="false">IF(C130=D130,"Agree","Disagree")</f>
        <v>Agree</v>
      </c>
      <c r="F130" s="102"/>
      <c r="G130" s="102"/>
      <c r="H130" s="102"/>
      <c r="I130" s="102"/>
      <c r="J130" s="102"/>
      <c r="K130" s="102"/>
      <c r="L130" s="102"/>
      <c r="M130" s="102"/>
      <c r="N130" s="102"/>
      <c r="O130" s="102"/>
    </row>
    <row r="131" customFormat="false" ht="15" hidden="false" customHeight="true" outlineLevel="0" collapsed="false">
      <c r="A131" s="102"/>
      <c r="B131" s="123" t="n">
        <v>7</v>
      </c>
      <c r="C131" s="114" t="n">
        <v>0</v>
      </c>
      <c r="D131" s="114" t="n">
        <v>0</v>
      </c>
      <c r="E131" s="132" t="str">
        <f aca="false">IF(C131=D131,"Agree","Disagree")</f>
        <v>Agree</v>
      </c>
      <c r="F131" s="102"/>
      <c r="G131" s="102"/>
      <c r="H131" s="102"/>
      <c r="I131" s="102"/>
      <c r="J131" s="102"/>
      <c r="K131" s="102"/>
      <c r="L131" s="102"/>
      <c r="M131" s="102"/>
      <c r="N131" s="102"/>
      <c r="O131" s="102"/>
    </row>
    <row r="132" customFormat="false" ht="15" hidden="false" customHeight="true" outlineLevel="0" collapsed="false">
      <c r="A132" s="102"/>
      <c r="B132" s="123" t="n">
        <v>8</v>
      </c>
      <c r="C132" s="114" t="n">
        <v>1</v>
      </c>
      <c r="D132" s="114" t="n">
        <v>1</v>
      </c>
      <c r="E132" s="132" t="str">
        <f aca="false">IF(C132=D132,"Agree","Disagree")</f>
        <v>Agree</v>
      </c>
      <c r="F132" s="102"/>
      <c r="G132" s="102"/>
      <c r="H132" s="102"/>
      <c r="I132" s="102"/>
      <c r="J132" s="102"/>
      <c r="K132" s="102"/>
      <c r="L132" s="102"/>
      <c r="M132" s="102"/>
      <c r="N132" s="102"/>
      <c r="O132" s="102"/>
    </row>
    <row r="133" customFormat="false" ht="15" hidden="false" customHeight="true" outlineLevel="0" collapsed="false">
      <c r="A133" s="102"/>
      <c r="B133" s="123" t="n">
        <v>9</v>
      </c>
      <c r="C133" s="114" t="n">
        <v>0</v>
      </c>
      <c r="D133" s="114" t="n">
        <v>0</v>
      </c>
      <c r="E133" s="132" t="str">
        <f aca="false">IF(C133=D133,"Agree","Disagree")</f>
        <v>Agree</v>
      </c>
      <c r="F133" s="102"/>
      <c r="G133" s="102"/>
      <c r="H133" s="102"/>
      <c r="I133" s="102"/>
      <c r="J133" s="102"/>
      <c r="K133" s="102"/>
      <c r="L133" s="102"/>
      <c r="M133" s="102"/>
      <c r="N133" s="102"/>
      <c r="O133" s="102"/>
    </row>
    <row r="134" customFormat="false" ht="15" hidden="false" customHeight="true" outlineLevel="0" collapsed="false">
      <c r="A134" s="102"/>
      <c r="B134" s="123" t="n">
        <v>10</v>
      </c>
      <c r="C134" s="114" t="n">
        <v>1</v>
      </c>
      <c r="D134" s="114" t="n">
        <v>0</v>
      </c>
      <c r="E134" s="132" t="str">
        <f aca="false">IF(C134=D134,"Agree","Disagree")</f>
        <v>Disagree</v>
      </c>
      <c r="F134" s="102"/>
      <c r="G134" s="102"/>
      <c r="H134" s="102"/>
      <c r="I134" s="102"/>
      <c r="J134" s="102"/>
      <c r="K134" s="102"/>
      <c r="L134" s="102"/>
      <c r="M134" s="102"/>
      <c r="N134" s="102"/>
      <c r="O134" s="102"/>
    </row>
    <row r="135" customFormat="false" ht="15" hidden="false" customHeight="true" outlineLevel="0" collapsed="false">
      <c r="A135" s="102"/>
      <c r="B135" s="123" t="n">
        <v>11</v>
      </c>
      <c r="C135" s="114" t="n">
        <v>0</v>
      </c>
      <c r="D135" s="114" t="n">
        <v>0</v>
      </c>
      <c r="E135" s="132" t="str">
        <f aca="false">IF(C135=D135,"Agree","Disagree")</f>
        <v>Agree</v>
      </c>
      <c r="F135" s="102"/>
      <c r="G135" s="102"/>
      <c r="H135" s="102"/>
      <c r="I135" s="102"/>
      <c r="J135" s="102"/>
      <c r="K135" s="102"/>
      <c r="L135" s="102"/>
      <c r="M135" s="102"/>
      <c r="N135" s="102"/>
      <c r="O135" s="102"/>
    </row>
    <row r="136" customFormat="false" ht="15" hidden="false" customHeight="true" outlineLevel="0" collapsed="false">
      <c r="A136" s="102"/>
      <c r="B136" s="123" t="n">
        <v>12</v>
      </c>
      <c r="C136" s="114" t="n">
        <v>1</v>
      </c>
      <c r="D136" s="114" t="n">
        <v>1</v>
      </c>
      <c r="E136" s="132" t="str">
        <f aca="false">IF(C136=D136,"Agree","Disagree")</f>
        <v>Agree</v>
      </c>
      <c r="F136" s="102"/>
      <c r="G136" s="102"/>
      <c r="H136" s="102"/>
      <c r="I136" s="102"/>
      <c r="J136" s="102"/>
      <c r="K136" s="102"/>
      <c r="L136" s="102"/>
      <c r="M136" s="102"/>
      <c r="N136" s="102"/>
      <c r="O136" s="102"/>
    </row>
    <row r="137" customFormat="false" ht="15" hidden="false" customHeight="true" outlineLevel="0" collapsed="false">
      <c r="A137" s="102"/>
      <c r="B137" s="123" t="n">
        <v>13</v>
      </c>
      <c r="C137" s="114" t="n">
        <v>1</v>
      </c>
      <c r="D137" s="114" t="n">
        <v>0</v>
      </c>
      <c r="E137" s="132" t="str">
        <f aca="false">IF(C137=D137,"Agree","Disagree")</f>
        <v>Disagree</v>
      </c>
      <c r="F137" s="102"/>
      <c r="G137" s="102"/>
      <c r="H137" s="102"/>
      <c r="I137" s="102"/>
      <c r="J137" s="102"/>
      <c r="K137" s="102"/>
      <c r="L137" s="102"/>
      <c r="M137" s="102"/>
      <c r="N137" s="102"/>
      <c r="O137" s="102"/>
    </row>
    <row r="138" customFormat="false" ht="15" hidden="false" customHeight="true" outlineLevel="0" collapsed="false">
      <c r="A138" s="102"/>
      <c r="B138" s="123" t="n">
        <v>14</v>
      </c>
      <c r="C138" s="114" t="n">
        <v>1</v>
      </c>
      <c r="D138" s="114" t="n">
        <v>1</v>
      </c>
      <c r="E138" s="132" t="str">
        <f aca="false">IF(C138=D138,"Agree","Disagree")</f>
        <v>Agree</v>
      </c>
      <c r="F138" s="102"/>
      <c r="G138" s="102"/>
      <c r="H138" s="102"/>
      <c r="I138" s="102"/>
      <c r="J138" s="102"/>
      <c r="K138" s="102"/>
      <c r="L138" s="102"/>
      <c r="M138" s="102"/>
      <c r="N138" s="102"/>
      <c r="O138" s="102"/>
    </row>
    <row r="139" customFormat="false" ht="15" hidden="false" customHeight="true" outlineLevel="0" collapsed="false">
      <c r="A139" s="102"/>
      <c r="B139" s="123" t="n">
        <v>15</v>
      </c>
      <c r="C139" s="114" t="n">
        <v>1</v>
      </c>
      <c r="D139" s="114" t="n">
        <v>1</v>
      </c>
      <c r="E139" s="132" t="str">
        <f aca="false">IF(C139=D139,"Agree","Disagree")</f>
        <v>Agree</v>
      </c>
      <c r="F139" s="102"/>
      <c r="G139" s="102"/>
      <c r="H139" s="102"/>
      <c r="I139" s="102"/>
      <c r="J139" s="102"/>
      <c r="K139" s="102"/>
      <c r="L139" s="102"/>
      <c r="M139" s="102"/>
      <c r="N139" s="102"/>
      <c r="O139" s="102"/>
    </row>
    <row r="140" customFormat="false" ht="15" hidden="false" customHeight="true" outlineLevel="0" collapsed="false">
      <c r="A140" s="102"/>
      <c r="B140" s="123" t="n">
        <v>16</v>
      </c>
      <c r="C140" s="114" t="n">
        <v>1</v>
      </c>
      <c r="D140" s="114" t="n">
        <v>1</v>
      </c>
      <c r="E140" s="132" t="str">
        <f aca="false">IF(C140=D140,"Agree","Disagree")</f>
        <v>Agree</v>
      </c>
      <c r="F140" s="102"/>
      <c r="G140" s="102"/>
      <c r="H140" s="102"/>
      <c r="I140" s="102"/>
      <c r="J140" s="102"/>
      <c r="K140" s="102"/>
      <c r="L140" s="102"/>
      <c r="M140" s="102"/>
      <c r="N140" s="102"/>
      <c r="O140" s="102"/>
    </row>
    <row r="141" customFormat="false" ht="15" hidden="false" customHeight="true" outlineLevel="0" collapsed="false">
      <c r="A141" s="102"/>
      <c r="B141" s="123" t="n">
        <v>17</v>
      </c>
      <c r="C141" s="114" t="n">
        <v>0</v>
      </c>
      <c r="D141" s="114" t="n">
        <v>0</v>
      </c>
      <c r="E141" s="132" t="str">
        <f aca="false">IF(C141=D141,"Agree","Disagree")</f>
        <v>Agree</v>
      </c>
      <c r="F141" s="102"/>
      <c r="G141" s="102"/>
      <c r="H141" s="102"/>
      <c r="I141" s="102"/>
      <c r="J141" s="102"/>
      <c r="K141" s="102"/>
      <c r="L141" s="102"/>
      <c r="M141" s="102"/>
      <c r="N141" s="102"/>
      <c r="O141" s="102"/>
    </row>
    <row r="142" customFormat="false" ht="15" hidden="false" customHeight="true" outlineLevel="0" collapsed="false">
      <c r="A142" s="102"/>
      <c r="B142" s="123" t="n">
        <v>18</v>
      </c>
      <c r="C142" s="114" t="n">
        <v>1</v>
      </c>
      <c r="D142" s="114" t="n">
        <v>1</v>
      </c>
      <c r="E142" s="132" t="str">
        <f aca="false">IF(C142=D142,"Agree","Disagree")</f>
        <v>Agree</v>
      </c>
      <c r="F142" s="102"/>
      <c r="G142" s="102"/>
      <c r="H142" s="102"/>
      <c r="I142" s="102"/>
      <c r="J142" s="102"/>
      <c r="K142" s="102"/>
      <c r="L142" s="102"/>
      <c r="M142" s="102"/>
      <c r="N142" s="102"/>
      <c r="O142" s="102"/>
    </row>
    <row r="143" customFormat="false" ht="15" hidden="false" customHeight="true" outlineLevel="0" collapsed="false">
      <c r="A143" s="102"/>
      <c r="B143" s="123" t="n">
        <v>19</v>
      </c>
      <c r="C143" s="114" t="n">
        <v>1</v>
      </c>
      <c r="D143" s="114" t="n">
        <v>1</v>
      </c>
      <c r="E143" s="132" t="str">
        <f aca="false">IF(C143=D143,"Agree","Disagree")</f>
        <v>Agree</v>
      </c>
      <c r="F143" s="102"/>
      <c r="G143" s="102"/>
      <c r="H143" s="102"/>
      <c r="I143" s="102"/>
      <c r="J143" s="102"/>
      <c r="K143" s="102"/>
      <c r="L143" s="102"/>
      <c r="M143" s="102"/>
      <c r="N143" s="102"/>
      <c r="O143" s="102"/>
    </row>
    <row r="144" customFormat="false" ht="15" hidden="false" customHeight="true" outlineLevel="0" collapsed="false">
      <c r="A144" s="102"/>
      <c r="B144" s="123" t="n">
        <v>20</v>
      </c>
      <c r="C144" s="114" t="n">
        <v>1</v>
      </c>
      <c r="D144" s="114" t="n">
        <v>1</v>
      </c>
      <c r="E144" s="132" t="str">
        <f aca="false">IF(C144=D144,"Agree","Disagree")</f>
        <v>Agree</v>
      </c>
      <c r="F144" s="102"/>
      <c r="G144" s="102"/>
      <c r="H144" s="102"/>
      <c r="I144" s="102"/>
      <c r="J144" s="102"/>
      <c r="K144" s="102"/>
      <c r="L144" s="102"/>
      <c r="M144" s="102"/>
      <c r="N144" s="102"/>
      <c r="O144" s="102"/>
    </row>
    <row r="145" customFormat="false" ht="15" hidden="false" customHeight="true" outlineLevel="0" collapsed="false">
      <c r="A145" s="102"/>
      <c r="B145" s="102"/>
      <c r="C145" s="102"/>
      <c r="D145" s="102"/>
      <c r="E145" s="102"/>
      <c r="F145" s="102"/>
      <c r="G145" s="102"/>
      <c r="H145" s="102"/>
      <c r="I145" s="102"/>
      <c r="J145" s="102"/>
      <c r="K145" s="102"/>
      <c r="L145" s="102"/>
      <c r="M145" s="102"/>
      <c r="N145" s="102"/>
      <c r="O145" s="102"/>
    </row>
    <row r="146" customFormat="false" ht="15" hidden="false" customHeight="true" outlineLevel="0" collapsed="false">
      <c r="A146" s="102"/>
      <c r="B146" s="105" t="s">
        <v>6579</v>
      </c>
      <c r="C146" s="124" t="n">
        <f aca="false">COUNTIFS(C125:C144,1,D125:D144,1)</f>
        <v>11</v>
      </c>
      <c r="D146" s="102"/>
      <c r="E146" s="102"/>
      <c r="F146" s="102"/>
      <c r="G146" s="102"/>
      <c r="H146" s="102"/>
      <c r="I146" s="102"/>
      <c r="J146" s="102"/>
      <c r="K146" s="102"/>
      <c r="L146" s="102"/>
      <c r="M146" s="102"/>
      <c r="N146" s="102"/>
      <c r="O146" s="102"/>
    </row>
    <row r="147" customFormat="false" ht="15" hidden="false" customHeight="true" outlineLevel="0" collapsed="false">
      <c r="A147" s="102"/>
      <c r="B147" s="105" t="s">
        <v>6580</v>
      </c>
      <c r="C147" s="124" t="n">
        <f aca="false">COUNTIFS(C125:C144,1,D125:D144,0)</f>
        <v>2</v>
      </c>
      <c r="D147" s="102"/>
      <c r="E147" s="102"/>
      <c r="F147" s="102"/>
      <c r="G147" s="102"/>
      <c r="H147" s="102"/>
      <c r="I147" s="102"/>
      <c r="J147" s="102"/>
      <c r="K147" s="102"/>
      <c r="L147" s="102"/>
      <c r="M147" s="102"/>
      <c r="N147" s="102"/>
      <c r="O147" s="102"/>
    </row>
    <row r="148" customFormat="false" ht="15" hidden="false" customHeight="true" outlineLevel="0" collapsed="false">
      <c r="A148" s="102"/>
      <c r="B148" s="105" t="s">
        <v>6581</v>
      </c>
      <c r="C148" s="124" t="n">
        <f aca="false">COUNTIFS(C125:C144,0,D125:D144,1)</f>
        <v>2</v>
      </c>
      <c r="D148" s="102"/>
      <c r="E148" s="102"/>
      <c r="F148" s="102"/>
      <c r="G148" s="102"/>
      <c r="H148" s="102"/>
      <c r="I148" s="102"/>
      <c r="J148" s="102"/>
      <c r="K148" s="102"/>
      <c r="L148" s="102"/>
      <c r="M148" s="102"/>
      <c r="N148" s="102"/>
      <c r="O148" s="102"/>
    </row>
    <row r="149" customFormat="false" ht="15" hidden="false" customHeight="true" outlineLevel="0" collapsed="false">
      <c r="A149" s="102"/>
      <c r="B149" s="105" t="s">
        <v>6582</v>
      </c>
      <c r="C149" s="124" t="n">
        <f aca="false">COUNTIFS(C125:C144,0,D125:D144,0)</f>
        <v>5</v>
      </c>
      <c r="D149" s="102"/>
      <c r="E149" s="102"/>
      <c r="F149" s="102"/>
      <c r="G149" s="102"/>
      <c r="H149" s="102"/>
      <c r="I149" s="102"/>
      <c r="J149" s="102"/>
      <c r="K149" s="102"/>
      <c r="L149" s="102"/>
      <c r="M149" s="102"/>
      <c r="N149" s="102"/>
      <c r="O149" s="102"/>
    </row>
    <row r="150" customFormat="false" ht="15" hidden="false" customHeight="true" outlineLevel="0" collapsed="false">
      <c r="A150" s="102"/>
      <c r="B150" s="105" t="s">
        <v>6583</v>
      </c>
      <c r="C150" s="124" t="n">
        <f aca="false">C146+C147+C148+C149</f>
        <v>20</v>
      </c>
      <c r="D150" s="102"/>
      <c r="E150" s="102"/>
      <c r="F150" s="102"/>
      <c r="G150" s="102"/>
      <c r="H150" s="102"/>
      <c r="I150" s="102"/>
      <c r="J150" s="102"/>
      <c r="K150" s="102"/>
      <c r="L150" s="102"/>
      <c r="M150" s="102"/>
      <c r="N150" s="102"/>
      <c r="O150" s="102"/>
    </row>
    <row r="151" customFormat="false" ht="15" hidden="false" customHeight="true" outlineLevel="0" collapsed="false">
      <c r="A151" s="102"/>
      <c r="B151" s="105" t="s">
        <v>6584</v>
      </c>
      <c r="C151" s="129" t="n">
        <f aca="false">(C146+C149)/C150</f>
        <v>0.8</v>
      </c>
      <c r="D151" s="102"/>
      <c r="E151" s="102"/>
      <c r="F151" s="102"/>
      <c r="G151" s="102"/>
      <c r="H151" s="102"/>
      <c r="I151" s="102"/>
      <c r="J151" s="102"/>
      <c r="K151" s="102"/>
      <c r="L151" s="102"/>
      <c r="M151" s="102"/>
      <c r="N151" s="102"/>
      <c r="O151" s="102"/>
    </row>
    <row r="152" customFormat="false" ht="15" hidden="false" customHeight="true" outlineLevel="0" collapsed="false">
      <c r="A152" s="102"/>
      <c r="B152" s="105" t="s">
        <v>6585</v>
      </c>
      <c r="C152" s="129" t="n">
        <f aca="false">((C146+C147)/C150)*((C146+C148)/C150)+((C148+C149)/C150)*((C147+C149)/C150)</f>
        <v>0.545</v>
      </c>
      <c r="D152" s="102"/>
      <c r="E152" s="102"/>
      <c r="F152" s="102"/>
      <c r="G152" s="102"/>
      <c r="H152" s="102"/>
      <c r="I152" s="102"/>
      <c r="J152" s="102"/>
      <c r="K152" s="102"/>
      <c r="L152" s="102"/>
      <c r="M152" s="102"/>
      <c r="N152" s="102"/>
      <c r="O152" s="102"/>
    </row>
    <row r="153" customFormat="false" ht="15" hidden="false" customHeight="true" outlineLevel="0" collapsed="false">
      <c r="A153" s="102"/>
      <c r="B153" s="105" t="s">
        <v>6586</v>
      </c>
      <c r="C153" s="129" t="n">
        <f aca="false">(C151-C152)/(1-C152)</f>
        <v>0.56043956043956</v>
      </c>
      <c r="D153" s="102"/>
      <c r="E153" s="102"/>
      <c r="F153" s="102"/>
      <c r="G153" s="102"/>
      <c r="H153" s="102"/>
      <c r="I153" s="102"/>
      <c r="J153" s="102"/>
      <c r="K153" s="102"/>
      <c r="L153" s="102"/>
      <c r="M153" s="102"/>
      <c r="N153" s="102"/>
      <c r="O153" s="102"/>
    </row>
    <row r="154" customFormat="false" ht="15" hidden="false" customHeight="true" outlineLevel="0" collapsed="false">
      <c r="A154" s="102"/>
      <c r="B154" s="102"/>
      <c r="C154" s="102"/>
      <c r="D154" s="102"/>
      <c r="E154" s="102"/>
      <c r="F154" s="102"/>
      <c r="G154" s="102"/>
      <c r="H154" s="102"/>
      <c r="I154" s="102"/>
      <c r="J154" s="102"/>
      <c r="K154" s="102"/>
      <c r="L154" s="102"/>
      <c r="M154" s="102"/>
      <c r="N154" s="102"/>
      <c r="O154" s="102"/>
    </row>
    <row r="155" customFormat="false" ht="15.75" hidden="false" customHeight="true" outlineLevel="0" collapsed="false">
      <c r="A155" s="102"/>
      <c r="B155" s="103" t="s">
        <v>1493</v>
      </c>
      <c r="C155" s="104"/>
      <c r="D155" s="104"/>
      <c r="E155" s="104"/>
      <c r="F155" s="104"/>
      <c r="G155" s="104"/>
      <c r="H155" s="104"/>
      <c r="I155" s="104"/>
      <c r="J155" s="104"/>
      <c r="K155" s="104"/>
      <c r="L155" s="102"/>
      <c r="M155" s="102"/>
      <c r="N155" s="102"/>
      <c r="O155" s="102"/>
    </row>
    <row r="156" customFormat="false" ht="33.75" hidden="false" customHeight="true" outlineLevel="0" collapsed="false">
      <c r="A156" s="102"/>
      <c r="B156" s="105" t="s">
        <v>1494</v>
      </c>
      <c r="C156" s="117" t="str">
        <f aca="false">IF(C153&gt;=0.75,"Excellent agreement: Kappa = "&amp;TEXT(C153,"0.00")&amp;" (≥0.75).",IF(C153&gt;=0.4,"Moderate agreement: Kappa = "&amp;TEXT(C153,"0.00")&amp;" (0.40-0.75). Room to improve the operational definition or training.","Poor agreement: Kappa = "&amp;TEXT(C153,"0.00")&amp;" (&lt;0.40). The pass/fail definition or the inspectors need retraining before this inspection can be trusted."))</f>
        <v>Moderate agreement: Kappa = 0.56 (0.40-0.75). Room to improve the operational definition or training.</v>
      </c>
      <c r="D156" s="117"/>
      <c r="E156" s="117"/>
      <c r="F156" s="117"/>
      <c r="G156" s="117"/>
      <c r="H156" s="102"/>
      <c r="I156" s="102"/>
      <c r="J156" s="102"/>
      <c r="K156" s="102"/>
      <c r="L156" s="102"/>
      <c r="M156" s="102"/>
      <c r="N156" s="102"/>
      <c r="O156" s="102"/>
    </row>
    <row r="157" customFormat="false" ht="15" hidden="false" customHeight="true" outlineLevel="0" collapsed="false">
      <c r="A157" s="102"/>
      <c r="B157" s="102"/>
      <c r="C157" s="102"/>
      <c r="D157" s="102"/>
      <c r="E157" s="102"/>
      <c r="F157" s="102"/>
      <c r="G157" s="102"/>
      <c r="H157" s="102"/>
      <c r="I157" s="102"/>
      <c r="J157" s="102"/>
      <c r="K157" s="102"/>
      <c r="L157" s="102"/>
      <c r="M157" s="102"/>
      <c r="N157" s="102"/>
      <c r="O157" s="102"/>
    </row>
    <row r="158" customFormat="false" ht="17.25" hidden="false" customHeight="true" outlineLevel="0" collapsed="false">
      <c r="A158" s="102"/>
      <c r="B158" s="108" t="s">
        <v>1495</v>
      </c>
      <c r="C158" s="108" t="s">
        <v>1496</v>
      </c>
      <c r="D158" s="108" t="s">
        <v>1497</v>
      </c>
      <c r="E158" s="108"/>
      <c r="F158" s="102"/>
      <c r="G158" s="102"/>
      <c r="H158" s="102"/>
      <c r="I158" s="102"/>
      <c r="J158" s="102"/>
      <c r="K158" s="102"/>
      <c r="L158" s="102"/>
      <c r="M158" s="102"/>
      <c r="N158" s="102"/>
      <c r="O158" s="102"/>
    </row>
    <row r="159" customFormat="false" ht="17.25" hidden="false" customHeight="true" outlineLevel="0" collapsed="false">
      <c r="A159" s="102"/>
      <c r="B159" s="110" t="s">
        <v>6587</v>
      </c>
      <c r="C159" s="111" t="s">
        <v>6588</v>
      </c>
      <c r="D159" s="15" t="s">
        <v>6589</v>
      </c>
      <c r="E159" s="15"/>
      <c r="F159" s="102"/>
      <c r="G159" s="102"/>
      <c r="H159" s="102"/>
      <c r="I159" s="102"/>
      <c r="J159" s="102"/>
      <c r="K159" s="102"/>
      <c r="L159" s="102"/>
      <c r="M159" s="102"/>
      <c r="N159" s="102"/>
      <c r="O159" s="102"/>
    </row>
    <row r="160" customFormat="false" ht="31.5" hidden="false" customHeight="true" outlineLevel="0" collapsed="false">
      <c r="A160" s="102"/>
      <c r="B160" s="110" t="s">
        <v>6590</v>
      </c>
      <c r="C160" s="111" t="s">
        <v>6591</v>
      </c>
      <c r="D160" s="15" t="s">
        <v>6592</v>
      </c>
      <c r="E160" s="15"/>
      <c r="F160" s="102"/>
      <c r="G160" s="102"/>
      <c r="H160" s="102"/>
      <c r="I160" s="102"/>
      <c r="J160" s="102"/>
      <c r="K160" s="102"/>
      <c r="L160" s="102"/>
      <c r="M160" s="102"/>
      <c r="N160" s="102"/>
      <c r="O160" s="102"/>
    </row>
    <row r="161" customFormat="false" ht="31.5" hidden="false" customHeight="true" outlineLevel="0" collapsed="false">
      <c r="A161" s="102"/>
      <c r="B161" s="110" t="s">
        <v>1784</v>
      </c>
      <c r="C161" s="111" t="s">
        <v>6593</v>
      </c>
      <c r="D161" s="15" t="s">
        <v>6594</v>
      </c>
      <c r="E161" s="15"/>
      <c r="F161" s="102"/>
      <c r="G161" s="102"/>
      <c r="H161" s="102"/>
      <c r="I161" s="102"/>
      <c r="J161" s="102"/>
      <c r="K161" s="102"/>
      <c r="L161" s="102"/>
      <c r="M161" s="102"/>
      <c r="N161" s="102"/>
      <c r="O161" s="102"/>
    </row>
    <row r="162" customFormat="false" ht="15" hidden="false" customHeight="true" outlineLevel="0" collapsed="false">
      <c r="A162" s="102"/>
      <c r="B162" s="102"/>
      <c r="C162" s="102"/>
      <c r="D162" s="102"/>
      <c r="E162" s="102"/>
      <c r="F162" s="102"/>
      <c r="G162" s="102"/>
      <c r="H162" s="102"/>
      <c r="I162" s="102"/>
      <c r="J162" s="102"/>
      <c r="K162" s="102"/>
      <c r="L162" s="102"/>
      <c r="M162" s="102"/>
      <c r="N162" s="102"/>
      <c r="O162" s="102"/>
    </row>
    <row r="163" customFormat="false" ht="15" hidden="false" customHeight="true" outlineLevel="0" collapsed="false">
      <c r="A163" s="102"/>
      <c r="B163" s="105" t="s">
        <v>1507</v>
      </c>
      <c r="C163" s="102"/>
      <c r="D163" s="102"/>
      <c r="E163" s="102"/>
      <c r="F163" s="102"/>
      <c r="G163" s="102"/>
      <c r="H163" s="102"/>
      <c r="I163" s="102"/>
      <c r="J163" s="102"/>
      <c r="K163" s="102"/>
      <c r="L163" s="102"/>
      <c r="M163" s="102"/>
      <c r="N163" s="102"/>
      <c r="O163" s="102"/>
    </row>
    <row r="164" customFormat="false" ht="17.25" hidden="false" customHeight="true" outlineLevel="0" collapsed="false">
      <c r="A164" s="102"/>
      <c r="B164" s="106" t="s">
        <v>6595</v>
      </c>
      <c r="C164" s="106"/>
      <c r="D164" s="106"/>
      <c r="E164" s="106"/>
      <c r="F164" s="106"/>
      <c r="G164" s="106"/>
      <c r="H164" s="106"/>
      <c r="I164" s="102"/>
      <c r="J164" s="102"/>
      <c r="K164" s="102"/>
      <c r="L164" s="102"/>
      <c r="M164" s="102"/>
      <c r="N164" s="102"/>
      <c r="O164" s="102"/>
    </row>
    <row r="165" customFormat="false" ht="17.25" hidden="false" customHeight="true" outlineLevel="0" collapsed="false">
      <c r="A165" s="102"/>
      <c r="B165" s="106" t="s">
        <v>6596</v>
      </c>
      <c r="C165" s="106"/>
      <c r="D165" s="106"/>
      <c r="E165" s="106"/>
      <c r="F165" s="106"/>
      <c r="G165" s="106"/>
      <c r="H165" s="106"/>
      <c r="I165" s="102"/>
      <c r="J165" s="102"/>
      <c r="K165" s="102"/>
      <c r="L165" s="102"/>
      <c r="M165" s="102"/>
      <c r="N165" s="102"/>
      <c r="O165" s="102"/>
    </row>
    <row r="166" customFormat="false" ht="17.25" hidden="false" customHeight="true" outlineLevel="0" collapsed="false">
      <c r="A166" s="102"/>
      <c r="B166" s="106" t="s">
        <v>6597</v>
      </c>
      <c r="C166" s="106"/>
      <c r="D166" s="106"/>
      <c r="E166" s="106"/>
      <c r="F166" s="106"/>
      <c r="G166" s="106"/>
      <c r="H166" s="106"/>
      <c r="I166" s="102"/>
      <c r="J166" s="102"/>
      <c r="K166" s="102"/>
      <c r="L166" s="102"/>
      <c r="M166" s="102"/>
      <c r="N166" s="102"/>
      <c r="O166" s="102"/>
    </row>
    <row r="167" customFormat="false" ht="17.25" hidden="false" customHeight="true" outlineLevel="0" collapsed="false">
      <c r="A167" s="102"/>
      <c r="B167" s="106" t="s">
        <v>6598</v>
      </c>
      <c r="C167" s="106"/>
      <c r="D167" s="106"/>
      <c r="E167" s="106"/>
      <c r="F167" s="106"/>
      <c r="G167" s="106"/>
      <c r="H167" s="106"/>
      <c r="I167" s="102"/>
      <c r="J167" s="102"/>
      <c r="K167" s="102"/>
      <c r="L167" s="102"/>
      <c r="M167" s="102"/>
      <c r="N167" s="102"/>
      <c r="O167" s="102"/>
    </row>
    <row r="168" customFormat="false" ht="15" hidden="false" customHeight="true" outlineLevel="0" collapsed="false">
      <c r="A168" s="102"/>
      <c r="B168" s="102"/>
      <c r="C168" s="102"/>
      <c r="D168" s="102"/>
      <c r="E168" s="102"/>
      <c r="F168" s="102"/>
      <c r="G168" s="102"/>
      <c r="H168" s="102"/>
      <c r="I168" s="102"/>
      <c r="J168" s="102"/>
      <c r="K168" s="102"/>
      <c r="L168" s="102"/>
      <c r="M168" s="102"/>
      <c r="N168" s="102"/>
      <c r="O168" s="102"/>
    </row>
    <row r="169" customFormat="false" ht="15.75" hidden="false" customHeight="true" outlineLevel="0" collapsed="false">
      <c r="A169" s="102"/>
      <c r="B169" s="103" t="s">
        <v>1513</v>
      </c>
      <c r="C169" s="104"/>
      <c r="D169" s="104"/>
      <c r="E169" s="104"/>
      <c r="F169" s="104"/>
      <c r="G169" s="104"/>
      <c r="H169" s="104"/>
      <c r="I169" s="104"/>
      <c r="J169" s="104"/>
      <c r="K169" s="104"/>
      <c r="L169" s="102"/>
      <c r="M169" s="102"/>
      <c r="N169" s="102"/>
      <c r="O169" s="102"/>
    </row>
    <row r="170" customFormat="false" ht="17.25" hidden="false" customHeight="true" outlineLevel="0" collapsed="false">
      <c r="A170" s="102"/>
      <c r="B170" s="118" t="s">
        <v>1514</v>
      </c>
      <c r="C170" s="118"/>
      <c r="D170" s="118"/>
      <c r="E170" s="118"/>
      <c r="F170" s="102"/>
      <c r="G170" s="102"/>
      <c r="H170" s="102"/>
      <c r="I170" s="102"/>
      <c r="J170" s="102"/>
      <c r="K170" s="102"/>
      <c r="L170" s="102"/>
      <c r="M170" s="102"/>
      <c r="N170" s="119" t="s">
        <v>1515</v>
      </c>
      <c r="O170" s="102"/>
    </row>
    <row r="171" customFormat="false" ht="58.5" hidden="false" customHeight="true" outlineLevel="0" collapsed="false">
      <c r="A171" s="102"/>
      <c r="B171" s="106" t="s">
        <v>6599</v>
      </c>
      <c r="C171" s="106"/>
      <c r="D171" s="106"/>
      <c r="E171" s="106"/>
      <c r="F171" s="102"/>
      <c r="G171" s="102"/>
      <c r="H171" s="102"/>
      <c r="I171" s="102"/>
      <c r="J171" s="102"/>
      <c r="K171" s="102"/>
      <c r="L171" s="102"/>
      <c r="M171" s="102"/>
      <c r="N171" s="120" t="s">
        <v>6600</v>
      </c>
      <c r="O171" s="102"/>
    </row>
    <row r="172" customFormat="false" ht="58.5" hidden="false" customHeight="true" outlineLevel="0" collapsed="false">
      <c r="A172" s="102"/>
      <c r="B172" s="106" t="s">
        <v>6601</v>
      </c>
      <c r="C172" s="106"/>
      <c r="D172" s="106"/>
      <c r="E172" s="106"/>
      <c r="F172" s="102"/>
      <c r="G172" s="102"/>
      <c r="H172" s="102"/>
      <c r="I172" s="102"/>
      <c r="J172" s="102"/>
      <c r="K172" s="102"/>
      <c r="L172" s="102"/>
      <c r="M172" s="102"/>
      <c r="N172" s="120" t="s">
        <v>6602</v>
      </c>
      <c r="O172" s="102"/>
    </row>
    <row r="173" customFormat="false" ht="58.5" hidden="false" customHeight="true" outlineLevel="0" collapsed="false">
      <c r="A173" s="102"/>
      <c r="B173" s="106" t="s">
        <v>6603</v>
      </c>
      <c r="C173" s="106"/>
      <c r="D173" s="106"/>
      <c r="E173" s="106"/>
      <c r="F173" s="102"/>
      <c r="G173" s="102"/>
      <c r="H173" s="102"/>
      <c r="I173" s="102"/>
      <c r="J173" s="102"/>
      <c r="K173" s="102"/>
      <c r="L173" s="102"/>
      <c r="M173" s="102"/>
      <c r="N173" s="120" t="s">
        <v>6604</v>
      </c>
      <c r="O173" s="102"/>
    </row>
    <row r="174" customFormat="false" ht="15" hidden="false" customHeight="true" outlineLevel="0" collapsed="false">
      <c r="A174" s="102"/>
      <c r="B174" s="102"/>
      <c r="C174" s="102"/>
      <c r="D174" s="102"/>
      <c r="E174" s="102"/>
      <c r="F174" s="102"/>
      <c r="G174" s="102"/>
      <c r="H174" s="102"/>
      <c r="I174" s="102"/>
      <c r="J174" s="102"/>
      <c r="K174" s="102"/>
      <c r="L174" s="102"/>
      <c r="M174" s="102"/>
      <c r="N174" s="102"/>
      <c r="O174" s="102"/>
    </row>
    <row r="175" customFormat="false" ht="15.75" hidden="false" customHeight="true" outlineLevel="0" collapsed="false">
      <c r="A175" s="102"/>
      <c r="B175" s="103" t="s">
        <v>1522</v>
      </c>
      <c r="C175" s="104"/>
      <c r="D175" s="104"/>
      <c r="E175" s="104"/>
      <c r="F175" s="104"/>
      <c r="G175" s="104"/>
      <c r="H175" s="104"/>
      <c r="I175" s="104"/>
      <c r="J175" s="104"/>
      <c r="K175" s="104"/>
      <c r="L175" s="102"/>
      <c r="M175" s="102"/>
      <c r="N175" s="102"/>
      <c r="O175" s="102"/>
    </row>
    <row r="176" customFormat="false" ht="16.5" hidden="false" customHeight="true" outlineLevel="0" collapsed="false">
      <c r="A176" s="102"/>
      <c r="B176" s="108" t="s">
        <v>1523</v>
      </c>
      <c r="C176" s="108" t="s">
        <v>1524</v>
      </c>
      <c r="D176" s="108" t="s">
        <v>1615</v>
      </c>
      <c r="E176" s="102"/>
      <c r="F176" s="102"/>
      <c r="G176" s="102"/>
      <c r="H176" s="102"/>
      <c r="I176" s="102"/>
      <c r="J176" s="102"/>
      <c r="K176" s="102"/>
      <c r="L176" s="102"/>
      <c r="M176" s="102"/>
      <c r="N176" s="102"/>
      <c r="O176" s="102"/>
    </row>
    <row r="177" customFormat="false" ht="15" hidden="false" customHeight="true" outlineLevel="0" collapsed="false">
      <c r="A177" s="102"/>
      <c r="B177" s="121" t="s">
        <v>1027</v>
      </c>
      <c r="C177" s="121" t="s">
        <v>1060</v>
      </c>
      <c r="D177" s="121" t="s">
        <v>1025</v>
      </c>
      <c r="E177" s="102"/>
      <c r="F177" s="102"/>
      <c r="G177" s="102"/>
      <c r="H177" s="102"/>
      <c r="I177" s="102"/>
      <c r="J177" s="102"/>
      <c r="K177" s="102"/>
      <c r="L177" s="102"/>
      <c r="M177" s="102"/>
      <c r="N177" s="102"/>
      <c r="O177" s="102"/>
    </row>
    <row r="178" customFormat="false" ht="15" hidden="false" customHeight="true" outlineLevel="0" collapsed="false">
      <c r="A178" s="102"/>
      <c r="B178" s="102"/>
      <c r="C178" s="102"/>
      <c r="D178" s="102"/>
      <c r="E178" s="102"/>
      <c r="F178" s="102"/>
      <c r="G178" s="102"/>
      <c r="H178" s="102"/>
      <c r="I178" s="102"/>
      <c r="J178" s="102"/>
      <c r="K178" s="102"/>
      <c r="L178" s="102"/>
      <c r="M178" s="102"/>
      <c r="N178" s="102"/>
      <c r="O178" s="102"/>
    </row>
    <row r="179" customFormat="false" ht="15" hidden="false" customHeight="true" outlineLevel="0" collapsed="false">
      <c r="A179" s="102"/>
      <c r="B179" s="102"/>
      <c r="C179" s="102"/>
      <c r="D179" s="102"/>
      <c r="E179" s="102"/>
      <c r="F179" s="102"/>
      <c r="G179" s="102"/>
      <c r="H179" s="102"/>
      <c r="I179" s="102"/>
      <c r="J179" s="102"/>
      <c r="K179" s="102"/>
      <c r="L179" s="102"/>
      <c r="M179" s="102"/>
      <c r="N179" s="102"/>
      <c r="O179" s="102"/>
    </row>
    <row r="180" customFormat="false" ht="15" hidden="false" customHeight="true" outlineLevel="0" collapsed="false">
      <c r="A180" s="102"/>
      <c r="B180" s="102"/>
      <c r="C180" s="102"/>
      <c r="D180" s="102"/>
      <c r="E180" s="102"/>
      <c r="F180" s="102"/>
      <c r="G180" s="102"/>
      <c r="H180" s="102"/>
      <c r="I180" s="102"/>
      <c r="J180" s="102"/>
      <c r="K180" s="102"/>
      <c r="L180" s="102"/>
      <c r="M180" s="102"/>
      <c r="N180" s="102"/>
      <c r="O180" s="102"/>
    </row>
    <row r="181" customFormat="false" ht="15" hidden="false" customHeight="true" outlineLevel="0" collapsed="false">
      <c r="A181" s="102"/>
      <c r="B181" s="102"/>
      <c r="C181" s="102"/>
      <c r="D181" s="102"/>
      <c r="E181" s="102"/>
      <c r="F181" s="102"/>
      <c r="G181" s="102"/>
      <c r="H181" s="102"/>
      <c r="I181" s="102"/>
      <c r="J181" s="102"/>
      <c r="K181" s="102"/>
      <c r="L181" s="102"/>
      <c r="M181" s="102"/>
      <c r="N181" s="102"/>
      <c r="O181" s="102"/>
    </row>
    <row r="182" customFormat="false" ht="15" hidden="false" customHeight="true" outlineLevel="0" collapsed="false">
      <c r="A182" s="102"/>
      <c r="B182" s="102"/>
      <c r="C182" s="102"/>
      <c r="D182" s="102"/>
      <c r="E182" s="102"/>
      <c r="F182" s="102"/>
      <c r="G182" s="102"/>
      <c r="H182" s="102"/>
      <c r="I182" s="102"/>
      <c r="J182" s="102"/>
      <c r="K182" s="102"/>
      <c r="L182" s="102"/>
      <c r="M182" s="102"/>
      <c r="N182" s="102"/>
      <c r="O182" s="102"/>
    </row>
    <row r="183" customFormat="false" ht="15" hidden="false" customHeight="true" outlineLevel="0" collapsed="false">
      <c r="A183" s="102"/>
      <c r="B183" s="102"/>
      <c r="C183" s="102"/>
      <c r="D183" s="102"/>
      <c r="E183" s="102"/>
      <c r="F183" s="102"/>
      <c r="G183" s="102"/>
      <c r="H183" s="102"/>
      <c r="I183" s="102"/>
      <c r="J183" s="102"/>
      <c r="K183" s="102"/>
      <c r="L183" s="102"/>
      <c r="M183" s="102"/>
      <c r="N183" s="102"/>
      <c r="O183" s="102"/>
    </row>
    <row r="184" customFormat="false" ht="15" hidden="false" customHeight="true" outlineLevel="0" collapsed="false">
      <c r="A184" s="102"/>
      <c r="B184" s="102"/>
      <c r="C184" s="102"/>
      <c r="D184" s="102"/>
      <c r="E184" s="102"/>
      <c r="F184" s="102"/>
      <c r="G184" s="102"/>
      <c r="H184" s="102"/>
      <c r="I184" s="102"/>
      <c r="J184" s="102"/>
      <c r="K184" s="102"/>
      <c r="L184" s="102"/>
      <c r="M184" s="102"/>
      <c r="N184" s="102"/>
      <c r="O184" s="102"/>
    </row>
    <row r="185" customFormat="false" ht="15" hidden="false" customHeight="true" outlineLevel="0" collapsed="false">
      <c r="A185" s="102"/>
      <c r="B185" s="102"/>
      <c r="C185" s="102"/>
      <c r="D185" s="102"/>
      <c r="E185" s="102"/>
      <c r="F185" s="102"/>
      <c r="G185" s="102"/>
      <c r="H185" s="102"/>
      <c r="I185" s="102"/>
      <c r="J185" s="102"/>
      <c r="K185" s="102"/>
      <c r="L185" s="102"/>
      <c r="M185" s="102"/>
      <c r="N185" s="102"/>
      <c r="O185" s="102"/>
    </row>
    <row r="186" customFormat="false" ht="15" hidden="false" customHeight="true" outlineLevel="0" collapsed="false">
      <c r="A186" s="102"/>
      <c r="B186" s="102"/>
      <c r="C186" s="102"/>
      <c r="D186" s="102"/>
      <c r="E186" s="102"/>
      <c r="F186" s="102"/>
      <c r="G186" s="102"/>
      <c r="H186" s="102"/>
      <c r="I186" s="102"/>
      <c r="J186" s="102"/>
      <c r="K186" s="102"/>
      <c r="L186" s="102"/>
      <c r="M186" s="102"/>
      <c r="N186" s="102"/>
      <c r="O186" s="102"/>
    </row>
    <row r="187" customFormat="false" ht="15" hidden="false" customHeight="true" outlineLevel="0" collapsed="false">
      <c r="A187" s="102"/>
      <c r="B187" s="102"/>
      <c r="C187" s="102"/>
      <c r="D187" s="102"/>
      <c r="E187" s="102"/>
      <c r="F187" s="102"/>
      <c r="G187" s="102"/>
      <c r="H187" s="102"/>
      <c r="I187" s="102"/>
      <c r="J187" s="102"/>
      <c r="K187" s="102"/>
      <c r="L187" s="102"/>
      <c r="M187" s="102"/>
      <c r="N187" s="102"/>
      <c r="O187" s="102"/>
    </row>
    <row r="188" customFormat="false" ht="15" hidden="false" customHeight="true" outlineLevel="0" collapsed="false">
      <c r="A188" s="102"/>
      <c r="B188" s="102"/>
      <c r="C188" s="102"/>
      <c r="D188" s="102"/>
      <c r="E188" s="102"/>
      <c r="F188" s="102"/>
      <c r="G188" s="102"/>
      <c r="H188" s="102"/>
      <c r="I188" s="102"/>
      <c r="J188" s="102"/>
      <c r="K188" s="102"/>
      <c r="L188" s="102"/>
      <c r="M188" s="102"/>
      <c r="N188" s="102"/>
      <c r="O188" s="102"/>
    </row>
    <row r="189" customFormat="false" ht="15" hidden="false" customHeight="true" outlineLevel="0" collapsed="false">
      <c r="A189" s="102"/>
      <c r="B189" s="102"/>
      <c r="C189" s="102"/>
      <c r="D189" s="102"/>
      <c r="E189" s="102"/>
      <c r="F189" s="102"/>
      <c r="G189" s="102"/>
      <c r="H189" s="102"/>
      <c r="I189" s="102"/>
      <c r="J189" s="102"/>
      <c r="K189" s="102"/>
      <c r="L189" s="102"/>
      <c r="M189" s="102"/>
      <c r="N189" s="102"/>
      <c r="O189" s="102"/>
    </row>
    <row r="190" customFormat="false" ht="15" hidden="false" customHeight="true" outlineLevel="0" collapsed="false">
      <c r="A190" s="102"/>
      <c r="B190" s="102"/>
      <c r="C190" s="102"/>
      <c r="D190" s="102"/>
      <c r="E190" s="102"/>
      <c r="F190" s="102"/>
      <c r="G190" s="102"/>
      <c r="H190" s="102"/>
      <c r="I190" s="102"/>
      <c r="J190" s="102"/>
      <c r="K190" s="102"/>
      <c r="L190" s="102"/>
      <c r="M190" s="102"/>
      <c r="N190" s="102"/>
      <c r="O190" s="102"/>
    </row>
    <row r="191" customFormat="false" ht="15" hidden="false" customHeight="true" outlineLevel="0" collapsed="false">
      <c r="A191" s="102"/>
      <c r="B191" s="102"/>
      <c r="C191" s="102"/>
      <c r="D191" s="102"/>
      <c r="E191" s="102"/>
      <c r="F191" s="102"/>
      <c r="G191" s="102"/>
      <c r="H191" s="102"/>
      <c r="I191" s="102"/>
      <c r="J191" s="102"/>
      <c r="K191" s="102"/>
      <c r="L191" s="102"/>
      <c r="M191" s="102"/>
      <c r="N191" s="102"/>
      <c r="O191" s="102"/>
    </row>
    <row r="192" customFormat="false" ht="15" hidden="false" customHeight="true" outlineLevel="0" collapsed="false">
      <c r="A192" s="102"/>
      <c r="B192" s="102"/>
      <c r="C192" s="102"/>
      <c r="D192" s="102"/>
      <c r="E192" s="102"/>
      <c r="F192" s="102"/>
      <c r="G192" s="102"/>
      <c r="H192" s="102"/>
      <c r="I192" s="102"/>
      <c r="J192" s="102"/>
      <c r="K192" s="102"/>
      <c r="L192" s="102"/>
      <c r="M192" s="102"/>
      <c r="N192" s="102"/>
      <c r="O192" s="102"/>
    </row>
    <row r="193" customFormat="false" ht="15" hidden="false" customHeight="true" outlineLevel="0" collapsed="false">
      <c r="A193" s="102"/>
      <c r="B193" s="102"/>
      <c r="C193" s="102"/>
      <c r="D193" s="102"/>
      <c r="E193" s="102"/>
      <c r="F193" s="102"/>
      <c r="G193" s="102"/>
      <c r="H193" s="102"/>
      <c r="I193" s="102"/>
      <c r="J193" s="102"/>
      <c r="K193" s="102"/>
      <c r="L193" s="102"/>
      <c r="M193" s="102"/>
      <c r="N193" s="102"/>
      <c r="O193" s="102"/>
    </row>
    <row r="194" customFormat="false" ht="15" hidden="false" customHeight="true" outlineLevel="0" collapsed="false">
      <c r="A194" s="102"/>
      <c r="B194" s="102"/>
      <c r="C194" s="102"/>
      <c r="D194" s="102"/>
      <c r="E194" s="102"/>
      <c r="F194" s="102"/>
      <c r="G194" s="102"/>
      <c r="H194" s="102"/>
      <c r="I194" s="102"/>
      <c r="J194" s="102"/>
      <c r="K194" s="102"/>
      <c r="L194" s="102"/>
      <c r="M194" s="102"/>
      <c r="N194" s="102"/>
      <c r="O194" s="102"/>
    </row>
    <row r="195" customFormat="false" ht="15" hidden="false" customHeight="true" outlineLevel="0" collapsed="false">
      <c r="A195" s="102"/>
      <c r="B195" s="102"/>
      <c r="C195" s="102"/>
      <c r="D195" s="102"/>
      <c r="E195" s="102"/>
      <c r="F195" s="102"/>
      <c r="G195" s="102"/>
      <c r="H195" s="102"/>
      <c r="I195" s="102"/>
      <c r="J195" s="102"/>
      <c r="K195" s="102"/>
      <c r="L195" s="102"/>
      <c r="M195" s="102"/>
      <c r="N195" s="102"/>
      <c r="O195" s="102"/>
    </row>
    <row r="196" customFormat="false" ht="15" hidden="false" customHeight="true" outlineLevel="0" collapsed="false">
      <c r="A196" s="102"/>
      <c r="B196" s="102"/>
      <c r="C196" s="102"/>
      <c r="D196" s="102"/>
      <c r="E196" s="102"/>
      <c r="F196" s="102"/>
      <c r="G196" s="102"/>
      <c r="H196" s="102"/>
      <c r="I196" s="102"/>
      <c r="J196" s="102"/>
      <c r="K196" s="102"/>
      <c r="L196" s="102"/>
      <c r="M196" s="102"/>
      <c r="N196" s="102"/>
      <c r="O196" s="102"/>
    </row>
    <row r="197" customFormat="false" ht="15" hidden="false" customHeight="true" outlineLevel="0" collapsed="false">
      <c r="A197" s="102"/>
      <c r="B197" s="102"/>
      <c r="C197" s="102"/>
      <c r="D197" s="102"/>
      <c r="E197" s="102"/>
      <c r="F197" s="102"/>
      <c r="G197" s="102"/>
      <c r="H197" s="102"/>
      <c r="I197" s="102"/>
      <c r="J197" s="102"/>
      <c r="K197" s="102"/>
      <c r="L197" s="102"/>
      <c r="M197" s="102"/>
      <c r="N197" s="102"/>
      <c r="O197" s="102"/>
    </row>
    <row r="198" customFormat="false" ht="15" hidden="false" customHeight="true" outlineLevel="0" collapsed="false">
      <c r="A198" s="102"/>
      <c r="B198" s="102"/>
      <c r="C198" s="102"/>
      <c r="D198" s="102"/>
      <c r="E198" s="102"/>
      <c r="F198" s="102"/>
      <c r="G198" s="102"/>
      <c r="H198" s="102"/>
      <c r="I198" s="102"/>
      <c r="J198" s="102"/>
      <c r="K198" s="102"/>
      <c r="L198" s="102"/>
      <c r="M198" s="102"/>
      <c r="N198" s="102"/>
      <c r="O198" s="102"/>
    </row>
    <row r="199" customFormat="false" ht="15" hidden="false" customHeight="true" outlineLevel="0" collapsed="false">
      <c r="A199" s="102"/>
      <c r="B199" s="102"/>
      <c r="C199" s="102"/>
      <c r="D199" s="102"/>
      <c r="E199" s="102"/>
      <c r="F199" s="102"/>
      <c r="G199" s="102"/>
      <c r="H199" s="102"/>
      <c r="I199" s="102"/>
      <c r="J199" s="102"/>
      <c r="K199" s="102"/>
      <c r="L199" s="102"/>
      <c r="M199" s="102"/>
      <c r="N199" s="102"/>
      <c r="O199" s="102"/>
    </row>
    <row r="200" customFormat="false" ht="15" hidden="false" customHeight="true" outlineLevel="0" collapsed="false">
      <c r="A200" s="102"/>
      <c r="B200" s="102"/>
      <c r="C200" s="102"/>
      <c r="D200" s="102"/>
      <c r="E200" s="102"/>
      <c r="F200" s="102"/>
      <c r="G200" s="102"/>
      <c r="H200" s="102"/>
      <c r="I200" s="102"/>
      <c r="J200" s="102"/>
      <c r="K200" s="102"/>
      <c r="L200" s="102"/>
      <c r="M200" s="102"/>
      <c r="N200" s="102"/>
      <c r="O200" s="102"/>
    </row>
    <row r="201" customFormat="false" ht="15" hidden="false" customHeight="true" outlineLevel="0" collapsed="false">
      <c r="A201" s="102"/>
      <c r="B201" s="102"/>
      <c r="C201" s="102"/>
      <c r="D201" s="102"/>
      <c r="E201" s="102"/>
      <c r="F201" s="102"/>
      <c r="G201" s="102"/>
      <c r="H201" s="102"/>
      <c r="I201" s="102"/>
      <c r="J201" s="102"/>
      <c r="K201" s="102"/>
      <c r="L201" s="102"/>
      <c r="M201" s="102"/>
      <c r="N201" s="102"/>
      <c r="O201" s="102"/>
    </row>
    <row r="202" customFormat="false" ht="15" hidden="false" customHeight="true" outlineLevel="0" collapsed="false">
      <c r="A202" s="102"/>
      <c r="B202" s="102"/>
      <c r="C202" s="102"/>
      <c r="D202" s="102"/>
      <c r="E202" s="102"/>
      <c r="F202" s="102"/>
      <c r="G202" s="102"/>
      <c r="H202" s="102"/>
      <c r="I202" s="102"/>
      <c r="J202" s="102"/>
      <c r="K202" s="102"/>
      <c r="L202" s="102"/>
      <c r="M202" s="102"/>
      <c r="N202" s="102"/>
      <c r="O202" s="102"/>
    </row>
    <row r="203" customFormat="false" ht="15" hidden="false" customHeight="true" outlineLevel="0" collapsed="false">
      <c r="A203" s="102"/>
      <c r="B203" s="102"/>
      <c r="C203" s="102"/>
      <c r="D203" s="102"/>
      <c r="E203" s="102"/>
      <c r="F203" s="102"/>
      <c r="G203" s="102"/>
      <c r="H203" s="102"/>
      <c r="I203" s="102"/>
      <c r="J203" s="102"/>
      <c r="K203" s="102"/>
      <c r="L203" s="102"/>
      <c r="M203" s="102"/>
      <c r="N203" s="102"/>
      <c r="O203" s="102"/>
    </row>
    <row r="204" customFormat="false" ht="15" hidden="false" customHeight="true" outlineLevel="0" collapsed="false">
      <c r="A204" s="102"/>
      <c r="B204" s="102"/>
      <c r="C204" s="102"/>
      <c r="D204" s="102"/>
      <c r="E204" s="102"/>
      <c r="F204" s="102"/>
      <c r="G204" s="102"/>
      <c r="H204" s="102"/>
      <c r="I204" s="102"/>
      <c r="J204" s="102"/>
      <c r="K204" s="102"/>
      <c r="L204" s="102"/>
      <c r="M204" s="102"/>
      <c r="N204" s="102"/>
      <c r="O204" s="102"/>
    </row>
    <row r="205" customFormat="false" ht="15" hidden="false" customHeight="true" outlineLevel="0" collapsed="false">
      <c r="A205" s="102"/>
      <c r="B205" s="102"/>
      <c r="C205" s="102"/>
      <c r="D205" s="102"/>
      <c r="E205" s="102"/>
      <c r="F205" s="102"/>
      <c r="G205" s="102"/>
      <c r="H205" s="102"/>
      <c r="I205" s="102"/>
      <c r="J205" s="102"/>
      <c r="K205" s="102"/>
      <c r="L205" s="102"/>
      <c r="M205" s="102"/>
      <c r="N205" s="102"/>
      <c r="O205" s="102"/>
    </row>
    <row r="206" customFormat="false" ht="15" hidden="false" customHeight="true" outlineLevel="0" collapsed="false">
      <c r="A206" s="102"/>
      <c r="B206" s="102"/>
      <c r="C206" s="102"/>
      <c r="D206" s="102"/>
      <c r="E206" s="102"/>
      <c r="F206" s="102"/>
      <c r="G206" s="102"/>
      <c r="H206" s="102"/>
      <c r="I206" s="102"/>
      <c r="J206" s="102"/>
      <c r="K206" s="102"/>
      <c r="L206" s="102"/>
      <c r="M206" s="102"/>
      <c r="N206" s="102"/>
      <c r="O206" s="102"/>
    </row>
    <row r="207" customFormat="false" ht="15" hidden="false" customHeight="true" outlineLevel="0" collapsed="false">
      <c r="A207" s="102"/>
      <c r="B207" s="102"/>
      <c r="C207" s="102"/>
      <c r="D207" s="102"/>
      <c r="E207" s="102"/>
      <c r="F207" s="102"/>
      <c r="G207" s="102"/>
      <c r="H207" s="102"/>
      <c r="I207" s="102"/>
      <c r="J207" s="102"/>
      <c r="K207" s="102"/>
      <c r="L207" s="102"/>
      <c r="M207" s="102"/>
      <c r="N207" s="102"/>
      <c r="O207" s="102"/>
    </row>
    <row r="208" customFormat="false" ht="15" hidden="false" customHeight="true" outlineLevel="0" collapsed="false">
      <c r="A208" s="102"/>
      <c r="B208" s="102"/>
      <c r="C208" s="102"/>
      <c r="D208" s="102"/>
      <c r="E208" s="102"/>
      <c r="F208" s="102"/>
      <c r="G208" s="102"/>
      <c r="H208" s="102"/>
      <c r="I208" s="102"/>
      <c r="J208" s="102"/>
      <c r="K208" s="102"/>
      <c r="L208" s="102"/>
      <c r="M208" s="102"/>
      <c r="N208" s="102"/>
      <c r="O208" s="102"/>
    </row>
    <row r="209" customFormat="false" ht="15" hidden="false" customHeight="true" outlineLevel="0" collapsed="false">
      <c r="A209" s="102"/>
      <c r="B209" s="102"/>
      <c r="C209" s="102"/>
      <c r="D209" s="102"/>
      <c r="E209" s="102"/>
      <c r="F209" s="102"/>
      <c r="G209" s="102"/>
      <c r="H209" s="102"/>
      <c r="I209" s="102"/>
      <c r="J209" s="102"/>
      <c r="K209" s="102"/>
      <c r="L209" s="102"/>
      <c r="M209" s="102"/>
      <c r="N209" s="102"/>
      <c r="O209" s="102"/>
    </row>
    <row r="210" customFormat="false" ht="15" hidden="false" customHeight="true" outlineLevel="0" collapsed="false">
      <c r="A210" s="102"/>
      <c r="B210" s="102"/>
      <c r="C210" s="102"/>
      <c r="D210" s="102"/>
      <c r="E210" s="102"/>
      <c r="F210" s="102"/>
      <c r="G210" s="102"/>
      <c r="H210" s="102"/>
      <c r="I210" s="102"/>
      <c r="J210" s="102"/>
      <c r="K210" s="102"/>
      <c r="L210" s="102"/>
      <c r="M210" s="102"/>
      <c r="N210" s="102"/>
      <c r="O210" s="102"/>
    </row>
    <row r="211" customFormat="false" ht="15" hidden="false" customHeight="true" outlineLevel="0" collapsed="false">
      <c r="A211" s="102"/>
      <c r="B211" s="102"/>
      <c r="C211" s="102"/>
      <c r="D211" s="102"/>
      <c r="E211" s="102"/>
      <c r="F211" s="102"/>
      <c r="G211" s="102"/>
      <c r="H211" s="102"/>
      <c r="I211" s="102"/>
      <c r="J211" s="102"/>
      <c r="K211" s="102"/>
      <c r="L211" s="102"/>
      <c r="M211" s="102"/>
      <c r="N211" s="102"/>
      <c r="O211" s="102"/>
    </row>
    <row r="212" customFormat="false" ht="15" hidden="false" customHeight="true" outlineLevel="0" collapsed="false">
      <c r="A212" s="102"/>
      <c r="B212" s="102"/>
      <c r="C212" s="102"/>
      <c r="D212" s="102"/>
      <c r="E212" s="102"/>
      <c r="F212" s="102"/>
      <c r="G212" s="102"/>
      <c r="H212" s="102"/>
      <c r="I212" s="102"/>
      <c r="J212" s="102"/>
      <c r="K212" s="102"/>
      <c r="L212" s="102"/>
      <c r="M212" s="102"/>
      <c r="N212" s="102"/>
      <c r="O212" s="102"/>
    </row>
    <row r="213" customFormat="false" ht="15" hidden="false" customHeight="true" outlineLevel="0" collapsed="false">
      <c r="A213" s="102"/>
      <c r="B213" s="102"/>
      <c r="C213" s="102"/>
      <c r="D213" s="102"/>
      <c r="E213" s="102"/>
      <c r="F213" s="102"/>
      <c r="G213" s="102"/>
      <c r="H213" s="102"/>
      <c r="I213" s="102"/>
      <c r="J213" s="102"/>
      <c r="K213" s="102"/>
      <c r="L213" s="102"/>
      <c r="M213" s="102"/>
      <c r="N213" s="102"/>
      <c r="O213" s="102"/>
    </row>
    <row r="214" customFormat="false" ht="15" hidden="false" customHeight="true" outlineLevel="0" collapsed="false">
      <c r="A214" s="102"/>
      <c r="B214" s="102"/>
      <c r="C214" s="102"/>
      <c r="D214" s="102"/>
      <c r="E214" s="102"/>
      <c r="F214" s="102"/>
      <c r="G214" s="102"/>
      <c r="H214" s="102"/>
      <c r="I214" s="102"/>
      <c r="J214" s="102"/>
      <c r="K214" s="102"/>
      <c r="L214" s="102"/>
      <c r="M214" s="102"/>
      <c r="N214" s="102"/>
      <c r="O214" s="102"/>
    </row>
    <row r="215" customFormat="false" ht="15" hidden="false" customHeight="true" outlineLevel="0" collapsed="false">
      <c r="A215" s="102"/>
      <c r="B215" s="102"/>
      <c r="C215" s="102"/>
      <c r="D215" s="102"/>
      <c r="E215" s="102"/>
      <c r="F215" s="102"/>
      <c r="G215" s="102"/>
      <c r="H215" s="102"/>
      <c r="I215" s="102"/>
      <c r="J215" s="102"/>
      <c r="K215" s="102"/>
      <c r="L215" s="102"/>
      <c r="M215" s="102"/>
      <c r="N215" s="102"/>
      <c r="O215" s="102"/>
    </row>
    <row r="216" customFormat="false" ht="15" hidden="false" customHeight="true" outlineLevel="0" collapsed="false">
      <c r="A216" s="102"/>
      <c r="B216" s="102"/>
      <c r="C216" s="102"/>
      <c r="D216" s="102"/>
      <c r="E216" s="102"/>
      <c r="F216" s="102"/>
      <c r="G216" s="102"/>
      <c r="H216" s="102"/>
      <c r="I216" s="102"/>
      <c r="J216" s="102"/>
      <c r="K216" s="102"/>
      <c r="L216" s="102"/>
      <c r="M216" s="102"/>
      <c r="N216" s="102"/>
      <c r="O216" s="102"/>
    </row>
    <row r="217" customFormat="false" ht="15" hidden="false" customHeight="true" outlineLevel="0" collapsed="false">
      <c r="A217" s="102"/>
      <c r="B217" s="102"/>
      <c r="C217" s="102"/>
      <c r="D217" s="102"/>
      <c r="E217" s="102"/>
      <c r="F217" s="102"/>
      <c r="G217" s="102"/>
      <c r="H217" s="102"/>
      <c r="I217" s="102"/>
      <c r="J217" s="102"/>
      <c r="K217" s="102"/>
      <c r="L217" s="102"/>
      <c r="M217" s="102"/>
      <c r="N217" s="102"/>
      <c r="O217" s="102"/>
    </row>
    <row r="218" customFormat="false" ht="15" hidden="false" customHeight="true" outlineLevel="0" collapsed="false">
      <c r="A218" s="102"/>
      <c r="B218" s="102"/>
      <c r="C218" s="102"/>
      <c r="D218" s="102"/>
      <c r="E218" s="102"/>
      <c r="F218" s="102"/>
      <c r="G218" s="102"/>
      <c r="H218" s="102"/>
      <c r="I218" s="102"/>
      <c r="J218" s="102"/>
      <c r="K218" s="102"/>
      <c r="L218" s="102"/>
      <c r="M218" s="102"/>
      <c r="N218" s="102"/>
      <c r="O218" s="102"/>
    </row>
    <row r="219" customFormat="false" ht="15" hidden="false" customHeight="true" outlineLevel="0" collapsed="false">
      <c r="A219" s="102"/>
      <c r="B219" s="102"/>
      <c r="C219" s="102"/>
      <c r="D219" s="102"/>
      <c r="E219" s="102"/>
      <c r="F219" s="102"/>
      <c r="G219" s="102"/>
      <c r="H219" s="102"/>
      <c r="I219" s="102"/>
      <c r="J219" s="102"/>
      <c r="K219" s="102"/>
      <c r="L219" s="102"/>
      <c r="M219" s="102"/>
      <c r="N219" s="102"/>
      <c r="O219" s="102"/>
    </row>
    <row r="220" customFormat="false" ht="15" hidden="false" customHeight="true" outlineLevel="0" collapsed="false">
      <c r="A220" s="102"/>
      <c r="B220" s="102"/>
      <c r="C220" s="102"/>
      <c r="D220" s="102"/>
      <c r="E220" s="102"/>
      <c r="F220" s="102"/>
      <c r="G220" s="102"/>
      <c r="H220" s="102"/>
      <c r="I220" s="102"/>
      <c r="J220" s="102"/>
      <c r="K220" s="102"/>
      <c r="L220" s="102"/>
      <c r="M220" s="102"/>
      <c r="N220" s="102"/>
      <c r="O220" s="102"/>
    </row>
    <row r="221" customFormat="false" ht="15" hidden="false" customHeight="true" outlineLevel="0" collapsed="false">
      <c r="A221" s="102"/>
      <c r="B221" s="102"/>
      <c r="C221" s="102"/>
      <c r="D221" s="102"/>
      <c r="E221" s="102"/>
      <c r="F221" s="102"/>
      <c r="G221" s="102"/>
      <c r="H221" s="102"/>
      <c r="I221" s="102"/>
      <c r="J221" s="102"/>
      <c r="K221" s="102"/>
      <c r="L221" s="102"/>
      <c r="M221" s="102"/>
      <c r="N221" s="102"/>
      <c r="O221" s="102"/>
    </row>
    <row r="222" customFormat="false" ht="15" hidden="false" customHeight="true" outlineLevel="0" collapsed="false">
      <c r="A222" s="102"/>
      <c r="B222" s="102"/>
      <c r="C222" s="102"/>
      <c r="D222" s="102"/>
      <c r="E222" s="102"/>
      <c r="F222" s="102"/>
      <c r="G222" s="102"/>
      <c r="H222" s="102"/>
      <c r="I222" s="102"/>
      <c r="J222" s="102"/>
      <c r="K222" s="102"/>
      <c r="L222" s="102"/>
      <c r="M222" s="102"/>
      <c r="N222" s="102"/>
      <c r="O222" s="102"/>
    </row>
    <row r="223" customFormat="false" ht="15" hidden="false" customHeight="true" outlineLevel="0" collapsed="false">
      <c r="A223" s="102"/>
      <c r="B223" s="102"/>
      <c r="C223" s="102"/>
      <c r="D223" s="102"/>
      <c r="E223" s="102"/>
      <c r="F223" s="102"/>
      <c r="G223" s="102"/>
      <c r="H223" s="102"/>
      <c r="I223" s="102"/>
      <c r="J223" s="102"/>
      <c r="K223" s="102"/>
      <c r="L223" s="102"/>
      <c r="M223" s="102"/>
      <c r="N223" s="102"/>
      <c r="O223" s="102"/>
    </row>
    <row r="224" customFormat="false" ht="15" hidden="false" customHeight="true" outlineLevel="0" collapsed="false">
      <c r="A224" s="102"/>
      <c r="B224" s="102"/>
      <c r="C224" s="102"/>
      <c r="D224" s="102"/>
      <c r="E224" s="102"/>
      <c r="F224" s="102"/>
      <c r="G224" s="102"/>
      <c r="H224" s="102"/>
      <c r="I224" s="102"/>
      <c r="J224" s="102"/>
      <c r="K224" s="102"/>
      <c r="L224" s="102"/>
      <c r="M224" s="102"/>
      <c r="N224" s="102"/>
      <c r="O224" s="102"/>
    </row>
    <row r="225" customFormat="false" ht="15" hidden="false" customHeight="true" outlineLevel="0" collapsed="false">
      <c r="A225" s="102"/>
      <c r="B225" s="102"/>
      <c r="C225" s="102"/>
      <c r="D225" s="102"/>
      <c r="E225" s="102"/>
      <c r="F225" s="102"/>
      <c r="G225" s="102"/>
      <c r="H225" s="102"/>
      <c r="I225" s="102"/>
      <c r="J225" s="102"/>
      <c r="K225" s="102"/>
      <c r="L225" s="102"/>
      <c r="M225" s="102"/>
      <c r="N225" s="102"/>
      <c r="O225" s="102"/>
    </row>
    <row r="226" customFormat="false" ht="15" hidden="false" customHeight="true" outlineLevel="0" collapsed="false">
      <c r="A226" s="102"/>
      <c r="B226" s="102"/>
      <c r="C226" s="102"/>
      <c r="D226" s="102"/>
      <c r="E226" s="102"/>
      <c r="F226" s="102"/>
      <c r="G226" s="102"/>
      <c r="H226" s="102"/>
      <c r="I226" s="102"/>
      <c r="J226" s="102"/>
      <c r="K226" s="102"/>
      <c r="L226" s="102"/>
      <c r="M226" s="102"/>
      <c r="N226" s="102"/>
      <c r="O226" s="102"/>
    </row>
    <row r="227" customFormat="false" ht="15" hidden="false" customHeight="true" outlineLevel="0" collapsed="false">
      <c r="A227" s="102"/>
      <c r="B227" s="102"/>
      <c r="C227" s="102"/>
      <c r="D227" s="102"/>
      <c r="E227" s="102"/>
      <c r="F227" s="102"/>
      <c r="G227" s="102"/>
      <c r="H227" s="102"/>
      <c r="I227" s="102"/>
      <c r="J227" s="102"/>
      <c r="K227" s="102"/>
      <c r="L227" s="102"/>
      <c r="M227" s="102"/>
      <c r="N227" s="102"/>
      <c r="O227" s="102"/>
    </row>
    <row r="228" customFormat="false" ht="15" hidden="false" customHeight="true" outlineLevel="0" collapsed="false">
      <c r="A228" s="102"/>
      <c r="B228" s="102"/>
      <c r="C228" s="102"/>
      <c r="D228" s="102"/>
      <c r="E228" s="102"/>
      <c r="F228" s="102"/>
      <c r="G228" s="102"/>
      <c r="H228" s="102"/>
      <c r="I228" s="102"/>
      <c r="J228" s="102"/>
      <c r="K228" s="102"/>
      <c r="L228" s="102"/>
      <c r="M228" s="102"/>
      <c r="N228" s="102"/>
      <c r="O228" s="102"/>
    </row>
    <row r="229" customFormat="false" ht="15" hidden="false" customHeight="true" outlineLevel="0" collapsed="false">
      <c r="A229" s="102"/>
      <c r="B229" s="102"/>
      <c r="C229" s="102"/>
      <c r="D229" s="102"/>
      <c r="E229" s="102"/>
      <c r="F229" s="102"/>
      <c r="G229" s="102"/>
      <c r="H229" s="102"/>
      <c r="I229" s="102"/>
      <c r="J229" s="102"/>
      <c r="K229" s="102"/>
      <c r="L229" s="102"/>
      <c r="M229" s="102"/>
      <c r="N229" s="102"/>
      <c r="O229" s="102"/>
    </row>
    <row r="230" customFormat="false" ht="15" hidden="false" customHeight="true" outlineLevel="0" collapsed="false">
      <c r="A230" s="102"/>
      <c r="B230" s="102"/>
      <c r="C230" s="102"/>
      <c r="D230" s="102"/>
      <c r="E230" s="102"/>
      <c r="F230" s="102"/>
      <c r="G230" s="102"/>
      <c r="H230" s="102"/>
      <c r="I230" s="102"/>
      <c r="J230" s="102"/>
      <c r="K230" s="102"/>
      <c r="L230" s="102"/>
      <c r="M230" s="102"/>
      <c r="N230" s="102"/>
      <c r="O230" s="102"/>
    </row>
    <row r="231" customFormat="false" ht="15" hidden="false" customHeight="true" outlineLevel="0" collapsed="false">
      <c r="A231" s="102"/>
      <c r="B231" s="102"/>
      <c r="C231" s="102"/>
      <c r="D231" s="102"/>
      <c r="E231" s="102"/>
      <c r="F231" s="102"/>
      <c r="G231" s="102"/>
      <c r="H231" s="102"/>
      <c r="I231" s="102"/>
      <c r="J231" s="102"/>
      <c r="K231" s="102"/>
      <c r="L231" s="102"/>
      <c r="M231" s="102"/>
      <c r="N231" s="102"/>
      <c r="O231" s="102"/>
    </row>
    <row r="232" customFormat="false" ht="15" hidden="false" customHeight="true" outlineLevel="0" collapsed="false">
      <c r="A232" s="102"/>
      <c r="B232" s="102"/>
      <c r="C232" s="102"/>
      <c r="D232" s="102"/>
      <c r="E232" s="102"/>
      <c r="F232" s="102"/>
      <c r="G232" s="102"/>
      <c r="H232" s="102"/>
      <c r="I232" s="102"/>
      <c r="J232" s="102"/>
      <c r="K232" s="102"/>
      <c r="L232" s="102"/>
      <c r="M232" s="102"/>
      <c r="N232" s="102"/>
      <c r="O232" s="102"/>
    </row>
    <row r="233" customFormat="false" ht="15" hidden="false" customHeight="true" outlineLevel="0" collapsed="false">
      <c r="A233" s="102"/>
      <c r="B233" s="102"/>
      <c r="C233" s="102"/>
      <c r="D233" s="102"/>
      <c r="E233" s="102"/>
      <c r="F233" s="102"/>
      <c r="G233" s="102"/>
      <c r="H233" s="102"/>
      <c r="I233" s="102"/>
      <c r="J233" s="102"/>
      <c r="K233" s="102"/>
      <c r="L233" s="102"/>
      <c r="M233" s="102"/>
      <c r="N233" s="102"/>
      <c r="O233" s="102"/>
    </row>
    <row r="234" customFormat="false" ht="15" hidden="false" customHeight="true" outlineLevel="0" collapsed="false">
      <c r="A234" s="102"/>
      <c r="B234" s="102"/>
      <c r="C234" s="102"/>
      <c r="D234" s="102"/>
      <c r="E234" s="102"/>
      <c r="F234" s="102"/>
      <c r="G234" s="102"/>
      <c r="H234" s="102"/>
      <c r="I234" s="102"/>
      <c r="J234" s="102"/>
      <c r="K234" s="102"/>
      <c r="L234" s="102"/>
      <c r="M234" s="102"/>
      <c r="N234" s="102"/>
      <c r="O234" s="102"/>
    </row>
    <row r="235" customFormat="false" ht="15" hidden="false" customHeight="true" outlineLevel="0" collapsed="false">
      <c r="A235" s="102"/>
      <c r="B235" s="102"/>
      <c r="C235" s="102"/>
      <c r="D235" s="102"/>
      <c r="E235" s="102"/>
      <c r="F235" s="102"/>
      <c r="G235" s="102"/>
      <c r="H235" s="102"/>
      <c r="I235" s="102"/>
      <c r="J235" s="102"/>
      <c r="K235" s="102"/>
      <c r="L235" s="102"/>
      <c r="M235" s="102"/>
      <c r="N235" s="102"/>
      <c r="O235" s="102"/>
    </row>
    <row r="236" customFormat="false" ht="15" hidden="false" customHeight="true" outlineLevel="0" collapsed="false">
      <c r="A236" s="102"/>
      <c r="B236" s="102"/>
      <c r="C236" s="102"/>
      <c r="D236" s="102"/>
      <c r="E236" s="102"/>
      <c r="F236" s="102"/>
      <c r="G236" s="102"/>
      <c r="H236" s="102"/>
      <c r="I236" s="102"/>
      <c r="J236" s="102"/>
      <c r="K236" s="102"/>
      <c r="L236" s="102"/>
      <c r="M236" s="102"/>
      <c r="N236" s="102"/>
      <c r="O236" s="102"/>
    </row>
    <row r="237" customFormat="false" ht="15" hidden="false" customHeight="true" outlineLevel="0" collapsed="false">
      <c r="A237" s="102"/>
      <c r="B237" s="102"/>
      <c r="C237" s="102"/>
      <c r="D237" s="102"/>
      <c r="E237" s="102"/>
      <c r="F237" s="102"/>
      <c r="G237" s="102"/>
      <c r="H237" s="102"/>
      <c r="I237" s="102"/>
      <c r="J237" s="102"/>
      <c r="K237" s="102"/>
      <c r="L237" s="102"/>
      <c r="M237" s="102"/>
      <c r="N237" s="102"/>
      <c r="O237" s="102"/>
    </row>
    <row r="238" customFormat="false" ht="15" hidden="false" customHeight="true" outlineLevel="0" collapsed="false">
      <c r="A238" s="102"/>
      <c r="B238" s="102"/>
      <c r="C238" s="102"/>
      <c r="D238" s="102"/>
      <c r="E238" s="102"/>
      <c r="F238" s="102"/>
      <c r="G238" s="102"/>
      <c r="H238" s="102"/>
      <c r="I238" s="102"/>
      <c r="J238" s="102"/>
      <c r="K238" s="102"/>
      <c r="L238" s="102"/>
      <c r="M238" s="102"/>
      <c r="N238" s="102"/>
      <c r="O238" s="102"/>
    </row>
    <row r="239" customFormat="false" ht="15" hidden="false" customHeight="true" outlineLevel="0" collapsed="false">
      <c r="A239" s="102"/>
      <c r="B239" s="102"/>
      <c r="C239" s="102"/>
      <c r="D239" s="102"/>
      <c r="E239" s="102"/>
      <c r="F239" s="102"/>
      <c r="G239" s="102"/>
      <c r="H239" s="102"/>
      <c r="I239" s="102"/>
      <c r="J239" s="102"/>
      <c r="K239" s="102"/>
      <c r="L239" s="102"/>
      <c r="M239" s="102"/>
      <c r="N239" s="102"/>
      <c r="O239" s="102"/>
    </row>
    <row r="240" customFormat="false" ht="15" hidden="false" customHeight="true" outlineLevel="0" collapsed="false">
      <c r="A240" s="102"/>
      <c r="B240" s="102"/>
      <c r="C240" s="102"/>
      <c r="D240" s="102"/>
      <c r="E240" s="102"/>
      <c r="F240" s="102"/>
      <c r="G240" s="102"/>
      <c r="H240" s="102"/>
      <c r="I240" s="102"/>
      <c r="J240" s="102"/>
      <c r="K240" s="102"/>
      <c r="L240" s="102"/>
      <c r="M240" s="102"/>
      <c r="N240" s="102"/>
      <c r="O240" s="102"/>
    </row>
    <row r="241" customFormat="false" ht="15" hidden="false" customHeight="true" outlineLevel="0" collapsed="false">
      <c r="A241" s="102"/>
      <c r="B241" s="102"/>
      <c r="C241" s="102"/>
      <c r="D241" s="102"/>
      <c r="E241" s="102"/>
      <c r="F241" s="102"/>
      <c r="G241" s="102"/>
      <c r="H241" s="102"/>
      <c r="I241" s="102"/>
      <c r="J241" s="102"/>
      <c r="K241" s="102"/>
      <c r="L241" s="102"/>
      <c r="M241" s="102"/>
      <c r="N241" s="102"/>
      <c r="O241" s="102"/>
    </row>
    <row r="242" customFormat="false" ht="15" hidden="false" customHeight="true" outlineLevel="0" collapsed="false">
      <c r="A242" s="102"/>
      <c r="B242" s="102"/>
      <c r="C242" s="102"/>
      <c r="D242" s="102"/>
      <c r="E242" s="102"/>
      <c r="F242" s="102"/>
      <c r="G242" s="102"/>
      <c r="H242" s="102"/>
      <c r="I242" s="102"/>
      <c r="J242" s="102"/>
      <c r="K242" s="102"/>
      <c r="L242" s="102"/>
      <c r="M242" s="102"/>
      <c r="N242" s="102"/>
      <c r="O242" s="102"/>
    </row>
    <row r="243" customFormat="false" ht="15" hidden="false" customHeight="true" outlineLevel="0" collapsed="false">
      <c r="A243" s="102"/>
      <c r="B243" s="102"/>
      <c r="C243" s="102"/>
      <c r="D243" s="102"/>
      <c r="E243" s="102"/>
      <c r="F243" s="102"/>
      <c r="G243" s="102"/>
      <c r="H243" s="102"/>
      <c r="I243" s="102"/>
      <c r="J243" s="102"/>
      <c r="K243" s="102"/>
      <c r="L243" s="102"/>
      <c r="M243" s="102"/>
      <c r="N243" s="102"/>
      <c r="O243" s="102"/>
    </row>
    <row r="244" customFormat="false" ht="15" hidden="false" customHeight="true" outlineLevel="0" collapsed="false">
      <c r="A244" s="102"/>
      <c r="B244" s="102"/>
      <c r="C244" s="102"/>
      <c r="D244" s="102"/>
      <c r="E244" s="102"/>
      <c r="F244" s="102"/>
      <c r="G244" s="102"/>
      <c r="H244" s="102"/>
      <c r="I244" s="102"/>
      <c r="J244" s="102"/>
      <c r="K244" s="102"/>
      <c r="L244" s="102"/>
      <c r="M244" s="102"/>
      <c r="N244" s="102"/>
      <c r="O244" s="102"/>
    </row>
    <row r="245" customFormat="false" ht="15" hidden="false" customHeight="true" outlineLevel="0" collapsed="false">
      <c r="A245" s="102"/>
      <c r="B245" s="102"/>
      <c r="C245" s="102"/>
      <c r="D245" s="102"/>
      <c r="E245" s="102"/>
      <c r="F245" s="102"/>
      <c r="G245" s="102"/>
      <c r="H245" s="102"/>
      <c r="I245" s="102"/>
      <c r="J245" s="102"/>
      <c r="K245" s="102"/>
      <c r="L245" s="102"/>
      <c r="M245" s="102"/>
      <c r="N245" s="102"/>
      <c r="O245" s="102"/>
    </row>
    <row r="246" customFormat="false" ht="15" hidden="false" customHeight="true" outlineLevel="0" collapsed="false">
      <c r="A246" s="102"/>
      <c r="B246" s="102"/>
      <c r="C246" s="102"/>
      <c r="D246" s="102"/>
      <c r="E246" s="102"/>
      <c r="F246" s="102"/>
      <c r="G246" s="102"/>
      <c r="H246" s="102"/>
      <c r="I246" s="102"/>
      <c r="J246" s="102"/>
      <c r="K246" s="102"/>
      <c r="L246" s="102"/>
      <c r="M246" s="102"/>
      <c r="N246" s="102"/>
      <c r="O246" s="102"/>
    </row>
    <row r="247" customFormat="false" ht="15" hidden="false" customHeight="true" outlineLevel="0" collapsed="false">
      <c r="A247" s="102"/>
      <c r="B247" s="102"/>
      <c r="C247" s="102"/>
      <c r="D247" s="102"/>
      <c r="E247" s="102"/>
      <c r="F247" s="102"/>
      <c r="G247" s="102"/>
      <c r="H247" s="102"/>
      <c r="I247" s="102"/>
      <c r="J247" s="102"/>
      <c r="K247" s="102"/>
      <c r="L247" s="102"/>
      <c r="M247" s="102"/>
      <c r="N247" s="102"/>
      <c r="O247" s="102"/>
    </row>
    <row r="248" customFormat="false" ht="15" hidden="false" customHeight="true" outlineLevel="0" collapsed="false">
      <c r="A248" s="102"/>
      <c r="B248" s="102"/>
      <c r="C248" s="102"/>
      <c r="D248" s="102"/>
      <c r="E248" s="102"/>
      <c r="F248" s="102"/>
      <c r="G248" s="102"/>
      <c r="H248" s="102"/>
      <c r="I248" s="102"/>
      <c r="J248" s="102"/>
      <c r="K248" s="102"/>
      <c r="L248" s="102"/>
      <c r="M248" s="102"/>
      <c r="N248" s="102"/>
      <c r="O248" s="102"/>
    </row>
    <row r="249" customFormat="false" ht="15" hidden="false" customHeight="true" outlineLevel="0" collapsed="false">
      <c r="A249" s="102"/>
      <c r="B249" s="102"/>
      <c r="C249" s="102"/>
      <c r="D249" s="102"/>
      <c r="E249" s="102"/>
      <c r="F249" s="102"/>
      <c r="G249" s="102"/>
      <c r="H249" s="102"/>
      <c r="I249" s="102"/>
      <c r="J249" s="102"/>
      <c r="K249" s="102"/>
      <c r="L249" s="102"/>
      <c r="M249" s="102"/>
      <c r="N249" s="102"/>
      <c r="O249" s="102"/>
    </row>
    <row r="250" customFormat="false" ht="15" hidden="false" customHeight="true" outlineLevel="0" collapsed="false">
      <c r="A250" s="102"/>
      <c r="B250" s="102"/>
      <c r="C250" s="102"/>
      <c r="D250" s="102"/>
      <c r="E250" s="102"/>
      <c r="F250" s="102"/>
      <c r="G250" s="102"/>
      <c r="H250" s="102"/>
      <c r="I250" s="102"/>
      <c r="J250" s="102"/>
      <c r="K250" s="102"/>
      <c r="L250" s="102"/>
      <c r="M250" s="102"/>
      <c r="N250" s="102"/>
      <c r="O250" s="102"/>
    </row>
    <row r="251" customFormat="false" ht="15" hidden="false" customHeight="true" outlineLevel="0" collapsed="false">
      <c r="A251" s="102"/>
      <c r="B251" s="102"/>
      <c r="C251" s="102"/>
      <c r="D251" s="102"/>
      <c r="E251" s="102"/>
      <c r="F251" s="102"/>
      <c r="G251" s="102"/>
      <c r="H251" s="102"/>
      <c r="I251" s="102"/>
      <c r="J251" s="102"/>
      <c r="K251" s="102"/>
      <c r="L251" s="102"/>
      <c r="M251" s="102"/>
      <c r="N251" s="102"/>
      <c r="O251" s="102"/>
    </row>
    <row r="252" customFormat="false" ht="15" hidden="false" customHeight="true" outlineLevel="0" collapsed="false">
      <c r="A252" s="102"/>
      <c r="B252" s="102"/>
      <c r="C252" s="102"/>
      <c r="D252" s="102"/>
      <c r="E252" s="102"/>
      <c r="F252" s="102"/>
      <c r="G252" s="102"/>
      <c r="H252" s="102"/>
      <c r="I252" s="102"/>
      <c r="J252" s="102"/>
      <c r="K252" s="102"/>
      <c r="L252" s="102"/>
      <c r="M252" s="102"/>
      <c r="N252" s="102"/>
      <c r="O252" s="102"/>
    </row>
    <row r="253" customFormat="false" ht="15" hidden="false" customHeight="true" outlineLevel="0" collapsed="false">
      <c r="A253" s="102"/>
      <c r="B253" s="102"/>
      <c r="C253" s="102"/>
      <c r="D253" s="102"/>
      <c r="E253" s="102"/>
      <c r="F253" s="102"/>
      <c r="G253" s="102"/>
      <c r="H253" s="102"/>
      <c r="I253" s="102"/>
      <c r="J253" s="102"/>
      <c r="K253" s="102"/>
      <c r="L253" s="102"/>
      <c r="M253" s="102"/>
      <c r="N253" s="102"/>
      <c r="O253" s="102"/>
    </row>
    <row r="254" customFormat="false" ht="15" hidden="false" customHeight="true" outlineLevel="0" collapsed="false">
      <c r="A254" s="102"/>
      <c r="B254" s="102"/>
      <c r="C254" s="102"/>
      <c r="D254" s="102"/>
      <c r="E254" s="102"/>
      <c r="F254" s="102"/>
      <c r="G254" s="102"/>
      <c r="H254" s="102"/>
      <c r="I254" s="102"/>
      <c r="J254" s="102"/>
      <c r="K254" s="102"/>
      <c r="L254" s="102"/>
      <c r="M254" s="102"/>
      <c r="N254" s="102"/>
      <c r="O254" s="102"/>
    </row>
    <row r="255" customFormat="false" ht="15" hidden="false" customHeight="true" outlineLevel="0" collapsed="false">
      <c r="A255" s="102"/>
      <c r="B255" s="102"/>
      <c r="C255" s="102"/>
      <c r="D255" s="102"/>
      <c r="E255" s="102"/>
      <c r="F255" s="102"/>
      <c r="G255" s="102"/>
      <c r="H255" s="102"/>
      <c r="I255" s="102"/>
      <c r="J255" s="102"/>
      <c r="K255" s="102"/>
      <c r="L255" s="102"/>
      <c r="M255" s="102"/>
      <c r="N255" s="102"/>
      <c r="O255" s="102"/>
    </row>
    <row r="256" customFormat="false" ht="15" hidden="false" customHeight="true" outlineLevel="0" collapsed="false">
      <c r="A256" s="102"/>
      <c r="B256" s="102"/>
      <c r="C256" s="102"/>
      <c r="D256" s="102"/>
      <c r="E256" s="102"/>
      <c r="F256" s="102"/>
      <c r="G256" s="102"/>
      <c r="H256" s="102"/>
      <c r="I256" s="102"/>
      <c r="J256" s="102"/>
      <c r="K256" s="102"/>
      <c r="L256" s="102"/>
      <c r="M256" s="102"/>
      <c r="N256" s="102"/>
      <c r="O256" s="102"/>
    </row>
    <row r="257" customFormat="false" ht="15" hidden="false" customHeight="true" outlineLevel="0" collapsed="false">
      <c r="A257" s="102"/>
      <c r="B257" s="102"/>
      <c r="C257" s="102"/>
      <c r="D257" s="102"/>
      <c r="E257" s="102"/>
      <c r="F257" s="102"/>
      <c r="G257" s="102"/>
      <c r="H257" s="102"/>
      <c r="I257" s="102"/>
      <c r="J257" s="102"/>
      <c r="K257" s="102"/>
      <c r="L257" s="102"/>
      <c r="M257" s="102"/>
      <c r="N257" s="102"/>
      <c r="O257" s="102"/>
    </row>
    <row r="258" customFormat="false" ht="15" hidden="false" customHeight="true" outlineLevel="0" collapsed="false">
      <c r="A258" s="102"/>
      <c r="B258" s="102"/>
      <c r="C258" s="102"/>
      <c r="D258" s="102"/>
      <c r="E258" s="102"/>
      <c r="F258" s="102"/>
      <c r="G258" s="102"/>
      <c r="H258" s="102"/>
      <c r="I258" s="102"/>
      <c r="J258" s="102"/>
      <c r="K258" s="102"/>
      <c r="L258" s="102"/>
      <c r="M258" s="102"/>
      <c r="N258" s="102"/>
      <c r="O258" s="102"/>
    </row>
    <row r="259" customFormat="false" ht="15" hidden="false" customHeight="true" outlineLevel="0" collapsed="false">
      <c r="A259" s="102"/>
      <c r="B259" s="102"/>
      <c r="C259" s="102"/>
      <c r="D259" s="102"/>
      <c r="E259" s="102"/>
      <c r="F259" s="102"/>
      <c r="G259" s="102"/>
      <c r="H259" s="102"/>
      <c r="I259" s="102"/>
      <c r="J259" s="102"/>
      <c r="K259" s="102"/>
      <c r="L259" s="102"/>
      <c r="M259" s="102"/>
      <c r="N259" s="102"/>
      <c r="O259" s="102"/>
    </row>
    <row r="260" customFormat="false" ht="15" hidden="false" customHeight="true" outlineLevel="0" collapsed="false">
      <c r="A260" s="102"/>
      <c r="B260" s="102"/>
      <c r="C260" s="102"/>
      <c r="D260" s="102"/>
      <c r="E260" s="102"/>
      <c r="F260" s="102"/>
      <c r="G260" s="102"/>
      <c r="H260" s="102"/>
      <c r="I260" s="102"/>
      <c r="J260" s="102"/>
      <c r="K260" s="102"/>
      <c r="L260" s="102"/>
      <c r="M260" s="102"/>
      <c r="N260" s="102"/>
      <c r="O260" s="102"/>
    </row>
    <row r="261" customFormat="false" ht="15" hidden="false" customHeight="true" outlineLevel="0" collapsed="false">
      <c r="A261" s="102"/>
      <c r="B261" s="102"/>
      <c r="C261" s="102"/>
      <c r="D261" s="102"/>
      <c r="E261" s="102"/>
      <c r="F261" s="102"/>
      <c r="G261" s="102"/>
      <c r="H261" s="102"/>
      <c r="I261" s="102"/>
      <c r="J261" s="102"/>
      <c r="K261" s="102"/>
      <c r="L261" s="102"/>
      <c r="M261" s="102"/>
      <c r="N261" s="102"/>
      <c r="O261" s="102"/>
    </row>
    <row r="262" customFormat="false" ht="15" hidden="false" customHeight="true" outlineLevel="0" collapsed="false">
      <c r="A262" s="102"/>
      <c r="B262" s="102"/>
      <c r="C262" s="102"/>
      <c r="D262" s="102"/>
      <c r="E262" s="102"/>
      <c r="F262" s="102"/>
      <c r="G262" s="102"/>
      <c r="H262" s="102"/>
      <c r="I262" s="102"/>
      <c r="J262" s="102"/>
      <c r="K262" s="102"/>
      <c r="L262" s="102"/>
      <c r="M262" s="102"/>
      <c r="N262" s="102"/>
      <c r="O262" s="102"/>
    </row>
    <row r="263" customFormat="false" ht="15" hidden="false" customHeight="true" outlineLevel="0" collapsed="false">
      <c r="A263" s="102"/>
      <c r="B263" s="102"/>
      <c r="C263" s="102"/>
      <c r="D263" s="102"/>
      <c r="E263" s="102"/>
      <c r="F263" s="102"/>
      <c r="G263" s="102"/>
      <c r="H263" s="102"/>
      <c r="I263" s="102"/>
      <c r="J263" s="102"/>
      <c r="K263" s="102"/>
      <c r="L263" s="102"/>
      <c r="M263" s="102"/>
      <c r="N263" s="102"/>
      <c r="O263" s="102"/>
    </row>
    <row r="264" customFormat="false" ht="15" hidden="false" customHeight="true" outlineLevel="0" collapsed="false">
      <c r="A264" s="102"/>
      <c r="B264" s="102"/>
      <c r="C264" s="102"/>
      <c r="D264" s="102"/>
      <c r="E264" s="102"/>
      <c r="F264" s="102"/>
      <c r="G264" s="102"/>
      <c r="H264" s="102"/>
      <c r="I264" s="102"/>
      <c r="J264" s="102"/>
      <c r="K264" s="102"/>
      <c r="L264" s="102"/>
      <c r="M264" s="102"/>
      <c r="N264" s="102"/>
      <c r="O264" s="102"/>
    </row>
    <row r="265" customFormat="false" ht="15" hidden="false" customHeight="true" outlineLevel="0" collapsed="false">
      <c r="A265" s="102"/>
      <c r="B265" s="102"/>
      <c r="C265" s="102"/>
      <c r="D265" s="102"/>
      <c r="E265" s="102"/>
      <c r="F265" s="102"/>
      <c r="G265" s="102"/>
      <c r="H265" s="102"/>
      <c r="I265" s="102"/>
      <c r="J265" s="102"/>
      <c r="K265" s="102"/>
      <c r="L265" s="102"/>
      <c r="M265" s="102"/>
      <c r="N265" s="102"/>
      <c r="O265" s="102"/>
    </row>
    <row r="266" customFormat="false" ht="15" hidden="false" customHeight="true" outlineLevel="0" collapsed="false">
      <c r="A266" s="102"/>
      <c r="B266" s="102"/>
      <c r="C266" s="102"/>
      <c r="D266" s="102"/>
      <c r="E266" s="102"/>
      <c r="F266" s="102"/>
      <c r="G266" s="102"/>
      <c r="H266" s="102"/>
      <c r="I266" s="102"/>
      <c r="J266" s="102"/>
      <c r="K266" s="102"/>
      <c r="L266" s="102"/>
      <c r="M266" s="102"/>
      <c r="N266" s="102"/>
      <c r="O266" s="102"/>
    </row>
    <row r="267" customFormat="false" ht="15" hidden="false" customHeight="true" outlineLevel="0" collapsed="false">
      <c r="A267" s="102"/>
      <c r="B267" s="102"/>
      <c r="C267" s="102"/>
      <c r="D267" s="102"/>
      <c r="E267" s="102"/>
      <c r="F267" s="102"/>
      <c r="G267" s="102"/>
      <c r="H267" s="102"/>
      <c r="I267" s="102"/>
      <c r="J267" s="102"/>
      <c r="K267" s="102"/>
      <c r="L267" s="102"/>
      <c r="M267" s="102"/>
      <c r="N267" s="102"/>
      <c r="O267" s="102"/>
    </row>
    <row r="268" customFormat="false" ht="15" hidden="false" customHeight="true" outlineLevel="0" collapsed="false">
      <c r="A268" s="102"/>
      <c r="B268" s="102"/>
      <c r="C268" s="102"/>
      <c r="D268" s="102"/>
      <c r="E268" s="102"/>
      <c r="F268" s="102"/>
      <c r="G268" s="102"/>
      <c r="H268" s="102"/>
      <c r="I268" s="102"/>
      <c r="J268" s="102"/>
      <c r="K268" s="102"/>
      <c r="L268" s="102"/>
      <c r="M268" s="102"/>
      <c r="N268" s="102"/>
      <c r="O268" s="102"/>
    </row>
    <row r="269" customFormat="false" ht="15" hidden="false" customHeight="true" outlineLevel="0" collapsed="false">
      <c r="A269" s="102"/>
      <c r="B269" s="102"/>
      <c r="C269" s="102"/>
      <c r="D269" s="102"/>
      <c r="E269" s="102"/>
      <c r="F269" s="102"/>
      <c r="G269" s="102"/>
      <c r="H269" s="102"/>
      <c r="I269" s="102"/>
      <c r="J269" s="102"/>
      <c r="K269" s="102"/>
      <c r="L269" s="102"/>
      <c r="M269" s="102"/>
      <c r="N269" s="102"/>
      <c r="O269" s="102"/>
    </row>
    <row r="270" customFormat="false" ht="15" hidden="false" customHeight="true" outlineLevel="0" collapsed="false">
      <c r="A270" s="102"/>
      <c r="B270" s="102"/>
      <c r="C270" s="102"/>
      <c r="D270" s="102"/>
      <c r="E270" s="102"/>
      <c r="F270" s="102"/>
      <c r="G270" s="102"/>
      <c r="H270" s="102"/>
      <c r="I270" s="102"/>
      <c r="J270" s="102"/>
      <c r="K270" s="102"/>
      <c r="L270" s="102"/>
      <c r="M270" s="102"/>
      <c r="N270" s="102"/>
      <c r="O270" s="102"/>
    </row>
    <row r="271" customFormat="false" ht="15" hidden="false" customHeight="true" outlineLevel="0" collapsed="false">
      <c r="A271" s="102"/>
      <c r="B271" s="102"/>
      <c r="C271" s="102"/>
      <c r="D271" s="102"/>
      <c r="E271" s="102"/>
      <c r="F271" s="102"/>
      <c r="G271" s="102"/>
      <c r="H271" s="102"/>
      <c r="I271" s="102"/>
      <c r="J271" s="102"/>
      <c r="K271" s="102"/>
      <c r="L271" s="102"/>
      <c r="M271" s="102"/>
      <c r="N271" s="102"/>
      <c r="O271" s="102"/>
    </row>
    <row r="272" customFormat="false" ht="15" hidden="false" customHeight="true" outlineLevel="0" collapsed="false">
      <c r="A272" s="102"/>
      <c r="B272" s="102"/>
      <c r="C272" s="102"/>
      <c r="D272" s="102"/>
      <c r="E272" s="102"/>
      <c r="F272" s="102"/>
      <c r="G272" s="102"/>
      <c r="H272" s="102"/>
      <c r="I272" s="102"/>
      <c r="J272" s="102"/>
      <c r="K272" s="102"/>
      <c r="L272" s="102"/>
      <c r="M272" s="102"/>
      <c r="N272" s="102"/>
      <c r="O272" s="102"/>
    </row>
    <row r="273" customFormat="false" ht="15" hidden="false" customHeight="true" outlineLevel="0" collapsed="false">
      <c r="A273" s="102"/>
      <c r="B273" s="102"/>
      <c r="C273" s="102"/>
      <c r="D273" s="102"/>
      <c r="E273" s="102"/>
      <c r="F273" s="102"/>
      <c r="G273" s="102"/>
      <c r="H273" s="102"/>
      <c r="I273" s="102"/>
      <c r="J273" s="102"/>
      <c r="K273" s="102"/>
      <c r="L273" s="102"/>
      <c r="M273" s="102"/>
      <c r="N273" s="102"/>
      <c r="O273" s="102"/>
    </row>
    <row r="274" customFormat="false" ht="15" hidden="false" customHeight="true" outlineLevel="0" collapsed="false">
      <c r="A274" s="102"/>
      <c r="B274" s="102"/>
      <c r="C274" s="102"/>
      <c r="D274" s="102"/>
      <c r="E274" s="102"/>
      <c r="F274" s="102"/>
      <c r="G274" s="102"/>
      <c r="H274" s="102"/>
      <c r="I274" s="102"/>
      <c r="J274" s="102"/>
      <c r="K274" s="102"/>
      <c r="L274" s="102"/>
      <c r="M274" s="102"/>
      <c r="N274" s="102"/>
      <c r="O274" s="102"/>
    </row>
    <row r="275" customFormat="false" ht="15" hidden="false" customHeight="true" outlineLevel="0" collapsed="false">
      <c r="A275" s="102"/>
      <c r="B275" s="102"/>
      <c r="C275" s="102"/>
      <c r="D275" s="102"/>
      <c r="E275" s="102"/>
      <c r="F275" s="102"/>
      <c r="G275" s="102"/>
      <c r="H275" s="102"/>
      <c r="I275" s="102"/>
      <c r="J275" s="102"/>
      <c r="K275" s="102"/>
      <c r="L275" s="102"/>
      <c r="M275" s="102"/>
      <c r="N275" s="102"/>
      <c r="O275" s="102"/>
    </row>
    <row r="276" customFormat="false" ht="15" hidden="false" customHeight="true" outlineLevel="0" collapsed="false">
      <c r="A276" s="102"/>
      <c r="B276" s="102"/>
      <c r="C276" s="102"/>
      <c r="D276" s="102"/>
      <c r="E276" s="102"/>
      <c r="F276" s="102"/>
      <c r="G276" s="102"/>
      <c r="H276" s="102"/>
      <c r="I276" s="102"/>
      <c r="J276" s="102"/>
      <c r="K276" s="102"/>
      <c r="L276" s="102"/>
      <c r="M276" s="102"/>
      <c r="N276" s="102"/>
      <c r="O276" s="102"/>
    </row>
    <row r="277" customFormat="false" ht="15" hidden="false" customHeight="true" outlineLevel="0" collapsed="false">
      <c r="A277" s="102"/>
      <c r="B277" s="102"/>
      <c r="C277" s="102"/>
      <c r="D277" s="102"/>
      <c r="E277" s="102"/>
      <c r="F277" s="102"/>
      <c r="G277" s="102"/>
      <c r="H277" s="102"/>
      <c r="I277" s="102"/>
      <c r="J277" s="102"/>
      <c r="K277" s="102"/>
      <c r="L277" s="102"/>
      <c r="M277" s="102"/>
      <c r="N277" s="102"/>
      <c r="O277" s="102"/>
    </row>
    <row r="278" customFormat="false" ht="15" hidden="false" customHeight="true" outlineLevel="0" collapsed="false">
      <c r="A278" s="102"/>
      <c r="B278" s="102"/>
      <c r="C278" s="102"/>
      <c r="D278" s="102"/>
      <c r="E278" s="102"/>
      <c r="F278" s="102"/>
      <c r="G278" s="102"/>
      <c r="H278" s="102"/>
      <c r="I278" s="102"/>
      <c r="J278" s="102"/>
      <c r="K278" s="102"/>
      <c r="L278" s="102"/>
      <c r="M278" s="102"/>
      <c r="N278" s="102"/>
      <c r="O278" s="102"/>
    </row>
    <row r="279" customFormat="false" ht="15" hidden="false" customHeight="true" outlineLevel="0" collapsed="false">
      <c r="A279" s="102"/>
      <c r="B279" s="102"/>
      <c r="C279" s="102"/>
      <c r="D279" s="102"/>
      <c r="E279" s="102"/>
      <c r="F279" s="102"/>
      <c r="G279" s="102"/>
      <c r="H279" s="102"/>
      <c r="I279" s="102"/>
      <c r="J279" s="102"/>
      <c r="K279" s="102"/>
      <c r="L279" s="102"/>
      <c r="M279" s="102"/>
      <c r="N279" s="102"/>
      <c r="O279" s="102"/>
    </row>
    <row r="280" customFormat="false" ht="15" hidden="false" customHeight="true" outlineLevel="0" collapsed="false">
      <c r="A280" s="102"/>
      <c r="B280" s="102"/>
      <c r="C280" s="102"/>
      <c r="D280" s="102"/>
      <c r="E280" s="102"/>
      <c r="F280" s="102"/>
      <c r="G280" s="102"/>
      <c r="H280" s="102"/>
      <c r="I280" s="102"/>
      <c r="J280" s="102"/>
      <c r="K280" s="102"/>
      <c r="L280" s="102"/>
      <c r="M280" s="102"/>
      <c r="N280" s="102"/>
      <c r="O280" s="102"/>
    </row>
    <row r="281" customFormat="false" ht="15" hidden="false" customHeight="true" outlineLevel="0" collapsed="false">
      <c r="A281" s="102"/>
      <c r="B281" s="102"/>
      <c r="C281" s="102"/>
      <c r="D281" s="102"/>
      <c r="E281" s="102"/>
      <c r="F281" s="102"/>
      <c r="G281" s="102"/>
      <c r="H281" s="102"/>
      <c r="I281" s="102"/>
      <c r="J281" s="102"/>
      <c r="K281" s="102"/>
      <c r="L281" s="102"/>
      <c r="M281" s="102"/>
      <c r="N281" s="102"/>
      <c r="O281" s="102"/>
    </row>
    <row r="282" customFormat="false" ht="15" hidden="false" customHeight="true" outlineLevel="0" collapsed="false">
      <c r="A282" s="102"/>
      <c r="B282" s="102"/>
      <c r="C282" s="102"/>
      <c r="D282" s="102"/>
      <c r="E282" s="102"/>
      <c r="F282" s="102"/>
      <c r="G282" s="102"/>
      <c r="H282" s="102"/>
      <c r="I282" s="102"/>
      <c r="J282" s="102"/>
      <c r="K282" s="102"/>
      <c r="L282" s="102"/>
      <c r="M282" s="102"/>
      <c r="N282" s="102"/>
      <c r="O282" s="102"/>
    </row>
    <row r="283" customFormat="false" ht="15" hidden="false" customHeight="true" outlineLevel="0" collapsed="false">
      <c r="A283" s="102"/>
      <c r="B283" s="102"/>
      <c r="C283" s="102"/>
      <c r="D283" s="102"/>
      <c r="E283" s="102"/>
      <c r="F283" s="102"/>
      <c r="G283" s="102"/>
      <c r="H283" s="102"/>
      <c r="I283" s="102"/>
      <c r="J283" s="102"/>
      <c r="K283" s="102"/>
      <c r="L283" s="102"/>
      <c r="M283" s="102"/>
      <c r="N283" s="102"/>
      <c r="O283" s="102"/>
    </row>
    <row r="284" customFormat="false" ht="15" hidden="false" customHeight="true" outlineLevel="0" collapsed="false">
      <c r="A284" s="102"/>
      <c r="B284" s="102"/>
      <c r="C284" s="102"/>
      <c r="D284" s="102"/>
      <c r="E284" s="102"/>
      <c r="F284" s="102"/>
      <c r="G284" s="102"/>
      <c r="H284" s="102"/>
      <c r="I284" s="102"/>
      <c r="J284" s="102"/>
      <c r="K284" s="102"/>
      <c r="L284" s="102"/>
      <c r="M284" s="102"/>
      <c r="N284" s="102"/>
      <c r="O284" s="102"/>
    </row>
    <row r="285" customFormat="false" ht="15" hidden="false" customHeight="true" outlineLevel="0" collapsed="false">
      <c r="A285" s="102"/>
      <c r="B285" s="102"/>
      <c r="C285" s="102"/>
      <c r="D285" s="102"/>
      <c r="E285" s="102"/>
      <c r="F285" s="102"/>
      <c r="G285" s="102"/>
      <c r="H285" s="102"/>
      <c r="I285" s="102"/>
      <c r="J285" s="102"/>
      <c r="K285" s="102"/>
      <c r="L285" s="102"/>
      <c r="M285" s="102"/>
      <c r="N285" s="102"/>
      <c r="O285" s="102"/>
    </row>
    <row r="286" customFormat="false" ht="15" hidden="false" customHeight="true" outlineLevel="0" collapsed="false">
      <c r="A286" s="102"/>
      <c r="B286" s="102"/>
      <c r="C286" s="102"/>
      <c r="D286" s="102"/>
      <c r="E286" s="102"/>
      <c r="F286" s="102"/>
      <c r="G286" s="102"/>
      <c r="H286" s="102"/>
      <c r="I286" s="102"/>
      <c r="J286" s="102"/>
      <c r="K286" s="102"/>
      <c r="L286" s="102"/>
      <c r="M286" s="102"/>
      <c r="N286" s="102"/>
      <c r="O286" s="102"/>
    </row>
    <row r="287" customFormat="false" ht="15" hidden="false" customHeight="true" outlineLevel="0" collapsed="false">
      <c r="A287" s="102"/>
      <c r="B287" s="102"/>
      <c r="C287" s="102"/>
      <c r="D287" s="102"/>
      <c r="E287" s="102"/>
      <c r="F287" s="102"/>
      <c r="G287" s="102"/>
      <c r="H287" s="102"/>
      <c r="I287" s="102"/>
      <c r="J287" s="102"/>
      <c r="K287" s="102"/>
      <c r="L287" s="102"/>
      <c r="M287" s="102"/>
      <c r="N287" s="102"/>
      <c r="O287" s="102"/>
    </row>
    <row r="288" customFormat="false" ht="15" hidden="false" customHeight="true" outlineLevel="0" collapsed="false">
      <c r="A288" s="102"/>
      <c r="B288" s="102"/>
      <c r="C288" s="102"/>
      <c r="D288" s="102"/>
      <c r="E288" s="102"/>
      <c r="F288" s="102"/>
      <c r="G288" s="102"/>
      <c r="H288" s="102"/>
      <c r="I288" s="102"/>
      <c r="J288" s="102"/>
      <c r="K288" s="102"/>
      <c r="L288" s="102"/>
      <c r="M288" s="102"/>
      <c r="N288" s="102"/>
      <c r="O288" s="102"/>
    </row>
    <row r="289" customFormat="false" ht="15" hidden="false" customHeight="true" outlineLevel="0" collapsed="false">
      <c r="A289" s="102"/>
      <c r="B289" s="102"/>
      <c r="C289" s="102"/>
      <c r="D289" s="102"/>
      <c r="E289" s="102"/>
      <c r="F289" s="102"/>
      <c r="G289" s="102"/>
      <c r="H289" s="102"/>
      <c r="I289" s="102"/>
      <c r="J289" s="102"/>
      <c r="K289" s="102"/>
      <c r="L289" s="102"/>
      <c r="M289" s="102"/>
      <c r="N289" s="102"/>
      <c r="O289" s="102"/>
    </row>
    <row r="290" customFormat="false" ht="15" hidden="false" customHeight="true" outlineLevel="0" collapsed="false">
      <c r="A290" s="102"/>
      <c r="B290" s="102"/>
      <c r="C290" s="102"/>
      <c r="D290" s="102"/>
      <c r="E290" s="102"/>
      <c r="F290" s="102"/>
      <c r="G290" s="102"/>
      <c r="H290" s="102"/>
      <c r="I290" s="102"/>
      <c r="J290" s="102"/>
      <c r="K290" s="102"/>
      <c r="L290" s="102"/>
      <c r="M290" s="102"/>
      <c r="N290" s="102"/>
      <c r="O290" s="102"/>
    </row>
    <row r="291" customFormat="false" ht="15" hidden="false" customHeight="true" outlineLevel="0" collapsed="false">
      <c r="A291" s="102"/>
      <c r="B291" s="102"/>
      <c r="C291" s="102"/>
      <c r="D291" s="102"/>
      <c r="E291" s="102"/>
      <c r="F291" s="102"/>
      <c r="G291" s="102"/>
      <c r="H291" s="102"/>
      <c r="I291" s="102"/>
      <c r="J291" s="102"/>
      <c r="K291" s="102"/>
      <c r="L291" s="102"/>
      <c r="M291" s="102"/>
      <c r="N291" s="102"/>
      <c r="O291" s="102"/>
    </row>
    <row r="292" customFormat="false" ht="15" hidden="false" customHeight="true" outlineLevel="0" collapsed="false">
      <c r="A292" s="102"/>
      <c r="B292" s="102"/>
      <c r="C292" s="102"/>
      <c r="D292" s="102"/>
      <c r="E292" s="102"/>
      <c r="F292" s="102"/>
      <c r="G292" s="102"/>
      <c r="H292" s="102"/>
      <c r="I292" s="102"/>
      <c r="J292" s="102"/>
      <c r="K292" s="102"/>
      <c r="L292" s="102"/>
      <c r="M292" s="102"/>
      <c r="N292" s="102"/>
      <c r="O292" s="102"/>
    </row>
    <row r="293" customFormat="false" ht="15" hidden="false" customHeight="true" outlineLevel="0" collapsed="false">
      <c r="A293" s="102"/>
      <c r="B293" s="102"/>
      <c r="C293" s="102"/>
      <c r="D293" s="102"/>
      <c r="E293" s="102"/>
      <c r="F293" s="102"/>
      <c r="G293" s="102"/>
      <c r="H293" s="102"/>
      <c r="I293" s="102"/>
      <c r="J293" s="102"/>
      <c r="K293" s="102"/>
      <c r="L293" s="102"/>
      <c r="M293" s="102"/>
      <c r="N293" s="102"/>
      <c r="O293" s="102"/>
    </row>
    <row r="294" customFormat="false" ht="15" hidden="false" customHeight="true" outlineLevel="0" collapsed="false">
      <c r="A294" s="102"/>
      <c r="B294" s="102"/>
      <c r="C294" s="102"/>
      <c r="D294" s="102"/>
      <c r="E294" s="102"/>
      <c r="F294" s="102"/>
      <c r="G294" s="102"/>
      <c r="H294" s="102"/>
      <c r="I294" s="102"/>
      <c r="J294" s="102"/>
      <c r="K294" s="102"/>
      <c r="L294" s="102"/>
      <c r="M294" s="102"/>
      <c r="N294" s="102"/>
      <c r="O294" s="102"/>
    </row>
    <row r="295" customFormat="false" ht="15" hidden="false" customHeight="true" outlineLevel="0" collapsed="false">
      <c r="A295" s="102"/>
      <c r="B295" s="102"/>
      <c r="C295" s="102"/>
      <c r="D295" s="102"/>
      <c r="E295" s="102"/>
      <c r="F295" s="102"/>
      <c r="G295" s="102"/>
      <c r="H295" s="102"/>
      <c r="I295" s="102"/>
      <c r="J295" s="102"/>
      <c r="K295" s="102"/>
      <c r="L295" s="102"/>
      <c r="M295" s="102"/>
      <c r="N295" s="102"/>
      <c r="O295" s="102"/>
    </row>
    <row r="296" customFormat="false" ht="15" hidden="false" customHeight="true" outlineLevel="0" collapsed="false">
      <c r="A296" s="102"/>
      <c r="B296" s="102"/>
      <c r="C296" s="102"/>
      <c r="D296" s="102"/>
      <c r="E296" s="102"/>
      <c r="F296" s="102"/>
      <c r="G296" s="102"/>
      <c r="H296" s="102"/>
      <c r="I296" s="102"/>
      <c r="J296" s="102"/>
      <c r="K296" s="102"/>
      <c r="L296" s="102"/>
      <c r="M296" s="102"/>
      <c r="N296" s="102"/>
      <c r="O296" s="102"/>
    </row>
    <row r="297" customFormat="false" ht="15" hidden="false" customHeight="true" outlineLevel="0" collapsed="false">
      <c r="A297" s="102"/>
      <c r="B297" s="102"/>
      <c r="C297" s="102"/>
      <c r="D297" s="102"/>
      <c r="E297" s="102"/>
      <c r="F297" s="102"/>
      <c r="G297" s="102"/>
      <c r="H297" s="102"/>
      <c r="I297" s="102"/>
      <c r="J297" s="102"/>
      <c r="K297" s="102"/>
      <c r="L297" s="102"/>
      <c r="M297" s="102"/>
      <c r="N297" s="102"/>
      <c r="O297" s="102"/>
    </row>
    <row r="298" customFormat="false" ht="15" hidden="false" customHeight="true" outlineLevel="0" collapsed="false">
      <c r="A298" s="102"/>
      <c r="B298" s="102"/>
      <c r="C298" s="102"/>
      <c r="D298" s="102"/>
      <c r="E298" s="102"/>
      <c r="F298" s="102"/>
      <c r="G298" s="102"/>
      <c r="H298" s="102"/>
      <c r="I298" s="102"/>
      <c r="J298" s="102"/>
      <c r="K298" s="102"/>
      <c r="L298" s="102"/>
      <c r="M298" s="102"/>
      <c r="N298" s="102"/>
      <c r="O298" s="102"/>
    </row>
    <row r="299" customFormat="false" ht="15" hidden="false" customHeight="true" outlineLevel="0" collapsed="false">
      <c r="A299" s="102"/>
      <c r="B299" s="102"/>
      <c r="C299" s="102"/>
      <c r="D299" s="102"/>
      <c r="E299" s="102"/>
      <c r="F299" s="102"/>
      <c r="G299" s="102"/>
      <c r="H299" s="102"/>
      <c r="I299" s="102"/>
      <c r="J299" s="102"/>
      <c r="K299" s="102"/>
      <c r="L299" s="102"/>
      <c r="M299" s="102"/>
      <c r="N299" s="102"/>
      <c r="O299" s="102"/>
    </row>
    <row r="300" customFormat="false" ht="15" hidden="false" customHeight="true" outlineLevel="0" collapsed="false">
      <c r="A300" s="102"/>
      <c r="B300" s="102"/>
      <c r="C300" s="102"/>
      <c r="D300" s="102"/>
      <c r="E300" s="102"/>
      <c r="F300" s="102"/>
      <c r="G300" s="102"/>
      <c r="H300" s="102"/>
      <c r="I300" s="102"/>
      <c r="J300" s="102"/>
      <c r="K300" s="102"/>
      <c r="L300" s="102"/>
      <c r="M300" s="102"/>
      <c r="N300" s="102"/>
      <c r="O300" s="102"/>
    </row>
    <row r="301" customFormat="false" ht="15" hidden="false" customHeight="true" outlineLevel="0" collapsed="false">
      <c r="A301" s="102"/>
      <c r="B301" s="102"/>
      <c r="C301" s="102"/>
      <c r="D301" s="102"/>
      <c r="E301" s="102"/>
      <c r="F301" s="102"/>
      <c r="G301" s="102"/>
      <c r="H301" s="102"/>
      <c r="I301" s="102"/>
      <c r="J301" s="102"/>
      <c r="K301" s="102"/>
      <c r="L301" s="102"/>
      <c r="M301" s="102"/>
      <c r="N301" s="102"/>
      <c r="O301" s="102"/>
    </row>
    <row r="302" customFormat="false" ht="15" hidden="false" customHeight="true" outlineLevel="0" collapsed="false">
      <c r="A302" s="102"/>
      <c r="B302" s="102"/>
      <c r="C302" s="102"/>
      <c r="D302" s="102"/>
      <c r="E302" s="102"/>
      <c r="F302" s="102"/>
      <c r="G302" s="102"/>
      <c r="H302" s="102"/>
      <c r="I302" s="102"/>
      <c r="J302" s="102"/>
      <c r="K302" s="102"/>
      <c r="L302" s="102"/>
      <c r="M302" s="102"/>
      <c r="N302" s="102"/>
      <c r="O302" s="102"/>
    </row>
    <row r="303" customFormat="false" ht="15" hidden="false" customHeight="true" outlineLevel="0" collapsed="false">
      <c r="A303" s="102"/>
      <c r="B303" s="102"/>
      <c r="C303" s="102"/>
      <c r="D303" s="102"/>
      <c r="E303" s="102"/>
      <c r="F303" s="102"/>
      <c r="G303" s="102"/>
      <c r="H303" s="102"/>
      <c r="I303" s="102"/>
      <c r="J303" s="102"/>
      <c r="K303" s="102"/>
      <c r="L303" s="102"/>
      <c r="M303" s="102"/>
      <c r="N303" s="102"/>
      <c r="O303" s="102"/>
    </row>
    <row r="304" customFormat="false" ht="15" hidden="false" customHeight="true" outlineLevel="0" collapsed="false">
      <c r="A304" s="102"/>
      <c r="B304" s="102"/>
      <c r="C304" s="102"/>
      <c r="D304" s="102"/>
      <c r="E304" s="102"/>
      <c r="F304" s="102"/>
      <c r="G304" s="102"/>
      <c r="H304" s="102"/>
      <c r="I304" s="102"/>
      <c r="J304" s="102"/>
      <c r="K304" s="102"/>
      <c r="L304" s="102"/>
      <c r="M304" s="102"/>
      <c r="N304" s="102"/>
      <c r="O304" s="102"/>
    </row>
    <row r="305" customFormat="false" ht="15" hidden="false" customHeight="true" outlineLevel="0" collapsed="false">
      <c r="A305" s="102"/>
      <c r="B305" s="102"/>
      <c r="C305" s="102"/>
      <c r="D305" s="102"/>
      <c r="E305" s="102"/>
      <c r="F305" s="102"/>
      <c r="G305" s="102"/>
      <c r="H305" s="102"/>
      <c r="I305" s="102"/>
      <c r="J305" s="102"/>
      <c r="K305" s="102"/>
      <c r="L305" s="102"/>
      <c r="M305" s="102"/>
      <c r="N305" s="102"/>
      <c r="O305" s="102"/>
    </row>
    <row r="306" customFormat="false" ht="15" hidden="false" customHeight="true" outlineLevel="0" collapsed="false">
      <c r="A306" s="102"/>
      <c r="B306" s="102"/>
      <c r="C306" s="102"/>
      <c r="D306" s="102"/>
      <c r="E306" s="102"/>
      <c r="F306" s="102"/>
      <c r="G306" s="102"/>
      <c r="H306" s="102"/>
      <c r="I306" s="102"/>
      <c r="J306" s="102"/>
      <c r="K306" s="102"/>
      <c r="L306" s="102"/>
      <c r="M306" s="102"/>
      <c r="N306" s="102"/>
      <c r="O306" s="102"/>
    </row>
    <row r="307" customFormat="false" ht="15" hidden="false" customHeight="true" outlineLevel="0" collapsed="false">
      <c r="A307" s="102"/>
      <c r="B307" s="102"/>
      <c r="C307" s="102"/>
      <c r="D307" s="102"/>
      <c r="E307" s="102"/>
      <c r="F307" s="102"/>
      <c r="G307" s="102"/>
      <c r="H307" s="102"/>
      <c r="I307" s="102"/>
      <c r="J307" s="102"/>
      <c r="K307" s="102"/>
      <c r="L307" s="102"/>
      <c r="M307" s="102"/>
      <c r="N307" s="102"/>
      <c r="O307" s="102"/>
    </row>
    <row r="308" customFormat="false" ht="15" hidden="false" customHeight="true" outlineLevel="0" collapsed="false">
      <c r="A308" s="102"/>
      <c r="B308" s="102"/>
      <c r="C308" s="102"/>
      <c r="D308" s="102"/>
      <c r="E308" s="102"/>
      <c r="F308" s="102"/>
      <c r="G308" s="102"/>
      <c r="H308" s="102"/>
      <c r="I308" s="102"/>
      <c r="J308" s="102"/>
      <c r="K308" s="102"/>
      <c r="L308" s="102"/>
      <c r="M308" s="102"/>
      <c r="N308" s="102"/>
      <c r="O308" s="102"/>
    </row>
    <row r="309" customFormat="false" ht="15" hidden="false" customHeight="true" outlineLevel="0" collapsed="false">
      <c r="A309" s="102"/>
      <c r="B309" s="102"/>
      <c r="C309" s="102"/>
      <c r="D309" s="102"/>
      <c r="E309" s="102"/>
      <c r="F309" s="102"/>
      <c r="G309" s="102"/>
      <c r="H309" s="102"/>
      <c r="I309" s="102"/>
      <c r="J309" s="102"/>
      <c r="K309" s="102"/>
      <c r="L309" s="102"/>
      <c r="M309" s="102"/>
      <c r="N309" s="102"/>
      <c r="O309" s="102"/>
    </row>
    <row r="310" customFormat="false" ht="15" hidden="false" customHeight="true" outlineLevel="0" collapsed="false">
      <c r="A310" s="102"/>
      <c r="B310" s="102"/>
      <c r="C310" s="102"/>
      <c r="D310" s="102"/>
      <c r="E310" s="102"/>
      <c r="F310" s="102"/>
      <c r="G310" s="102"/>
      <c r="H310" s="102"/>
      <c r="I310" s="102"/>
      <c r="J310" s="102"/>
      <c r="K310" s="102"/>
      <c r="L310" s="102"/>
      <c r="M310" s="102"/>
      <c r="N310" s="102"/>
      <c r="O310" s="102"/>
    </row>
    <row r="311" customFormat="false" ht="15" hidden="false" customHeight="true" outlineLevel="0" collapsed="false">
      <c r="A311" s="102"/>
      <c r="B311" s="102"/>
      <c r="C311" s="102"/>
      <c r="D311" s="102"/>
      <c r="E311" s="102"/>
      <c r="F311" s="102"/>
      <c r="G311" s="102"/>
      <c r="H311" s="102"/>
      <c r="I311" s="102"/>
      <c r="J311" s="102"/>
      <c r="K311" s="102"/>
      <c r="L311" s="102"/>
      <c r="M311" s="102"/>
      <c r="N311" s="102"/>
      <c r="O311" s="102"/>
    </row>
    <row r="312" customFormat="false" ht="15" hidden="false" customHeight="true" outlineLevel="0" collapsed="false">
      <c r="A312" s="102"/>
      <c r="B312" s="102"/>
      <c r="C312" s="102"/>
      <c r="D312" s="102"/>
      <c r="E312" s="102"/>
      <c r="F312" s="102"/>
      <c r="G312" s="102"/>
      <c r="H312" s="102"/>
      <c r="I312" s="102"/>
      <c r="J312" s="102"/>
      <c r="K312" s="102"/>
      <c r="L312" s="102"/>
      <c r="M312" s="102"/>
      <c r="N312" s="102"/>
      <c r="O312" s="102"/>
    </row>
    <row r="313" customFormat="false" ht="15" hidden="false" customHeight="true" outlineLevel="0" collapsed="false">
      <c r="A313" s="102"/>
      <c r="B313" s="102"/>
      <c r="C313" s="102"/>
      <c r="D313" s="102"/>
      <c r="E313" s="102"/>
      <c r="F313" s="102"/>
      <c r="G313" s="102"/>
      <c r="H313" s="102"/>
      <c r="I313" s="102"/>
      <c r="J313" s="102"/>
      <c r="K313" s="102"/>
      <c r="L313" s="102"/>
      <c r="M313" s="102"/>
      <c r="N313" s="102"/>
      <c r="O313" s="102"/>
    </row>
    <row r="314" customFormat="false" ht="15" hidden="false" customHeight="true" outlineLevel="0" collapsed="false">
      <c r="A314" s="102"/>
      <c r="B314" s="102"/>
      <c r="C314" s="102"/>
      <c r="D314" s="102"/>
      <c r="E314" s="102"/>
      <c r="F314" s="102"/>
      <c r="G314" s="102"/>
      <c r="H314" s="102"/>
      <c r="I314" s="102"/>
      <c r="J314" s="102"/>
      <c r="K314" s="102"/>
      <c r="L314" s="102"/>
      <c r="M314" s="102"/>
      <c r="N314" s="102"/>
      <c r="O314" s="102"/>
    </row>
    <row r="315" customFormat="false" ht="15" hidden="false" customHeight="true" outlineLevel="0" collapsed="false">
      <c r="A315" s="102"/>
      <c r="B315" s="102"/>
      <c r="C315" s="102"/>
      <c r="D315" s="102"/>
      <c r="E315" s="102"/>
      <c r="F315" s="102"/>
      <c r="G315" s="102"/>
      <c r="H315" s="102"/>
      <c r="I315" s="102"/>
      <c r="J315" s="102"/>
      <c r="K315" s="102"/>
      <c r="L315" s="102"/>
      <c r="M315" s="102"/>
      <c r="N315" s="102"/>
      <c r="O315" s="102"/>
    </row>
    <row r="316" customFormat="false" ht="15" hidden="false" customHeight="true" outlineLevel="0" collapsed="false">
      <c r="A316" s="102"/>
      <c r="B316" s="102"/>
      <c r="C316" s="102"/>
      <c r="D316" s="102"/>
      <c r="E316" s="102"/>
      <c r="F316" s="102"/>
      <c r="G316" s="102"/>
      <c r="H316" s="102"/>
      <c r="I316" s="102"/>
      <c r="J316" s="102"/>
      <c r="K316" s="102"/>
      <c r="L316" s="102"/>
      <c r="M316" s="102"/>
      <c r="N316" s="102"/>
      <c r="O316" s="102"/>
    </row>
    <row r="317" customFormat="false" ht="15" hidden="false" customHeight="true" outlineLevel="0" collapsed="false">
      <c r="A317" s="102"/>
      <c r="B317" s="102"/>
      <c r="C317" s="102"/>
      <c r="D317" s="102"/>
      <c r="E317" s="102"/>
      <c r="F317" s="102"/>
      <c r="G317" s="102"/>
      <c r="H317" s="102"/>
      <c r="I317" s="102"/>
      <c r="J317" s="102"/>
      <c r="K317" s="102"/>
      <c r="L317" s="102"/>
      <c r="M317" s="102"/>
      <c r="N317" s="102"/>
      <c r="O317" s="102"/>
    </row>
    <row r="318" customFormat="false" ht="15" hidden="false" customHeight="true" outlineLevel="0" collapsed="false">
      <c r="A318" s="102"/>
      <c r="B318" s="102"/>
      <c r="C318" s="102"/>
      <c r="D318" s="102"/>
      <c r="E318" s="102"/>
      <c r="F318" s="102"/>
      <c r="G318" s="102"/>
      <c r="H318" s="102"/>
      <c r="I318" s="102"/>
      <c r="J318" s="102"/>
      <c r="K318" s="102"/>
      <c r="L318" s="102"/>
      <c r="M318" s="102"/>
      <c r="N318" s="102"/>
      <c r="O318" s="102"/>
    </row>
    <row r="319" customFormat="false" ht="15" hidden="false" customHeight="true" outlineLevel="0" collapsed="false">
      <c r="A319" s="102"/>
      <c r="B319" s="102"/>
      <c r="C319" s="102"/>
      <c r="D319" s="102"/>
      <c r="E319" s="102"/>
      <c r="F319" s="102"/>
      <c r="G319" s="102"/>
      <c r="H319" s="102"/>
      <c r="I319" s="102"/>
      <c r="J319" s="102"/>
      <c r="K319" s="102"/>
      <c r="L319" s="102"/>
      <c r="M319" s="102"/>
      <c r="N319" s="102"/>
      <c r="O319" s="102"/>
    </row>
    <row r="320" customFormat="false" ht="15" hidden="false" customHeight="true" outlineLevel="0" collapsed="false">
      <c r="A320" s="102"/>
      <c r="B320" s="102"/>
      <c r="C320" s="102"/>
      <c r="D320" s="102"/>
      <c r="E320" s="102"/>
      <c r="F320" s="102"/>
      <c r="G320" s="102"/>
      <c r="H320" s="102"/>
      <c r="I320" s="102"/>
      <c r="J320" s="102"/>
      <c r="K320" s="102"/>
      <c r="L320" s="102"/>
      <c r="M320" s="102"/>
      <c r="N320" s="102"/>
      <c r="O320" s="102"/>
    </row>
    <row r="321" customFormat="false" ht="15" hidden="false" customHeight="true" outlineLevel="0" collapsed="false">
      <c r="A321" s="102"/>
      <c r="B321" s="102"/>
      <c r="C321" s="102"/>
      <c r="D321" s="102"/>
      <c r="E321" s="102"/>
      <c r="F321" s="102"/>
      <c r="G321" s="102"/>
      <c r="H321" s="102"/>
      <c r="I321" s="102"/>
      <c r="J321" s="102"/>
      <c r="K321" s="102"/>
      <c r="L321" s="102"/>
      <c r="M321" s="102"/>
      <c r="N321" s="102"/>
      <c r="O321" s="102"/>
    </row>
    <row r="322" customFormat="false" ht="15" hidden="false" customHeight="true" outlineLevel="0" collapsed="false">
      <c r="A322" s="102"/>
      <c r="B322" s="102"/>
      <c r="C322" s="102"/>
      <c r="D322" s="102"/>
      <c r="E322" s="102"/>
      <c r="F322" s="102"/>
      <c r="G322" s="102"/>
      <c r="H322" s="102"/>
      <c r="I322" s="102"/>
      <c r="J322" s="102"/>
      <c r="K322" s="102"/>
      <c r="L322" s="102"/>
      <c r="M322" s="102"/>
      <c r="N322" s="102"/>
      <c r="O322" s="102"/>
    </row>
    <row r="323" customFormat="false" ht="15" hidden="false" customHeight="true" outlineLevel="0" collapsed="false">
      <c r="A323" s="102"/>
      <c r="B323" s="102"/>
      <c r="C323" s="102"/>
      <c r="D323" s="102"/>
      <c r="E323" s="102"/>
      <c r="F323" s="102"/>
      <c r="G323" s="102"/>
      <c r="H323" s="102"/>
      <c r="I323" s="102"/>
      <c r="J323" s="102"/>
      <c r="K323" s="102"/>
      <c r="L323" s="102"/>
      <c r="M323" s="102"/>
      <c r="N323" s="102"/>
      <c r="O323" s="102"/>
    </row>
    <row r="324" customFormat="false" ht="15" hidden="false" customHeight="true" outlineLevel="0" collapsed="false">
      <c r="A324" s="102"/>
      <c r="B324" s="102"/>
      <c r="C324" s="102"/>
      <c r="D324" s="102"/>
      <c r="E324" s="102"/>
      <c r="F324" s="102"/>
      <c r="G324" s="102"/>
      <c r="H324" s="102"/>
      <c r="I324" s="102"/>
      <c r="J324" s="102"/>
      <c r="K324" s="102"/>
      <c r="L324" s="102"/>
      <c r="M324" s="102"/>
      <c r="N324" s="102"/>
      <c r="O324" s="102"/>
    </row>
    <row r="325" customFormat="false" ht="15" hidden="false" customHeight="true" outlineLevel="0" collapsed="false">
      <c r="A325" s="102"/>
      <c r="B325" s="102"/>
      <c r="C325" s="102"/>
      <c r="D325" s="102"/>
      <c r="E325" s="102"/>
      <c r="F325" s="102"/>
      <c r="G325" s="102"/>
      <c r="H325" s="102"/>
      <c r="I325" s="102"/>
      <c r="J325" s="102"/>
      <c r="K325" s="102"/>
      <c r="L325" s="102"/>
      <c r="M325" s="102"/>
      <c r="N325" s="102"/>
      <c r="O325" s="102"/>
    </row>
    <row r="326" customFormat="false" ht="15" hidden="false" customHeight="true" outlineLevel="0" collapsed="false">
      <c r="A326" s="102"/>
      <c r="B326" s="102"/>
      <c r="C326" s="102"/>
      <c r="D326" s="102"/>
      <c r="E326" s="102"/>
      <c r="F326" s="102"/>
      <c r="G326" s="102"/>
      <c r="H326" s="102"/>
      <c r="I326" s="102"/>
      <c r="J326" s="102"/>
      <c r="K326" s="102"/>
      <c r="L326" s="102"/>
      <c r="M326" s="102"/>
      <c r="N326" s="102"/>
      <c r="O326" s="102"/>
    </row>
    <row r="327" customFormat="false" ht="15" hidden="false" customHeight="true" outlineLevel="0" collapsed="false">
      <c r="A327" s="102"/>
      <c r="B327" s="102"/>
      <c r="C327" s="102"/>
      <c r="D327" s="102"/>
      <c r="E327" s="102"/>
      <c r="F327" s="102"/>
      <c r="G327" s="102"/>
      <c r="H327" s="102"/>
      <c r="I327" s="102"/>
      <c r="J327" s="102"/>
      <c r="K327" s="102"/>
      <c r="L327" s="102"/>
      <c r="M327" s="102"/>
      <c r="N327" s="102"/>
      <c r="O327" s="102"/>
    </row>
    <row r="328" customFormat="false" ht="15" hidden="false" customHeight="true" outlineLevel="0" collapsed="false">
      <c r="A328" s="102"/>
      <c r="B328" s="102"/>
      <c r="C328" s="102"/>
      <c r="D328" s="102"/>
      <c r="E328" s="102"/>
      <c r="F328" s="102"/>
      <c r="G328" s="102"/>
      <c r="H328" s="102"/>
      <c r="I328" s="102"/>
      <c r="J328" s="102"/>
      <c r="K328" s="102"/>
      <c r="L328" s="102"/>
      <c r="M328" s="102"/>
      <c r="N328" s="102"/>
      <c r="O328" s="102"/>
    </row>
    <row r="329" customFormat="false" ht="15" hidden="false" customHeight="true" outlineLevel="0" collapsed="false">
      <c r="A329" s="102"/>
      <c r="B329" s="102"/>
      <c r="C329" s="102"/>
      <c r="D329" s="102"/>
      <c r="E329" s="102"/>
      <c r="F329" s="102"/>
      <c r="G329" s="102"/>
      <c r="H329" s="102"/>
      <c r="I329" s="102"/>
      <c r="J329" s="102"/>
      <c r="K329" s="102"/>
      <c r="L329" s="102"/>
      <c r="M329" s="102"/>
      <c r="N329" s="102"/>
      <c r="O329" s="102"/>
    </row>
    <row r="330" customFormat="false" ht="15" hidden="false" customHeight="true" outlineLevel="0" collapsed="false">
      <c r="A330" s="102"/>
      <c r="B330" s="102"/>
      <c r="C330" s="102"/>
      <c r="D330" s="102"/>
      <c r="E330" s="102"/>
      <c r="F330" s="102"/>
      <c r="G330" s="102"/>
      <c r="H330" s="102"/>
      <c r="I330" s="102"/>
      <c r="J330" s="102"/>
      <c r="K330" s="102"/>
      <c r="L330" s="102"/>
      <c r="M330" s="102"/>
      <c r="N330" s="102"/>
      <c r="O330" s="102"/>
    </row>
    <row r="331" customFormat="false" ht="15" hidden="false" customHeight="true" outlineLevel="0" collapsed="false">
      <c r="A331" s="102"/>
      <c r="B331" s="102"/>
      <c r="C331" s="102"/>
      <c r="D331" s="102"/>
      <c r="E331" s="102"/>
      <c r="F331" s="102"/>
      <c r="G331" s="102"/>
      <c r="H331" s="102"/>
      <c r="I331" s="102"/>
      <c r="J331" s="102"/>
      <c r="K331" s="102"/>
      <c r="L331" s="102"/>
      <c r="M331" s="102"/>
      <c r="N331" s="102"/>
      <c r="O331" s="102"/>
    </row>
    <row r="332" customFormat="false" ht="15" hidden="false" customHeight="true" outlineLevel="0" collapsed="false">
      <c r="A332" s="102"/>
      <c r="B332" s="102"/>
      <c r="C332" s="102"/>
      <c r="D332" s="102"/>
      <c r="E332" s="102"/>
      <c r="F332" s="102"/>
      <c r="G332" s="102"/>
      <c r="H332" s="102"/>
      <c r="I332" s="102"/>
      <c r="J332" s="102"/>
      <c r="K332" s="102"/>
      <c r="L332" s="102"/>
      <c r="M332" s="102"/>
      <c r="N332" s="102"/>
      <c r="O332" s="102"/>
    </row>
    <row r="333" customFormat="false" ht="15" hidden="false" customHeight="true" outlineLevel="0" collapsed="false">
      <c r="A333" s="102"/>
      <c r="B333" s="102"/>
      <c r="C333" s="102"/>
      <c r="D333" s="102"/>
      <c r="E333" s="102"/>
      <c r="F333" s="102"/>
      <c r="G333" s="102"/>
      <c r="H333" s="102"/>
      <c r="I333" s="102"/>
      <c r="J333" s="102"/>
      <c r="K333" s="102"/>
      <c r="L333" s="102"/>
      <c r="M333" s="102"/>
      <c r="N333" s="102"/>
      <c r="O333" s="102"/>
    </row>
    <row r="334" customFormat="false" ht="15" hidden="false" customHeight="true" outlineLevel="0" collapsed="false">
      <c r="A334" s="102"/>
      <c r="B334" s="102"/>
      <c r="C334" s="102"/>
      <c r="D334" s="102"/>
      <c r="E334" s="102"/>
      <c r="F334" s="102"/>
      <c r="G334" s="102"/>
      <c r="H334" s="102"/>
      <c r="I334" s="102"/>
      <c r="J334" s="102"/>
      <c r="K334" s="102"/>
      <c r="L334" s="102"/>
      <c r="M334" s="102"/>
      <c r="N334" s="102"/>
      <c r="O334" s="102"/>
    </row>
    <row r="335" customFormat="false" ht="15" hidden="false" customHeight="true" outlineLevel="0" collapsed="false">
      <c r="A335" s="102"/>
      <c r="B335" s="102"/>
      <c r="C335" s="102"/>
      <c r="D335" s="102"/>
      <c r="E335" s="102"/>
      <c r="F335" s="102"/>
      <c r="G335" s="102"/>
      <c r="H335" s="102"/>
      <c r="I335" s="102"/>
      <c r="J335" s="102"/>
      <c r="K335" s="102"/>
      <c r="L335" s="102"/>
      <c r="M335" s="102"/>
      <c r="N335" s="102"/>
      <c r="O335" s="102"/>
    </row>
    <row r="336" customFormat="false" ht="15" hidden="false" customHeight="true" outlineLevel="0" collapsed="false">
      <c r="A336" s="102"/>
      <c r="B336" s="102"/>
      <c r="C336" s="102"/>
      <c r="D336" s="102"/>
      <c r="E336" s="102"/>
      <c r="F336" s="102"/>
      <c r="G336" s="102"/>
      <c r="H336" s="102"/>
      <c r="I336" s="102"/>
      <c r="J336" s="102"/>
      <c r="K336" s="102"/>
      <c r="L336" s="102"/>
      <c r="M336" s="102"/>
      <c r="N336" s="102"/>
      <c r="O336" s="102"/>
    </row>
    <row r="337" customFormat="false" ht="15" hidden="false" customHeight="true" outlineLevel="0" collapsed="false">
      <c r="A337" s="102"/>
      <c r="B337" s="102"/>
      <c r="C337" s="102"/>
      <c r="D337" s="102"/>
      <c r="E337" s="102"/>
      <c r="F337" s="102"/>
      <c r="G337" s="102"/>
      <c r="H337" s="102"/>
      <c r="I337" s="102"/>
      <c r="J337" s="102"/>
      <c r="K337" s="102"/>
      <c r="L337" s="102"/>
      <c r="M337" s="102"/>
      <c r="N337" s="102"/>
      <c r="O337" s="102"/>
    </row>
    <row r="338" customFormat="false" ht="15" hidden="false" customHeight="true" outlineLevel="0" collapsed="false">
      <c r="A338" s="102"/>
      <c r="B338" s="102"/>
      <c r="C338" s="102"/>
      <c r="D338" s="102"/>
      <c r="E338" s="102"/>
      <c r="F338" s="102"/>
      <c r="G338" s="102"/>
      <c r="H338" s="102"/>
      <c r="I338" s="102"/>
      <c r="J338" s="102"/>
      <c r="K338" s="102"/>
      <c r="L338" s="102"/>
      <c r="M338" s="102"/>
      <c r="N338" s="102"/>
      <c r="O338" s="102"/>
    </row>
    <row r="339" customFormat="false" ht="15" hidden="false" customHeight="true" outlineLevel="0" collapsed="false">
      <c r="A339" s="102"/>
      <c r="B339" s="102"/>
      <c r="C339" s="102"/>
      <c r="D339" s="102"/>
      <c r="E339" s="102"/>
      <c r="F339" s="102"/>
      <c r="G339" s="102"/>
      <c r="H339" s="102"/>
      <c r="I339" s="102"/>
      <c r="J339" s="102"/>
      <c r="K339" s="102"/>
      <c r="L339" s="102"/>
      <c r="M339" s="102"/>
      <c r="N339" s="102"/>
      <c r="O339" s="102"/>
    </row>
    <row r="340" customFormat="false" ht="15" hidden="false" customHeight="true" outlineLevel="0" collapsed="false">
      <c r="A340" s="102"/>
      <c r="B340" s="102"/>
      <c r="C340" s="102"/>
      <c r="D340" s="102"/>
      <c r="E340" s="102"/>
      <c r="F340" s="102"/>
      <c r="G340" s="102"/>
      <c r="H340" s="102"/>
      <c r="I340" s="102"/>
      <c r="J340" s="102"/>
      <c r="K340" s="102"/>
      <c r="L340" s="102"/>
      <c r="M340" s="102"/>
      <c r="N340" s="102"/>
      <c r="O340" s="102"/>
    </row>
    <row r="341" customFormat="false" ht="15" hidden="false" customHeight="true" outlineLevel="0" collapsed="false">
      <c r="A341" s="102"/>
      <c r="B341" s="102"/>
      <c r="C341" s="102"/>
      <c r="D341" s="102"/>
      <c r="E341" s="102"/>
      <c r="F341" s="102"/>
      <c r="G341" s="102"/>
      <c r="H341" s="102"/>
      <c r="I341" s="102"/>
      <c r="J341" s="102"/>
      <c r="K341" s="102"/>
      <c r="L341" s="102"/>
      <c r="M341" s="102"/>
      <c r="N341" s="102"/>
      <c r="O341" s="102"/>
    </row>
    <row r="342" customFormat="false" ht="15" hidden="false" customHeight="true" outlineLevel="0" collapsed="false">
      <c r="A342" s="102"/>
      <c r="B342" s="102"/>
      <c r="C342" s="102"/>
      <c r="D342" s="102"/>
      <c r="E342" s="102"/>
      <c r="F342" s="102"/>
      <c r="G342" s="102"/>
      <c r="H342" s="102"/>
      <c r="I342" s="102"/>
      <c r="J342" s="102"/>
      <c r="K342" s="102"/>
      <c r="L342" s="102"/>
      <c r="M342" s="102"/>
      <c r="N342" s="102"/>
      <c r="O342" s="102"/>
    </row>
    <row r="343" customFormat="false" ht="15" hidden="false" customHeight="true" outlineLevel="0" collapsed="false">
      <c r="A343" s="102"/>
      <c r="B343" s="102"/>
      <c r="C343" s="102"/>
      <c r="D343" s="102"/>
      <c r="E343" s="102"/>
      <c r="F343" s="102"/>
      <c r="G343" s="102"/>
      <c r="H343" s="102"/>
      <c r="I343" s="102"/>
      <c r="J343" s="102"/>
      <c r="K343" s="102"/>
      <c r="L343" s="102"/>
      <c r="M343" s="102"/>
      <c r="N343" s="102"/>
      <c r="O343" s="102"/>
    </row>
    <row r="344" customFormat="false" ht="15" hidden="false" customHeight="true" outlineLevel="0" collapsed="false">
      <c r="A344" s="102"/>
      <c r="B344" s="102"/>
      <c r="C344" s="102"/>
      <c r="D344" s="102"/>
      <c r="E344" s="102"/>
      <c r="F344" s="102"/>
      <c r="G344" s="102"/>
      <c r="H344" s="102"/>
      <c r="I344" s="102"/>
      <c r="J344" s="102"/>
      <c r="K344" s="102"/>
      <c r="L344" s="102"/>
      <c r="M344" s="102"/>
      <c r="N344" s="102"/>
      <c r="O344" s="102"/>
    </row>
    <row r="345" customFormat="false" ht="15" hidden="false" customHeight="true" outlineLevel="0" collapsed="false">
      <c r="A345" s="102"/>
      <c r="B345" s="102"/>
      <c r="C345" s="102"/>
      <c r="D345" s="102"/>
      <c r="E345" s="102"/>
      <c r="F345" s="102"/>
      <c r="G345" s="102"/>
      <c r="H345" s="102"/>
      <c r="I345" s="102"/>
      <c r="J345" s="102"/>
      <c r="K345" s="102"/>
      <c r="L345" s="102"/>
      <c r="M345" s="102"/>
      <c r="N345" s="102"/>
      <c r="O345" s="102"/>
    </row>
    <row r="346" customFormat="false" ht="15" hidden="false" customHeight="true" outlineLevel="0" collapsed="false">
      <c r="A346" s="102"/>
      <c r="B346" s="102"/>
      <c r="C346" s="102"/>
      <c r="D346" s="102"/>
      <c r="E346" s="102"/>
      <c r="F346" s="102"/>
      <c r="G346" s="102"/>
      <c r="H346" s="102"/>
      <c r="I346" s="102"/>
      <c r="J346" s="102"/>
      <c r="K346" s="102"/>
      <c r="L346" s="102"/>
      <c r="M346" s="102"/>
      <c r="N346" s="102"/>
      <c r="O346" s="102"/>
    </row>
    <row r="347" customFormat="false" ht="15" hidden="false" customHeight="true" outlineLevel="0" collapsed="false">
      <c r="A347" s="102"/>
      <c r="B347" s="102"/>
      <c r="C347" s="102"/>
      <c r="D347" s="102"/>
      <c r="E347" s="102"/>
      <c r="F347" s="102"/>
      <c r="G347" s="102"/>
      <c r="H347" s="102"/>
      <c r="I347" s="102"/>
      <c r="J347" s="102"/>
      <c r="K347" s="102"/>
      <c r="L347" s="102"/>
      <c r="M347" s="102"/>
      <c r="N347" s="102"/>
      <c r="O347" s="102"/>
    </row>
    <row r="348" customFormat="false" ht="15" hidden="false" customHeight="true" outlineLevel="0" collapsed="false">
      <c r="A348" s="102"/>
      <c r="B348" s="102"/>
      <c r="C348" s="102"/>
      <c r="D348" s="102"/>
      <c r="E348" s="102"/>
      <c r="F348" s="102"/>
      <c r="G348" s="102"/>
      <c r="H348" s="102"/>
      <c r="I348" s="102"/>
      <c r="J348" s="102"/>
      <c r="K348" s="102"/>
      <c r="L348" s="102"/>
      <c r="M348" s="102"/>
      <c r="N348" s="102"/>
      <c r="O348" s="102"/>
    </row>
    <row r="349" customFormat="false" ht="15" hidden="false" customHeight="true" outlineLevel="0" collapsed="false">
      <c r="A349" s="102"/>
      <c r="B349" s="102"/>
      <c r="C349" s="102"/>
      <c r="D349" s="102"/>
      <c r="E349" s="102"/>
      <c r="F349" s="102"/>
      <c r="G349" s="102"/>
      <c r="H349" s="102"/>
      <c r="I349" s="102"/>
      <c r="J349" s="102"/>
      <c r="K349" s="102"/>
      <c r="L349" s="102"/>
      <c r="M349" s="102"/>
      <c r="N349" s="102"/>
      <c r="O349" s="102"/>
    </row>
    <row r="350" customFormat="false" ht="15" hidden="false" customHeight="true" outlineLevel="0" collapsed="false">
      <c r="A350" s="102"/>
      <c r="B350" s="102"/>
      <c r="C350" s="102"/>
      <c r="D350" s="102"/>
      <c r="E350" s="102"/>
      <c r="F350" s="102"/>
      <c r="G350" s="102"/>
      <c r="H350" s="102"/>
      <c r="I350" s="102"/>
      <c r="J350" s="102"/>
      <c r="K350" s="102"/>
      <c r="L350" s="102"/>
      <c r="M350" s="102"/>
      <c r="N350" s="102"/>
      <c r="O350" s="102"/>
    </row>
    <row r="351" customFormat="false" ht="15" hidden="false" customHeight="true" outlineLevel="0" collapsed="false">
      <c r="A351" s="102"/>
      <c r="B351" s="102"/>
      <c r="C351" s="102"/>
      <c r="D351" s="102"/>
      <c r="E351" s="102"/>
      <c r="F351" s="102"/>
      <c r="G351" s="102"/>
      <c r="H351" s="102"/>
      <c r="I351" s="102"/>
      <c r="J351" s="102"/>
      <c r="K351" s="102"/>
      <c r="L351" s="102"/>
      <c r="M351" s="102"/>
      <c r="N351" s="102"/>
      <c r="O351" s="102"/>
    </row>
    <row r="352" customFormat="false" ht="15" hidden="false" customHeight="true" outlineLevel="0" collapsed="false">
      <c r="A352" s="102"/>
      <c r="B352" s="102"/>
      <c r="C352" s="102"/>
      <c r="D352" s="102"/>
      <c r="E352" s="102"/>
      <c r="F352" s="102"/>
      <c r="G352" s="102"/>
      <c r="H352" s="102"/>
      <c r="I352" s="102"/>
      <c r="J352" s="102"/>
      <c r="K352" s="102"/>
      <c r="L352" s="102"/>
      <c r="M352" s="102"/>
      <c r="N352" s="102"/>
      <c r="O352" s="102"/>
    </row>
    <row r="353" customFormat="false" ht="15" hidden="false" customHeight="true" outlineLevel="0" collapsed="false">
      <c r="A353" s="102"/>
      <c r="B353" s="102"/>
      <c r="C353" s="102"/>
      <c r="D353" s="102"/>
      <c r="E353" s="102"/>
      <c r="F353" s="102"/>
      <c r="G353" s="102"/>
      <c r="H353" s="102"/>
      <c r="I353" s="102"/>
      <c r="J353" s="102"/>
      <c r="K353" s="102"/>
      <c r="L353" s="102"/>
      <c r="M353" s="102"/>
      <c r="N353" s="102"/>
      <c r="O353" s="102"/>
    </row>
    <row r="354" customFormat="false" ht="15" hidden="false" customHeight="true" outlineLevel="0" collapsed="false">
      <c r="A354" s="102"/>
      <c r="B354" s="102"/>
      <c r="C354" s="102"/>
      <c r="D354" s="102"/>
      <c r="E354" s="102"/>
      <c r="F354" s="102"/>
      <c r="G354" s="102"/>
      <c r="H354" s="102"/>
      <c r="I354" s="102"/>
      <c r="J354" s="102"/>
      <c r="K354" s="102"/>
      <c r="L354" s="102"/>
      <c r="M354" s="102"/>
      <c r="N354" s="102"/>
      <c r="O354" s="102"/>
    </row>
    <row r="355" customFormat="false" ht="15" hidden="false" customHeight="true" outlineLevel="0" collapsed="false">
      <c r="A355" s="102"/>
      <c r="B355" s="102"/>
      <c r="C355" s="102"/>
      <c r="D355" s="102"/>
      <c r="E355" s="102"/>
      <c r="F355" s="102"/>
      <c r="G355" s="102"/>
      <c r="H355" s="102"/>
      <c r="I355" s="102"/>
      <c r="J355" s="102"/>
      <c r="K355" s="102"/>
      <c r="L355" s="102"/>
      <c r="M355" s="102"/>
      <c r="N355" s="102"/>
      <c r="O355" s="102"/>
    </row>
    <row r="356" customFormat="false" ht="15" hidden="false" customHeight="true" outlineLevel="0" collapsed="false">
      <c r="A356" s="102"/>
      <c r="B356" s="102"/>
      <c r="C356" s="102"/>
      <c r="D356" s="102"/>
      <c r="E356" s="102"/>
      <c r="F356" s="102"/>
      <c r="G356" s="102"/>
      <c r="H356" s="102"/>
      <c r="I356" s="102"/>
      <c r="J356" s="102"/>
      <c r="K356" s="102"/>
      <c r="L356" s="102"/>
      <c r="M356" s="102"/>
      <c r="N356" s="102"/>
      <c r="O356" s="102"/>
    </row>
    <row r="357" customFormat="false" ht="15" hidden="false" customHeight="true" outlineLevel="0" collapsed="false">
      <c r="A357" s="102"/>
      <c r="B357" s="102"/>
      <c r="C357" s="102"/>
      <c r="D357" s="102"/>
      <c r="E357" s="102"/>
      <c r="F357" s="102"/>
      <c r="G357" s="102"/>
      <c r="H357" s="102"/>
      <c r="I357" s="102"/>
      <c r="J357" s="102"/>
      <c r="K357" s="102"/>
      <c r="L357" s="102"/>
      <c r="M357" s="102"/>
      <c r="N357" s="102"/>
      <c r="O357" s="102"/>
    </row>
    <row r="358" customFormat="false" ht="15" hidden="false" customHeight="true" outlineLevel="0" collapsed="false">
      <c r="A358" s="102"/>
      <c r="B358" s="102"/>
      <c r="C358" s="102"/>
      <c r="D358" s="102"/>
      <c r="E358" s="102"/>
      <c r="F358" s="102"/>
      <c r="G358" s="102"/>
      <c r="H358" s="102"/>
      <c r="I358" s="102"/>
      <c r="J358" s="102"/>
      <c r="K358" s="102"/>
      <c r="L358" s="102"/>
      <c r="M358" s="102"/>
      <c r="N358" s="102"/>
      <c r="O358" s="102"/>
    </row>
    <row r="359" customFormat="false" ht="15" hidden="false" customHeight="true" outlineLevel="0" collapsed="false">
      <c r="A359" s="102"/>
      <c r="B359" s="102"/>
      <c r="C359" s="102"/>
      <c r="D359" s="102"/>
      <c r="E359" s="102"/>
      <c r="F359" s="102"/>
      <c r="G359" s="102"/>
      <c r="H359" s="102"/>
      <c r="I359" s="102"/>
      <c r="J359" s="102"/>
      <c r="K359" s="102"/>
      <c r="L359" s="102"/>
      <c r="M359" s="102"/>
      <c r="N359" s="102"/>
      <c r="O359" s="102"/>
    </row>
    <row r="360" customFormat="false" ht="15" hidden="false" customHeight="true" outlineLevel="0" collapsed="false">
      <c r="A360" s="102"/>
      <c r="B360" s="102"/>
      <c r="C360" s="102"/>
      <c r="D360" s="102"/>
      <c r="E360" s="102"/>
      <c r="F360" s="102"/>
      <c r="G360" s="102"/>
      <c r="H360" s="102"/>
      <c r="I360" s="102"/>
      <c r="J360" s="102"/>
      <c r="K360" s="102"/>
      <c r="L360" s="102"/>
      <c r="M360" s="102"/>
      <c r="N360" s="102"/>
      <c r="O360" s="102"/>
    </row>
    <row r="361" customFormat="false" ht="15" hidden="false" customHeight="true" outlineLevel="0" collapsed="false">
      <c r="A361" s="102"/>
      <c r="B361" s="102"/>
      <c r="C361" s="102"/>
      <c r="D361" s="102"/>
      <c r="E361" s="102"/>
      <c r="F361" s="102"/>
      <c r="G361" s="102"/>
      <c r="H361" s="102"/>
      <c r="I361" s="102"/>
      <c r="J361" s="102"/>
      <c r="K361" s="102"/>
      <c r="L361" s="102"/>
      <c r="M361" s="102"/>
      <c r="N361" s="102"/>
      <c r="O361" s="102"/>
    </row>
    <row r="362" customFormat="false" ht="15" hidden="false" customHeight="true" outlineLevel="0" collapsed="false">
      <c r="A362" s="102"/>
      <c r="B362" s="102"/>
      <c r="C362" s="102"/>
      <c r="D362" s="102"/>
      <c r="E362" s="102"/>
      <c r="F362" s="102"/>
      <c r="G362" s="102"/>
      <c r="H362" s="102"/>
      <c r="I362" s="102"/>
      <c r="J362" s="102"/>
      <c r="K362" s="102"/>
      <c r="L362" s="102"/>
      <c r="M362" s="102"/>
      <c r="N362" s="102"/>
      <c r="O362" s="102"/>
    </row>
    <row r="363" customFormat="false" ht="15" hidden="false" customHeight="true" outlineLevel="0" collapsed="false">
      <c r="A363" s="102"/>
      <c r="B363" s="102"/>
      <c r="C363" s="102"/>
      <c r="D363" s="102"/>
      <c r="E363" s="102"/>
      <c r="F363" s="102"/>
      <c r="G363" s="102"/>
      <c r="H363" s="102"/>
      <c r="I363" s="102"/>
      <c r="J363" s="102"/>
      <c r="K363" s="102"/>
      <c r="L363" s="102"/>
      <c r="M363" s="102"/>
      <c r="N363" s="102"/>
      <c r="O363" s="102"/>
    </row>
    <row r="364" customFormat="false" ht="15" hidden="false" customHeight="true" outlineLevel="0" collapsed="false">
      <c r="A364" s="102"/>
      <c r="B364" s="102"/>
      <c r="C364" s="102"/>
      <c r="D364" s="102"/>
      <c r="E364" s="102"/>
      <c r="F364" s="102"/>
      <c r="G364" s="102"/>
      <c r="H364" s="102"/>
      <c r="I364" s="102"/>
      <c r="J364" s="102"/>
      <c r="K364" s="102"/>
      <c r="L364" s="102"/>
      <c r="M364" s="102"/>
      <c r="N364" s="102"/>
      <c r="O364" s="102"/>
    </row>
    <row r="365" customFormat="false" ht="15" hidden="false" customHeight="true" outlineLevel="0" collapsed="false">
      <c r="A365" s="102"/>
      <c r="B365" s="102"/>
      <c r="C365" s="102"/>
      <c r="D365" s="102"/>
      <c r="E365" s="102"/>
      <c r="F365" s="102"/>
      <c r="G365" s="102"/>
      <c r="H365" s="102"/>
      <c r="I365" s="102"/>
      <c r="J365" s="102"/>
      <c r="K365" s="102"/>
      <c r="L365" s="102"/>
      <c r="M365" s="102"/>
      <c r="N365" s="102"/>
      <c r="O365" s="102"/>
    </row>
    <row r="366" customFormat="false" ht="15" hidden="false" customHeight="true" outlineLevel="0" collapsed="false">
      <c r="A366" s="102"/>
      <c r="B366" s="102"/>
      <c r="C366" s="102"/>
      <c r="D366" s="102"/>
      <c r="E366" s="102"/>
      <c r="F366" s="102"/>
      <c r="G366" s="102"/>
      <c r="H366" s="102"/>
      <c r="I366" s="102"/>
      <c r="J366" s="102"/>
      <c r="K366" s="102"/>
      <c r="L366" s="102"/>
      <c r="M366" s="102"/>
      <c r="N366" s="102"/>
      <c r="O366" s="102"/>
    </row>
    <row r="367" customFormat="false" ht="15" hidden="false" customHeight="true" outlineLevel="0" collapsed="false">
      <c r="A367" s="102"/>
      <c r="B367" s="102"/>
      <c r="C367" s="102"/>
      <c r="D367" s="102"/>
      <c r="E367" s="102"/>
      <c r="F367" s="102"/>
      <c r="G367" s="102"/>
      <c r="H367" s="102"/>
      <c r="I367" s="102"/>
      <c r="J367" s="102"/>
      <c r="K367" s="102"/>
      <c r="L367" s="102"/>
      <c r="M367" s="102"/>
      <c r="N367" s="102"/>
      <c r="O367" s="102"/>
    </row>
    <row r="368" customFormat="false" ht="15" hidden="false" customHeight="true" outlineLevel="0" collapsed="false">
      <c r="A368" s="102"/>
      <c r="B368" s="102"/>
      <c r="C368" s="102"/>
      <c r="D368" s="102"/>
      <c r="E368" s="102"/>
      <c r="F368" s="102"/>
      <c r="G368" s="102"/>
      <c r="H368" s="102"/>
      <c r="I368" s="102"/>
      <c r="J368" s="102"/>
      <c r="K368" s="102"/>
      <c r="L368" s="102"/>
      <c r="M368" s="102"/>
      <c r="N368" s="102"/>
      <c r="O368" s="102"/>
    </row>
    <row r="369" customFormat="false" ht="15" hidden="false" customHeight="true" outlineLevel="0" collapsed="false">
      <c r="A369" s="102"/>
      <c r="B369" s="102"/>
      <c r="C369" s="102"/>
      <c r="D369" s="102"/>
      <c r="E369" s="102"/>
      <c r="F369" s="102"/>
      <c r="G369" s="102"/>
      <c r="H369" s="102"/>
      <c r="I369" s="102"/>
      <c r="J369" s="102"/>
      <c r="K369" s="102"/>
      <c r="L369" s="102"/>
      <c r="M369" s="102"/>
      <c r="N369" s="102"/>
      <c r="O369" s="102"/>
    </row>
    <row r="370" customFormat="false" ht="15" hidden="false" customHeight="true" outlineLevel="0" collapsed="false">
      <c r="A370" s="102"/>
      <c r="B370" s="102"/>
      <c r="C370" s="102"/>
      <c r="D370" s="102"/>
      <c r="E370" s="102"/>
      <c r="F370" s="102"/>
      <c r="G370" s="102"/>
      <c r="H370" s="102"/>
      <c r="I370" s="102"/>
      <c r="J370" s="102"/>
      <c r="K370" s="102"/>
      <c r="L370" s="102"/>
      <c r="M370" s="102"/>
      <c r="N370" s="102"/>
      <c r="O370" s="102"/>
    </row>
    <row r="371" customFormat="false" ht="15" hidden="false" customHeight="true" outlineLevel="0" collapsed="false">
      <c r="A371" s="102"/>
      <c r="B371" s="102"/>
      <c r="C371" s="102"/>
      <c r="D371" s="102"/>
      <c r="E371" s="102"/>
      <c r="F371" s="102"/>
      <c r="G371" s="102"/>
      <c r="H371" s="102"/>
      <c r="I371" s="102"/>
      <c r="J371" s="102"/>
      <c r="K371" s="102"/>
      <c r="L371" s="102"/>
      <c r="M371" s="102"/>
      <c r="N371" s="102"/>
      <c r="O371" s="102"/>
    </row>
    <row r="372" customFormat="false" ht="15" hidden="false" customHeight="true" outlineLevel="0" collapsed="false">
      <c r="A372" s="102"/>
      <c r="B372" s="102"/>
      <c r="C372" s="102"/>
      <c r="D372" s="102"/>
      <c r="E372" s="102"/>
      <c r="F372" s="102"/>
      <c r="G372" s="102"/>
      <c r="H372" s="102"/>
      <c r="I372" s="102"/>
      <c r="J372" s="102"/>
      <c r="K372" s="102"/>
      <c r="L372" s="102"/>
      <c r="M372" s="102"/>
      <c r="N372" s="102"/>
      <c r="O372" s="102"/>
    </row>
    <row r="373" customFormat="false" ht="15" hidden="false" customHeight="true" outlineLevel="0" collapsed="false">
      <c r="A373" s="102"/>
      <c r="B373" s="102"/>
      <c r="C373" s="102"/>
      <c r="D373" s="102"/>
      <c r="E373" s="102"/>
      <c r="F373" s="102"/>
      <c r="G373" s="102"/>
      <c r="H373" s="102"/>
      <c r="I373" s="102"/>
      <c r="J373" s="102"/>
      <c r="K373" s="102"/>
      <c r="L373" s="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c r="L374" s="102"/>
      <c r="M374" s="102"/>
      <c r="N374" s="102"/>
      <c r="O374" s="102"/>
    </row>
    <row r="375" customFormat="false" ht="15" hidden="false" customHeight="true" outlineLevel="0" collapsed="false">
      <c r="A375" s="102"/>
      <c r="B375" s="102"/>
      <c r="C375" s="102"/>
      <c r="D375" s="102"/>
      <c r="E375" s="102"/>
      <c r="F375" s="102"/>
      <c r="G375" s="102"/>
      <c r="H375" s="102"/>
      <c r="I375" s="102"/>
      <c r="J375" s="102"/>
      <c r="K375" s="102"/>
      <c r="L375" s="102"/>
      <c r="M375" s="102"/>
      <c r="N375" s="102"/>
      <c r="O375" s="102"/>
    </row>
    <row r="376" customFormat="false" ht="15" hidden="false" customHeight="true" outlineLevel="0" collapsed="false">
      <c r="A376" s="102"/>
      <c r="B376" s="102"/>
      <c r="C376" s="102"/>
      <c r="D376" s="102"/>
      <c r="E376" s="102"/>
      <c r="F376" s="102"/>
      <c r="G376" s="102"/>
      <c r="H376" s="102"/>
      <c r="I376" s="102"/>
      <c r="J376" s="102"/>
      <c r="K376" s="102"/>
      <c r="L376" s="102"/>
      <c r="M376" s="102"/>
      <c r="N376" s="102"/>
      <c r="O376" s="102"/>
    </row>
    <row r="377" customFormat="false" ht="15" hidden="false" customHeight="true" outlineLevel="0" collapsed="false">
      <c r="A377" s="102"/>
      <c r="B377" s="102"/>
      <c r="C377" s="102"/>
      <c r="D377" s="102"/>
      <c r="E377" s="102"/>
      <c r="F377" s="102"/>
      <c r="G377" s="102"/>
      <c r="H377" s="102"/>
      <c r="I377" s="102"/>
      <c r="J377" s="102"/>
      <c r="K377" s="102"/>
      <c r="L377" s="102"/>
      <c r="M377" s="102"/>
      <c r="N377" s="102"/>
      <c r="O377" s="102"/>
    </row>
    <row r="378" customFormat="false" ht="15" hidden="false" customHeight="true" outlineLevel="0" collapsed="false">
      <c r="A378" s="102"/>
      <c r="B378" s="102"/>
      <c r="C378" s="102"/>
      <c r="D378" s="102"/>
      <c r="E378" s="102"/>
      <c r="F378" s="102"/>
      <c r="G378" s="102"/>
      <c r="H378" s="102"/>
      <c r="I378" s="102"/>
      <c r="J378" s="102"/>
      <c r="K378" s="102"/>
      <c r="L378" s="102"/>
      <c r="M378" s="102"/>
      <c r="N378" s="102"/>
      <c r="O378" s="102"/>
    </row>
    <row r="379" customFormat="false" ht="15" hidden="false" customHeight="true" outlineLevel="0" collapsed="false">
      <c r="A379" s="102"/>
      <c r="B379" s="102"/>
      <c r="C379" s="102"/>
      <c r="D379" s="102"/>
      <c r="E379" s="102"/>
      <c r="F379" s="102"/>
      <c r="G379" s="102"/>
      <c r="H379" s="102"/>
      <c r="I379" s="102"/>
      <c r="J379" s="102"/>
      <c r="K379" s="102"/>
      <c r="L379" s="102"/>
      <c r="M379" s="102"/>
      <c r="N379" s="102"/>
      <c r="O379" s="102"/>
    </row>
    <row r="380" customFormat="false" ht="15" hidden="false" customHeight="true" outlineLevel="0" collapsed="false">
      <c r="A380" s="102"/>
      <c r="B380" s="102"/>
      <c r="C380" s="102"/>
      <c r="D380" s="102"/>
      <c r="E380" s="102"/>
      <c r="F380" s="102"/>
      <c r="G380" s="102"/>
      <c r="H380" s="102"/>
      <c r="I380" s="102"/>
      <c r="J380" s="102"/>
      <c r="K380" s="102"/>
      <c r="L380" s="102"/>
      <c r="M380" s="102"/>
      <c r="N380" s="102"/>
      <c r="O380" s="102"/>
    </row>
    <row r="381" customFormat="false" ht="15" hidden="false" customHeight="true" outlineLevel="0" collapsed="false">
      <c r="A381" s="102"/>
      <c r="B381" s="102"/>
      <c r="C381" s="102"/>
      <c r="D381" s="102"/>
      <c r="E381" s="102"/>
      <c r="F381" s="102"/>
      <c r="G381" s="102"/>
      <c r="H381" s="102"/>
      <c r="I381" s="102"/>
      <c r="J381" s="102"/>
      <c r="K381" s="102"/>
      <c r="L381" s="102"/>
      <c r="M381" s="102"/>
      <c r="N381" s="102"/>
      <c r="O381" s="102"/>
    </row>
    <row r="382" customFormat="false" ht="15" hidden="false" customHeight="true" outlineLevel="0" collapsed="false">
      <c r="A382" s="102"/>
      <c r="B382" s="102"/>
      <c r="C382" s="102"/>
      <c r="D382" s="102"/>
      <c r="E382" s="102"/>
      <c r="F382" s="102"/>
      <c r="G382" s="102"/>
      <c r="H382" s="102"/>
      <c r="I382" s="102"/>
      <c r="J382" s="102"/>
      <c r="K382" s="102"/>
      <c r="L382" s="102"/>
      <c r="M382" s="102"/>
      <c r="N382" s="102"/>
      <c r="O382" s="102"/>
    </row>
    <row r="383" customFormat="false" ht="15" hidden="false" customHeight="true" outlineLevel="0" collapsed="false">
      <c r="A383" s="102"/>
      <c r="B383" s="102"/>
      <c r="C383" s="102"/>
      <c r="D383" s="102"/>
      <c r="E383" s="102"/>
      <c r="F383" s="102"/>
      <c r="G383" s="102"/>
      <c r="H383" s="102"/>
      <c r="I383" s="102"/>
      <c r="J383" s="102"/>
      <c r="K383" s="102"/>
      <c r="L383" s="102"/>
      <c r="M383" s="102"/>
      <c r="N383" s="102"/>
      <c r="O383" s="102"/>
    </row>
    <row r="384" customFormat="false" ht="15" hidden="false" customHeight="true" outlineLevel="0" collapsed="false">
      <c r="A384" s="102"/>
      <c r="B384" s="102"/>
      <c r="C384" s="102"/>
      <c r="D384" s="102"/>
      <c r="E384" s="102"/>
      <c r="F384" s="102"/>
      <c r="G384" s="102"/>
      <c r="H384" s="102"/>
      <c r="I384" s="102"/>
      <c r="J384" s="102"/>
      <c r="K384" s="102"/>
      <c r="L384" s="102"/>
      <c r="M384" s="102"/>
      <c r="N384" s="102"/>
      <c r="O384" s="102"/>
    </row>
    <row r="385" customFormat="false" ht="15" hidden="false" customHeight="true" outlineLevel="0" collapsed="false">
      <c r="A385" s="102"/>
      <c r="B385" s="102"/>
      <c r="C385" s="102"/>
      <c r="D385" s="102"/>
      <c r="E385" s="102"/>
      <c r="F385" s="102"/>
      <c r="G385" s="102"/>
      <c r="H385" s="102"/>
      <c r="I385" s="102"/>
      <c r="J385" s="102"/>
      <c r="K385" s="102"/>
      <c r="L385" s="102"/>
      <c r="M385" s="102"/>
      <c r="N385" s="102"/>
      <c r="O385" s="102"/>
    </row>
    <row r="386" customFormat="false" ht="15" hidden="false" customHeight="true" outlineLevel="0" collapsed="false">
      <c r="A386" s="102"/>
      <c r="B386" s="102"/>
      <c r="C386" s="102"/>
      <c r="D386" s="102"/>
      <c r="E386" s="102"/>
      <c r="F386" s="102"/>
      <c r="G386" s="102"/>
      <c r="H386" s="102"/>
      <c r="I386" s="102"/>
      <c r="J386" s="102"/>
      <c r="K386" s="102"/>
      <c r="L386" s="102"/>
      <c r="M386" s="102"/>
      <c r="N386" s="102"/>
      <c r="O386" s="102"/>
    </row>
    <row r="387" customFormat="false" ht="15" hidden="false" customHeight="true" outlineLevel="0" collapsed="false">
      <c r="A387" s="102"/>
      <c r="B387" s="102"/>
      <c r="C387" s="102"/>
      <c r="D387" s="102"/>
      <c r="E387" s="102"/>
      <c r="F387" s="102"/>
      <c r="G387" s="102"/>
      <c r="H387" s="102"/>
      <c r="I387" s="102"/>
      <c r="J387" s="102"/>
      <c r="K387" s="102"/>
      <c r="L387" s="102"/>
      <c r="M387" s="102"/>
      <c r="N387" s="102"/>
      <c r="O387" s="102"/>
    </row>
    <row r="388" customFormat="false" ht="15" hidden="false" customHeight="true" outlineLevel="0" collapsed="false">
      <c r="A388" s="102"/>
      <c r="B388" s="102"/>
      <c r="C388" s="102"/>
      <c r="D388" s="102"/>
      <c r="E388" s="102"/>
      <c r="F388" s="102"/>
      <c r="G388" s="102"/>
      <c r="H388" s="102"/>
      <c r="I388" s="102"/>
      <c r="J388" s="102"/>
      <c r="K388" s="102"/>
      <c r="L388" s="102"/>
      <c r="M388" s="102"/>
      <c r="N388" s="102"/>
      <c r="O388" s="102"/>
    </row>
    <row r="389" customFormat="false" ht="15" hidden="false" customHeight="true" outlineLevel="0" collapsed="false">
      <c r="A389" s="102"/>
      <c r="B389" s="102"/>
      <c r="C389" s="102"/>
      <c r="D389" s="102"/>
      <c r="E389" s="102"/>
      <c r="F389" s="102"/>
      <c r="G389" s="102"/>
      <c r="H389" s="102"/>
      <c r="I389" s="102"/>
      <c r="J389" s="102"/>
      <c r="K389" s="102"/>
      <c r="L389" s="102"/>
      <c r="M389" s="102"/>
      <c r="N389" s="102"/>
      <c r="O389" s="102"/>
    </row>
    <row r="390" customFormat="false" ht="15" hidden="false" customHeight="true" outlineLevel="0" collapsed="false">
      <c r="A390" s="102"/>
      <c r="B390" s="102"/>
      <c r="C390" s="102"/>
      <c r="D390" s="102"/>
      <c r="E390" s="102"/>
      <c r="F390" s="102"/>
      <c r="G390" s="102"/>
      <c r="H390" s="102"/>
      <c r="I390" s="102"/>
      <c r="J390" s="102"/>
      <c r="K390" s="102"/>
      <c r="L390" s="102"/>
      <c r="M390" s="102"/>
      <c r="N390" s="102"/>
      <c r="O390" s="102"/>
    </row>
    <row r="391" customFormat="false" ht="15" hidden="false" customHeight="true" outlineLevel="0" collapsed="false">
      <c r="A391" s="102"/>
      <c r="B391" s="102"/>
      <c r="C391" s="102"/>
      <c r="D391" s="102"/>
      <c r="E391" s="102"/>
      <c r="F391" s="102"/>
      <c r="G391" s="102"/>
      <c r="H391" s="102"/>
      <c r="I391" s="102"/>
      <c r="J391" s="102"/>
      <c r="K391" s="102"/>
      <c r="L391" s="102"/>
      <c r="M391" s="102"/>
      <c r="N391" s="102"/>
      <c r="O391" s="102"/>
    </row>
    <row r="392" customFormat="false" ht="15" hidden="false" customHeight="true" outlineLevel="0" collapsed="false">
      <c r="A392" s="102"/>
      <c r="B392" s="102"/>
      <c r="C392" s="102"/>
      <c r="D392" s="102"/>
      <c r="E392" s="102"/>
      <c r="F392" s="102"/>
      <c r="G392" s="102"/>
      <c r="H392" s="102"/>
      <c r="I392" s="102"/>
      <c r="J392" s="102"/>
      <c r="K392" s="102"/>
      <c r="L392" s="102"/>
      <c r="M392" s="102"/>
      <c r="N392" s="102"/>
      <c r="O392" s="102"/>
    </row>
    <row r="393" customFormat="false" ht="15" hidden="false" customHeight="true" outlineLevel="0" collapsed="false">
      <c r="A393" s="102"/>
      <c r="B393" s="102"/>
      <c r="C393" s="102"/>
      <c r="D393" s="102"/>
      <c r="E393" s="102"/>
      <c r="F393" s="102"/>
      <c r="G393" s="102"/>
      <c r="H393" s="102"/>
      <c r="I393" s="102"/>
      <c r="J393" s="102"/>
      <c r="K393" s="102"/>
      <c r="L393" s="102"/>
      <c r="M393" s="102"/>
      <c r="N393" s="102"/>
      <c r="O393" s="102"/>
    </row>
    <row r="394" customFormat="false" ht="15" hidden="false" customHeight="true" outlineLevel="0" collapsed="false">
      <c r="A394" s="102"/>
      <c r="B394" s="102"/>
      <c r="C394" s="102"/>
      <c r="D394" s="102"/>
      <c r="E394" s="102"/>
      <c r="F394" s="102"/>
      <c r="G394" s="102"/>
      <c r="H394" s="102"/>
      <c r="I394" s="102"/>
      <c r="J394" s="102"/>
      <c r="K394" s="102"/>
      <c r="L394" s="102"/>
      <c r="M394" s="102"/>
      <c r="N394" s="102"/>
      <c r="O394" s="102"/>
    </row>
    <row r="395" customFormat="false" ht="15" hidden="false" customHeight="true" outlineLevel="0" collapsed="false">
      <c r="A395" s="102"/>
      <c r="B395" s="102"/>
      <c r="C395" s="102"/>
      <c r="D395" s="102"/>
      <c r="E395" s="102"/>
      <c r="F395" s="102"/>
      <c r="G395" s="102"/>
      <c r="H395" s="102"/>
      <c r="I395" s="102"/>
      <c r="J395" s="102"/>
      <c r="K395" s="102"/>
      <c r="L395" s="102"/>
      <c r="M395" s="102"/>
      <c r="N395" s="102"/>
      <c r="O395" s="102"/>
    </row>
    <row r="396" customFormat="false" ht="15" hidden="false" customHeight="true" outlineLevel="0" collapsed="false">
      <c r="A396" s="102"/>
      <c r="B396" s="102"/>
      <c r="C396" s="102"/>
      <c r="D396" s="102"/>
      <c r="E396" s="102"/>
      <c r="F396" s="102"/>
      <c r="G396" s="102"/>
      <c r="H396" s="102"/>
      <c r="I396" s="102"/>
      <c r="J396" s="102"/>
      <c r="K396" s="102"/>
      <c r="L396" s="102"/>
      <c r="M396" s="102"/>
      <c r="N396" s="102"/>
      <c r="O396" s="102"/>
    </row>
    <row r="397" customFormat="false" ht="15" hidden="false" customHeight="true" outlineLevel="0" collapsed="false">
      <c r="A397" s="102"/>
      <c r="B397" s="102"/>
      <c r="C397" s="102"/>
      <c r="D397" s="102"/>
      <c r="E397" s="102"/>
      <c r="F397" s="102"/>
      <c r="G397" s="102"/>
      <c r="H397" s="102"/>
      <c r="I397" s="102"/>
      <c r="J397" s="102"/>
      <c r="K397" s="102"/>
      <c r="L397" s="102"/>
      <c r="M397" s="102"/>
      <c r="N397" s="102"/>
      <c r="O397" s="102"/>
    </row>
    <row r="398" customFormat="false" ht="15" hidden="false" customHeight="true" outlineLevel="0" collapsed="false">
      <c r="A398" s="102"/>
      <c r="B398" s="102"/>
      <c r="C398" s="102"/>
      <c r="D398" s="102"/>
      <c r="E398" s="102"/>
      <c r="F398" s="102"/>
      <c r="G398" s="102"/>
      <c r="H398" s="102"/>
      <c r="I398" s="102"/>
      <c r="J398" s="102"/>
      <c r="K398" s="102"/>
      <c r="L398" s="102"/>
      <c r="M398" s="102"/>
      <c r="N398" s="102"/>
      <c r="O398" s="102"/>
    </row>
    <row r="399" customFormat="false" ht="15" hidden="false" customHeight="true" outlineLevel="0" collapsed="false">
      <c r="A399" s="102"/>
      <c r="B399" s="102"/>
      <c r="C399" s="102"/>
      <c r="D399" s="102"/>
      <c r="E399" s="102"/>
      <c r="F399" s="102"/>
      <c r="G399" s="102"/>
      <c r="H399" s="102"/>
      <c r="I399" s="102"/>
      <c r="J399" s="102"/>
      <c r="K399" s="102"/>
      <c r="L399" s="102"/>
      <c r="M399" s="102"/>
      <c r="N399" s="102"/>
      <c r="O399" s="102"/>
    </row>
    <row r="400" customFormat="false" ht="15" hidden="false" customHeight="true" outlineLevel="0" collapsed="false">
      <c r="A400" s="102"/>
      <c r="B400" s="102"/>
      <c r="C400" s="102"/>
      <c r="D400" s="102"/>
      <c r="E400" s="102"/>
      <c r="F400" s="102"/>
      <c r="G400" s="102"/>
      <c r="H400" s="102"/>
      <c r="I400" s="102"/>
      <c r="J400" s="102"/>
      <c r="K400" s="102"/>
      <c r="L400" s="102"/>
      <c r="M400" s="102"/>
      <c r="N400" s="102"/>
      <c r="O400" s="102"/>
    </row>
  </sheetData>
  <mergeCells count="46">
    <mergeCell ref="B2:J2"/>
    <mergeCell ref="D3:F3"/>
    <mergeCell ref="C6:G6"/>
    <mergeCell ref="C7:G7"/>
    <mergeCell ref="C8:G8"/>
    <mergeCell ref="B11:H12"/>
    <mergeCell ref="B13:H13"/>
    <mergeCell ref="B14:H16"/>
    <mergeCell ref="B17:H19"/>
    <mergeCell ref="B22:D22"/>
    <mergeCell ref="E22:H22"/>
    <mergeCell ref="B23:D23"/>
    <mergeCell ref="E23:H23"/>
    <mergeCell ref="B24:D24"/>
    <mergeCell ref="E24:H24"/>
    <mergeCell ref="B25:H25"/>
    <mergeCell ref="B33:H34"/>
    <mergeCell ref="B36:H36"/>
    <mergeCell ref="B37:H37"/>
    <mergeCell ref="B38:H39"/>
    <mergeCell ref="B48:H48"/>
    <mergeCell ref="C49:D49"/>
    <mergeCell ref="C78:G78"/>
    <mergeCell ref="B86:H86"/>
    <mergeCell ref="B87:H87"/>
    <mergeCell ref="B88:H88"/>
    <mergeCell ref="B91:H91"/>
    <mergeCell ref="C105:F105"/>
    <mergeCell ref="B113:H113"/>
    <mergeCell ref="B114:H114"/>
    <mergeCell ref="B115:H115"/>
    <mergeCell ref="B118:H121"/>
    <mergeCell ref="B123:H123"/>
    <mergeCell ref="C156:G156"/>
    <mergeCell ref="D158:E158"/>
    <mergeCell ref="D159:E159"/>
    <mergeCell ref="D160:E160"/>
    <mergeCell ref="D161:E161"/>
    <mergeCell ref="B164:H164"/>
    <mergeCell ref="B165:H165"/>
    <mergeCell ref="B166:H166"/>
    <mergeCell ref="B167:H167"/>
    <mergeCell ref="B170:E170"/>
    <mergeCell ref="B171:E171"/>
    <mergeCell ref="B172:E172"/>
    <mergeCell ref="B173:E173"/>
  </mergeCells>
  <hyperlinks>
    <hyperlink ref="B3" location="'N-03 Index DMAIC'!A1" display="← Back to Index"/>
    <hyperlink ref="E28" location="'E-06 Data Collection Plan'!A1" display="E-06  Operational Definitions and Data Collection Plan"/>
    <hyperlink ref="E29" location="'E-05 Sampling Subgroups'!A1" display="E-05  Sampling Strategies and Rational Subgrouping"/>
    <hyperlink ref="E30" location="'E-59 Gage R and R'!A1" display="E-59  Gage R&amp;R: ANOVA and Range Methods"/>
    <hyperlink ref="B177" location="'E-59 Gage R and R'!A1" display="E-59  Gage R&amp;R: ANOVA and Range Methods"/>
    <hyperlink ref="C177" location="'E-49 I-MR Chart'!A1" display="E-49  Individuals and Moving Range Chart"/>
    <hyperlink ref="D177" location="'E-06 Data Collection Plan'!A1" display="E-06  Operational Definitions and Data Collection Pl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2"/>
    <col collapsed="false" customWidth="true" hidden="false" outlineLevel="0" max="10" min="4"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6605</v>
      </c>
      <c r="C2" s="148"/>
      <c r="D2" s="148"/>
      <c r="E2" s="148"/>
      <c r="F2" s="148"/>
      <c r="G2" s="148"/>
      <c r="H2" s="148"/>
      <c r="I2" s="148"/>
      <c r="J2" s="148"/>
      <c r="K2" s="149" t="s">
        <v>2864</v>
      </c>
    </row>
    <row r="3" customFormat="false" ht="42" hidden="false" customHeight="true" outlineLevel="0" collapsed="false">
      <c r="B3" s="150" t="s">
        <v>3</v>
      </c>
      <c r="D3" s="151" t="s">
        <v>6606</v>
      </c>
      <c r="E3" s="151"/>
      <c r="F3" s="151"/>
      <c r="G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6607</v>
      </c>
      <c r="D6" s="106"/>
    </row>
    <row r="7" customFormat="false" ht="45.75" hidden="false" customHeight="true" outlineLevel="0" collapsed="false">
      <c r="B7" s="105" t="s">
        <v>1394</v>
      </c>
      <c r="C7" s="106" t="s">
        <v>6608</v>
      </c>
      <c r="D7" s="106"/>
    </row>
    <row r="8" customFormat="false" ht="31.5" hidden="false" customHeight="true" outlineLevel="0" collapsed="false">
      <c r="B8" s="105" t="s">
        <v>1396</v>
      </c>
      <c r="C8" s="106" t="s">
        <v>6609</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6610</v>
      </c>
      <c r="C11" s="106"/>
      <c r="D11" s="106"/>
      <c r="E11" s="106"/>
      <c r="F11" s="106"/>
      <c r="G11" s="106"/>
    </row>
    <row r="12" customFormat="false" ht="10.5" hidden="false" customHeight="true" outlineLevel="0" collapsed="false">
      <c r="B12" s="106"/>
      <c r="C12" s="106"/>
      <c r="D12" s="106"/>
      <c r="E12" s="106"/>
      <c r="F12" s="106"/>
      <c r="G12" s="106"/>
    </row>
    <row r="13" customFormat="false" ht="10.5" hidden="false" customHeight="true" outlineLevel="0" collapsed="false">
      <c r="B13" s="106"/>
      <c r="C13" s="106"/>
      <c r="D13" s="106"/>
      <c r="E13" s="106"/>
      <c r="F13" s="106"/>
      <c r="G13" s="106"/>
    </row>
    <row r="14" customFormat="false" ht="15.75" hidden="false" customHeight="true" outlineLevel="0" collapsed="false">
      <c r="B14" s="106" t="s">
        <v>6611</v>
      </c>
      <c r="C14" s="106"/>
      <c r="D14" s="106"/>
      <c r="E14" s="106"/>
      <c r="F14" s="106"/>
      <c r="G14" s="106"/>
    </row>
    <row r="15" customFormat="false" ht="15.75" hidden="false" customHeight="true" outlineLevel="0" collapsed="false">
      <c r="B15" s="106"/>
      <c r="C15" s="106"/>
      <c r="D15" s="106"/>
      <c r="E15" s="106"/>
      <c r="F15" s="106"/>
      <c r="G15" s="106"/>
    </row>
    <row r="16" customFormat="false" ht="10.5" hidden="false" customHeight="true" outlineLevel="0" collapsed="false">
      <c r="B16" s="106" t="s">
        <v>6612</v>
      </c>
      <c r="C16" s="106"/>
      <c r="D16" s="106"/>
      <c r="E16" s="106"/>
      <c r="F16" s="106"/>
      <c r="G16" s="106"/>
    </row>
    <row r="17" customFormat="false" ht="10.5" hidden="false" customHeight="true" outlineLevel="0" collapsed="false">
      <c r="B17" s="106"/>
      <c r="C17" s="106"/>
      <c r="D17" s="106"/>
      <c r="E17" s="106"/>
      <c r="F17" s="106"/>
      <c r="G17" s="106"/>
    </row>
    <row r="18" customFormat="false" ht="10.5" hidden="false" customHeight="true" outlineLevel="0" collapsed="false">
      <c r="B18" s="106"/>
      <c r="C18" s="106"/>
      <c r="D18" s="106"/>
      <c r="E18" s="106"/>
      <c r="F18" s="106"/>
      <c r="G18" s="106"/>
    </row>
    <row r="19" customFormat="false" ht="15.75" hidden="false" customHeight="true" outlineLevel="0" collapsed="false">
      <c r="B19" s="106" t="s">
        <v>6613</v>
      </c>
      <c r="C19" s="106"/>
      <c r="D19" s="106"/>
      <c r="E19" s="106"/>
      <c r="F19" s="106"/>
      <c r="G19" s="106"/>
    </row>
    <row r="20" customFormat="false" ht="15.75" hidden="false" customHeight="true" outlineLevel="0" collapsed="false">
      <c r="B20" s="106"/>
      <c r="C20" s="106"/>
      <c r="D20" s="106"/>
      <c r="E20" s="106"/>
      <c r="F20" s="106"/>
      <c r="G20" s="106"/>
    </row>
    <row r="22" customFormat="false" ht="15.75" hidden="false" customHeight="true" outlineLevel="0" collapsed="false">
      <c r="B22" s="103" t="s">
        <v>1406</v>
      </c>
      <c r="C22" s="8"/>
      <c r="D22" s="8"/>
      <c r="E22" s="8"/>
      <c r="F22" s="8"/>
      <c r="G22" s="8"/>
      <c r="H22" s="8"/>
      <c r="I22" s="8"/>
      <c r="J22" s="8"/>
      <c r="K22" s="8"/>
    </row>
    <row r="23" customFormat="false" ht="17.25" hidden="false" customHeight="true" outlineLevel="0" collapsed="false">
      <c r="B23" s="107" t="s">
        <v>1407</v>
      </c>
      <c r="C23" s="107"/>
      <c r="E23" s="107" t="s">
        <v>1408</v>
      </c>
      <c r="F23" s="107"/>
      <c r="G23" s="107"/>
    </row>
    <row r="24" customFormat="false" ht="31.5" hidden="false" customHeight="true" outlineLevel="0" collapsed="false">
      <c r="B24" s="106" t="s">
        <v>6614</v>
      </c>
      <c r="C24" s="106"/>
      <c r="E24" s="106" t="s">
        <v>6615</v>
      </c>
      <c r="F24" s="106"/>
      <c r="G24" s="106"/>
    </row>
    <row r="25" customFormat="false" ht="31.5" hidden="false" customHeight="true" outlineLevel="0" collapsed="false">
      <c r="B25" s="106" t="s">
        <v>6616</v>
      </c>
      <c r="C25" s="106"/>
      <c r="E25" s="106" t="s">
        <v>6617</v>
      </c>
      <c r="F25" s="106"/>
      <c r="G25" s="106"/>
    </row>
    <row r="26" customFormat="false" ht="31.5" hidden="false" customHeight="true" outlineLevel="0" collapsed="false">
      <c r="B26" s="106" t="s">
        <v>6618</v>
      </c>
      <c r="C26" s="106"/>
      <c r="E26" s="106" t="s">
        <v>6619</v>
      </c>
      <c r="F26" s="106"/>
      <c r="G26" s="106"/>
    </row>
    <row r="27" customFormat="false" ht="17.25" hidden="false" customHeight="true" outlineLevel="0" collapsed="false">
      <c r="B27" s="106" t="s">
        <v>6620</v>
      </c>
      <c r="C27" s="106"/>
      <c r="D27" s="106"/>
      <c r="E27" s="106"/>
      <c r="F27" s="106"/>
      <c r="G27" s="106"/>
    </row>
    <row r="29" customFormat="false" ht="30.75" hidden="false" customHeight="true" outlineLevel="0" collapsed="false">
      <c r="B29" s="152" t="s">
        <v>6621</v>
      </c>
      <c r="C29" s="152" t="s">
        <v>1417</v>
      </c>
      <c r="D29" s="152" t="s">
        <v>1418</v>
      </c>
      <c r="E29" s="152" t="s">
        <v>1419</v>
      </c>
    </row>
    <row r="30" customFormat="false" ht="86.25" hidden="false" customHeight="true" outlineLevel="0" collapsed="false">
      <c r="B30" s="15" t="s">
        <v>6622</v>
      </c>
      <c r="C30" s="15" t="s">
        <v>6623</v>
      </c>
      <c r="D30" s="15" t="s">
        <v>6624</v>
      </c>
      <c r="E30" s="153" t="s">
        <v>1113</v>
      </c>
    </row>
    <row r="31" customFormat="false" ht="86.25" hidden="false" customHeight="true" outlineLevel="0" collapsed="false">
      <c r="B31" s="15" t="s">
        <v>6625</v>
      </c>
      <c r="C31" s="15" t="s">
        <v>6626</v>
      </c>
      <c r="D31" s="15" t="s">
        <v>6627</v>
      </c>
      <c r="E31" s="153" t="s">
        <v>6628</v>
      </c>
    </row>
    <row r="32" customFormat="false" ht="99.75" hidden="false" customHeight="true" outlineLevel="0" collapsed="false">
      <c r="B32" s="15" t="s">
        <v>6629</v>
      </c>
      <c r="C32" s="15" t="s">
        <v>6630</v>
      </c>
      <c r="D32" s="15" t="s">
        <v>6631</v>
      </c>
      <c r="E32" s="153" t="s">
        <v>6632</v>
      </c>
    </row>
    <row r="33" customFormat="false" ht="86.25" hidden="false" customHeight="true" outlineLevel="0" collapsed="false">
      <c r="B33" s="15" t="s">
        <v>6633</v>
      </c>
      <c r="C33" s="15" t="s">
        <v>6634</v>
      </c>
      <c r="D33" s="15" t="s">
        <v>6635</v>
      </c>
      <c r="E33" s="153" t="s">
        <v>1259</v>
      </c>
    </row>
    <row r="35" customFormat="false" ht="15.75" hidden="false" customHeight="true" outlineLevel="0" collapsed="false">
      <c r="B35" s="103" t="s">
        <v>1429</v>
      </c>
      <c r="C35" s="8"/>
      <c r="D35" s="8"/>
      <c r="E35" s="8"/>
      <c r="F35" s="8"/>
      <c r="G35" s="8"/>
      <c r="H35" s="8"/>
      <c r="I35" s="8"/>
      <c r="J35" s="8"/>
      <c r="K35" s="8"/>
    </row>
    <row r="36" customFormat="false" ht="11.25" hidden="false" customHeight="true" outlineLevel="0" collapsed="false">
      <c r="B36" s="106" t="s">
        <v>6636</v>
      </c>
      <c r="C36" s="106"/>
      <c r="D36" s="106"/>
      <c r="E36" s="106"/>
      <c r="F36" s="106"/>
      <c r="G36" s="106"/>
    </row>
    <row r="37" customFormat="false" ht="11.25" hidden="false" customHeight="true" outlineLevel="0" collapsed="false">
      <c r="B37" s="106"/>
      <c r="C37" s="106"/>
      <c r="D37" s="106"/>
      <c r="E37" s="106"/>
      <c r="F37" s="106"/>
      <c r="G37" s="106"/>
    </row>
    <row r="38" customFormat="false" ht="11.25" hidden="false" customHeight="true" outlineLevel="0" collapsed="false">
      <c r="B38" s="106"/>
      <c r="C38" s="106"/>
      <c r="D38" s="106"/>
      <c r="E38" s="106"/>
      <c r="F38" s="106"/>
      <c r="G38" s="106"/>
    </row>
    <row r="39" customFormat="false" ht="11.25" hidden="false" customHeight="true" outlineLevel="0" collapsed="false">
      <c r="B39" s="106"/>
      <c r="C39" s="106"/>
      <c r="D39" s="106"/>
      <c r="E39" s="106"/>
      <c r="F39" s="106"/>
      <c r="G39" s="106"/>
    </row>
    <row r="40" customFormat="false" ht="15" hidden="false" customHeight="true" outlineLevel="0" collapsed="false">
      <c r="B40" s="122"/>
    </row>
    <row r="41" customFormat="false" ht="17.25" hidden="false" customHeight="true" outlineLevel="0" collapsed="false">
      <c r="B41" s="106" t="s">
        <v>6637</v>
      </c>
      <c r="C41" s="106"/>
      <c r="D41" s="106"/>
      <c r="E41" s="106"/>
      <c r="F41" s="106"/>
      <c r="G41" s="106"/>
    </row>
    <row r="42" customFormat="false" ht="17.25" hidden="false" customHeight="true" outlineLevel="0" collapsed="false">
      <c r="B42" s="106" t="s">
        <v>6638</v>
      </c>
      <c r="C42" s="106"/>
      <c r="D42" s="106"/>
      <c r="E42" s="106"/>
      <c r="F42" s="106"/>
      <c r="G42" s="106"/>
    </row>
    <row r="43" customFormat="false" ht="15" hidden="false" customHeight="true" outlineLevel="0" collapsed="false">
      <c r="B43" s="122"/>
    </row>
    <row r="44" customFormat="false" ht="15.75" hidden="false" customHeight="true" outlineLevel="0" collapsed="false">
      <c r="B44" s="106" t="s">
        <v>6639</v>
      </c>
      <c r="C44" s="106"/>
      <c r="D44" s="106"/>
      <c r="E44" s="106"/>
      <c r="F44" s="106"/>
      <c r="G44" s="106"/>
    </row>
    <row r="45" customFormat="false" ht="15.75" hidden="false" customHeight="true" outlineLevel="0" collapsed="false">
      <c r="B45" s="106"/>
      <c r="C45" s="106"/>
      <c r="D45" s="106"/>
      <c r="E45" s="106"/>
      <c r="F45" s="106"/>
      <c r="G45" s="106"/>
    </row>
    <row r="47" customFormat="false" ht="15.75" hidden="false" customHeight="true" outlineLevel="0" collapsed="false">
      <c r="B47" s="103" t="s">
        <v>1437</v>
      </c>
      <c r="C47" s="8"/>
      <c r="D47" s="8"/>
      <c r="E47" s="8"/>
      <c r="F47" s="8"/>
      <c r="G47" s="8"/>
      <c r="H47" s="8"/>
      <c r="I47" s="8"/>
      <c r="J47" s="8"/>
      <c r="K47" s="8"/>
    </row>
    <row r="48" customFormat="false" ht="17.25" hidden="false" customHeight="true" outlineLevel="0" collapsed="false">
      <c r="B48" s="152" t="s">
        <v>1438</v>
      </c>
      <c r="C48" s="152" t="s">
        <v>1439</v>
      </c>
      <c r="D48" s="152" t="s">
        <v>1440</v>
      </c>
      <c r="E48" s="152"/>
      <c r="F48" s="152"/>
      <c r="G48" s="152"/>
    </row>
    <row r="49" customFormat="false" ht="17.25" hidden="false" customHeight="true" outlineLevel="0" collapsed="false">
      <c r="B49" s="15" t="s">
        <v>2496</v>
      </c>
      <c r="C49" s="15" t="s">
        <v>6640</v>
      </c>
      <c r="D49" s="15" t="s">
        <v>6641</v>
      </c>
      <c r="E49" s="15"/>
      <c r="F49" s="15"/>
      <c r="G49" s="15"/>
    </row>
    <row r="50" customFormat="false" ht="17.25" hidden="false" customHeight="true" outlineLevel="0" collapsed="false">
      <c r="B50" s="15" t="s">
        <v>4372</v>
      </c>
      <c r="C50" s="15" t="s">
        <v>6642</v>
      </c>
      <c r="D50" s="15" t="s">
        <v>6643</v>
      </c>
      <c r="E50" s="15"/>
      <c r="F50" s="15"/>
      <c r="G50" s="15"/>
    </row>
    <row r="51" customFormat="false" ht="17.25" hidden="false" customHeight="true" outlineLevel="0" collapsed="false">
      <c r="B51" s="15" t="s">
        <v>6644</v>
      </c>
      <c r="C51" s="15" t="s">
        <v>6645</v>
      </c>
      <c r="D51" s="15" t="s">
        <v>6646</v>
      </c>
      <c r="E51" s="15"/>
      <c r="F51" s="15"/>
      <c r="G51" s="15"/>
    </row>
    <row r="52" customFormat="false" ht="17.25" hidden="false" customHeight="true" outlineLevel="0" collapsed="false">
      <c r="B52" s="15" t="s">
        <v>1839</v>
      </c>
      <c r="C52" s="15" t="s">
        <v>6647</v>
      </c>
      <c r="D52" s="15" t="s">
        <v>6648</v>
      </c>
      <c r="E52" s="15"/>
      <c r="F52" s="15"/>
      <c r="G52" s="15"/>
    </row>
    <row r="53" customFormat="false" ht="17.25" hidden="false" customHeight="true" outlineLevel="0" collapsed="false">
      <c r="B53" s="15" t="s">
        <v>4079</v>
      </c>
      <c r="C53" s="15" t="s">
        <v>4080</v>
      </c>
      <c r="D53" s="15" t="s">
        <v>6649</v>
      </c>
      <c r="E53" s="15"/>
      <c r="F53" s="15"/>
      <c r="G53" s="15"/>
    </row>
    <row r="55" customFormat="false" ht="15.75" hidden="false" customHeight="true" outlineLevel="0" collapsed="false">
      <c r="B55" s="103" t="s">
        <v>1454</v>
      </c>
      <c r="C55" s="8"/>
      <c r="D55" s="8"/>
      <c r="E55" s="8"/>
      <c r="F55" s="8"/>
      <c r="G55" s="8"/>
      <c r="H55" s="8"/>
      <c r="I55" s="8"/>
      <c r="J55" s="8"/>
      <c r="K55" s="8"/>
    </row>
    <row r="56" customFormat="false" ht="15.75" hidden="false" customHeight="true" outlineLevel="0" collapsed="false">
      <c r="B56" s="106" t="s">
        <v>6650</v>
      </c>
      <c r="C56" s="106"/>
      <c r="D56" s="106"/>
      <c r="E56" s="106"/>
      <c r="F56" s="106"/>
      <c r="G56" s="106"/>
    </row>
    <row r="57" customFormat="false" ht="15.75" hidden="false" customHeight="true" outlineLevel="0" collapsed="false">
      <c r="B57" s="106"/>
      <c r="C57" s="106"/>
      <c r="D57" s="106"/>
      <c r="E57" s="106"/>
      <c r="F57" s="106"/>
      <c r="G57" s="106"/>
    </row>
    <row r="58" customFormat="false" ht="17.25" hidden="false" customHeight="true" outlineLevel="0" collapsed="false">
      <c r="B58" s="106" t="s">
        <v>6651</v>
      </c>
      <c r="C58" s="106"/>
      <c r="D58" s="106"/>
      <c r="E58" s="106"/>
      <c r="F58" s="106"/>
      <c r="G58" s="106"/>
    </row>
    <row r="59" customFormat="false" ht="15" hidden="false" customHeight="true" outlineLevel="0" collapsed="false">
      <c r="B59" s="112" t="s">
        <v>85</v>
      </c>
      <c r="C59" s="154" t="s">
        <v>86</v>
      </c>
    </row>
    <row r="61" customFormat="false" ht="15" hidden="false" customHeight="true" outlineLevel="0" collapsed="false">
      <c r="B61" s="105" t="s">
        <v>6652</v>
      </c>
    </row>
    <row r="62" customFormat="false" ht="16.5" hidden="false" customHeight="true" outlineLevel="0" collapsed="false">
      <c r="B62" s="152" t="s">
        <v>6653</v>
      </c>
      <c r="C62" s="152" t="s">
        <v>6654</v>
      </c>
      <c r="D62" s="152" t="s">
        <v>6575</v>
      </c>
      <c r="E62" s="152" t="s">
        <v>6655</v>
      </c>
    </row>
    <row r="63" customFormat="false" ht="30.75" hidden="false" customHeight="true" outlineLevel="0" collapsed="false">
      <c r="B63" s="15" t="s">
        <v>6656</v>
      </c>
      <c r="C63" s="155" t="n">
        <v>1095</v>
      </c>
      <c r="D63" s="15" t="s">
        <v>6657</v>
      </c>
      <c r="E63" s="15" t="s">
        <v>6658</v>
      </c>
    </row>
    <row r="64" customFormat="false" ht="30.75" hidden="false" customHeight="true" outlineLevel="0" collapsed="false">
      <c r="B64" s="15" t="s">
        <v>6659</v>
      </c>
      <c r="C64" s="156" t="n">
        <v>45</v>
      </c>
      <c r="D64" s="15" t="s">
        <v>6660</v>
      </c>
      <c r="E64" s="15" t="s">
        <v>6661</v>
      </c>
    </row>
    <row r="66" customFormat="false" ht="17.25" hidden="false" customHeight="true" outlineLevel="0" collapsed="false">
      <c r="B66" s="107" t="s">
        <v>6662</v>
      </c>
      <c r="C66" s="107"/>
      <c r="D66" s="107"/>
      <c r="E66" s="107"/>
      <c r="F66" s="107"/>
      <c r="G66" s="107"/>
    </row>
    <row r="67" customFormat="false" ht="58.5" hidden="false" customHeight="true" outlineLevel="0" collapsed="false">
      <c r="B67" s="152" t="s">
        <v>6663</v>
      </c>
      <c r="C67" s="152" t="s">
        <v>6664</v>
      </c>
      <c r="D67" s="152" t="s">
        <v>6665</v>
      </c>
      <c r="E67" s="152" t="s">
        <v>6666</v>
      </c>
      <c r="F67" s="152" t="s">
        <v>6667</v>
      </c>
      <c r="G67" s="152" t="s">
        <v>6668</v>
      </c>
      <c r="H67" s="152" t="s">
        <v>6669</v>
      </c>
      <c r="I67" s="152" t="s">
        <v>6670</v>
      </c>
      <c r="J67" s="152" t="s">
        <v>5376</v>
      </c>
    </row>
    <row r="68" customFormat="false" ht="30.75" hidden="false" customHeight="true" outlineLevel="0" collapsed="false">
      <c r="B68" s="15" t="s">
        <v>6671</v>
      </c>
      <c r="C68" s="15" t="s">
        <v>6672</v>
      </c>
      <c r="D68" s="157" t="n">
        <v>9</v>
      </c>
      <c r="E68" s="157" t="n">
        <v>4</v>
      </c>
      <c r="F68" s="158" t="n">
        <f aca="false">D68*E68</f>
        <v>36</v>
      </c>
      <c r="G68" s="159" t="n">
        <f aca="false">F68*$C$63</f>
        <v>39420</v>
      </c>
      <c r="H68" s="159" t="n">
        <f aca="false">G68*$C$64</f>
        <v>1773900</v>
      </c>
      <c r="I68" s="160" t="n">
        <f aca="false">IFERROR(H68/SUM($H$68:$H$75),0)</f>
        <v>0.165137614678899</v>
      </c>
      <c r="J68" s="161" t="n">
        <f aca="false">RANK(H68,$H$68:$H$75,0)</f>
        <v>2</v>
      </c>
    </row>
    <row r="69" customFormat="false" ht="30.75" hidden="false" customHeight="true" outlineLevel="0" collapsed="false">
      <c r="B69" s="15" t="s">
        <v>6673</v>
      </c>
      <c r="C69" s="15" t="s">
        <v>6674</v>
      </c>
      <c r="D69" s="157" t="n">
        <v>2</v>
      </c>
      <c r="E69" s="157" t="n">
        <v>12</v>
      </c>
      <c r="F69" s="158" t="n">
        <f aca="false">D69*E69</f>
        <v>24</v>
      </c>
      <c r="G69" s="159" t="n">
        <f aca="false">F69*$C$63</f>
        <v>26280</v>
      </c>
      <c r="H69" s="159" t="n">
        <f aca="false">G69*$C$64</f>
        <v>1182600</v>
      </c>
      <c r="I69" s="160" t="n">
        <f aca="false">IFERROR(H69/SUM($H$68:$H$75),0)</f>
        <v>0.110091743119266</v>
      </c>
      <c r="J69" s="161" t="n">
        <f aca="false">RANK(H69,$H$68:$H$75,0)</f>
        <v>4</v>
      </c>
    </row>
    <row r="70" customFormat="false" ht="30.75" hidden="false" customHeight="true" outlineLevel="0" collapsed="false">
      <c r="B70" s="15" t="s">
        <v>6675</v>
      </c>
      <c r="C70" s="15" t="s">
        <v>6676</v>
      </c>
      <c r="D70" s="157" t="n">
        <v>6</v>
      </c>
      <c r="E70" s="157" t="n">
        <v>7</v>
      </c>
      <c r="F70" s="158" t="n">
        <f aca="false">D70*E70</f>
        <v>42</v>
      </c>
      <c r="G70" s="159" t="n">
        <f aca="false">F70*$C$63</f>
        <v>45990</v>
      </c>
      <c r="H70" s="159" t="n">
        <f aca="false">G70*$C$64</f>
        <v>2069550</v>
      </c>
      <c r="I70" s="160" t="n">
        <f aca="false">IFERROR(H70/SUM($H$68:$H$75),0)</f>
        <v>0.192660550458716</v>
      </c>
      <c r="J70" s="161" t="n">
        <f aca="false">RANK(H70,$H$68:$H$75,0)</f>
        <v>1</v>
      </c>
    </row>
    <row r="71" customFormat="false" ht="30.75" hidden="false" customHeight="true" outlineLevel="0" collapsed="false">
      <c r="B71" s="15" t="s">
        <v>6677</v>
      </c>
      <c r="C71" s="15" t="s">
        <v>6678</v>
      </c>
      <c r="D71" s="157" t="n">
        <v>1</v>
      </c>
      <c r="E71" s="157" t="n">
        <v>15</v>
      </c>
      <c r="F71" s="158" t="n">
        <f aca="false">D71*E71</f>
        <v>15</v>
      </c>
      <c r="G71" s="159" t="n">
        <f aca="false">F71*$C$63</f>
        <v>16425</v>
      </c>
      <c r="H71" s="159" t="n">
        <f aca="false">G71*$C$64</f>
        <v>739125</v>
      </c>
      <c r="I71" s="160" t="n">
        <f aca="false">IFERROR(H71/SUM($H$68:$H$75),0)</f>
        <v>0.0688073394495413</v>
      </c>
      <c r="J71" s="161" t="n">
        <f aca="false">RANK(H71,$H$68:$H$75,0)</f>
        <v>8</v>
      </c>
    </row>
    <row r="72" customFormat="false" ht="30.75" hidden="false" customHeight="true" outlineLevel="0" collapsed="false">
      <c r="B72" s="15" t="s">
        <v>6679</v>
      </c>
      <c r="C72" s="15" t="s">
        <v>6680</v>
      </c>
      <c r="D72" s="157" t="n">
        <v>8</v>
      </c>
      <c r="E72" s="157" t="n">
        <v>3</v>
      </c>
      <c r="F72" s="158" t="n">
        <f aca="false">D72*E72</f>
        <v>24</v>
      </c>
      <c r="G72" s="159" t="n">
        <f aca="false">F72*$C$63</f>
        <v>26280</v>
      </c>
      <c r="H72" s="159" t="n">
        <f aca="false">G72*$C$64</f>
        <v>1182600</v>
      </c>
      <c r="I72" s="160" t="n">
        <f aca="false">IFERROR(H72/SUM($H$68:$H$75),0)</f>
        <v>0.110091743119266</v>
      </c>
      <c r="J72" s="161" t="n">
        <f aca="false">RANK(H72,$H$68:$H$75,0)</f>
        <v>4</v>
      </c>
    </row>
    <row r="73" customFormat="false" ht="30.75" hidden="false" customHeight="true" outlineLevel="0" collapsed="false">
      <c r="B73" s="15" t="s">
        <v>6681</v>
      </c>
      <c r="C73" s="15" t="s">
        <v>6682</v>
      </c>
      <c r="D73" s="157" t="n">
        <v>2</v>
      </c>
      <c r="E73" s="157" t="n">
        <v>9</v>
      </c>
      <c r="F73" s="158" t="n">
        <f aca="false">D73*E73</f>
        <v>18</v>
      </c>
      <c r="G73" s="159" t="n">
        <f aca="false">F73*$C$63</f>
        <v>19710</v>
      </c>
      <c r="H73" s="159" t="n">
        <f aca="false">G73*$C$64</f>
        <v>886950</v>
      </c>
      <c r="I73" s="160" t="n">
        <f aca="false">IFERROR(H73/SUM($H$68:$H$75),0)</f>
        <v>0.0825688073394496</v>
      </c>
      <c r="J73" s="161" t="n">
        <f aca="false">RANK(H73,$H$68:$H$75,0)</f>
        <v>7</v>
      </c>
    </row>
    <row r="74" customFormat="false" ht="30.75" hidden="false" customHeight="true" outlineLevel="0" collapsed="false">
      <c r="B74" s="15" t="s">
        <v>6683</v>
      </c>
      <c r="C74" s="15" t="s">
        <v>6684</v>
      </c>
      <c r="D74" s="157" t="n">
        <v>14</v>
      </c>
      <c r="E74" s="157" t="n">
        <v>2.5</v>
      </c>
      <c r="F74" s="158" t="n">
        <f aca="false">D74*E74</f>
        <v>35</v>
      </c>
      <c r="G74" s="159" t="n">
        <f aca="false">F74*$C$63</f>
        <v>38325</v>
      </c>
      <c r="H74" s="159" t="n">
        <f aca="false">G74*$C$64</f>
        <v>1724625</v>
      </c>
      <c r="I74" s="160" t="n">
        <f aca="false">IFERROR(H74/SUM($H$68:$H$75),0)</f>
        <v>0.160550458715596</v>
      </c>
      <c r="J74" s="161" t="n">
        <f aca="false">RANK(H74,$H$68:$H$75,0)</f>
        <v>3</v>
      </c>
    </row>
    <row r="75" customFormat="false" ht="30.75" hidden="false" customHeight="true" outlineLevel="0" collapsed="false">
      <c r="B75" s="15" t="s">
        <v>6685</v>
      </c>
      <c r="C75" s="15" t="s">
        <v>6686</v>
      </c>
      <c r="D75" s="157" t="n">
        <v>4</v>
      </c>
      <c r="E75" s="157" t="n">
        <v>6</v>
      </c>
      <c r="F75" s="158" t="n">
        <f aca="false">D75*E75</f>
        <v>24</v>
      </c>
      <c r="G75" s="159" t="n">
        <f aca="false">F75*$C$63</f>
        <v>26280</v>
      </c>
      <c r="H75" s="159" t="n">
        <f aca="false">G75*$C$64</f>
        <v>1182600</v>
      </c>
      <c r="I75" s="160" t="n">
        <f aca="false">IFERROR(H75/SUM($H$68:$H$75),0)</f>
        <v>0.110091743119266</v>
      </c>
      <c r="J75" s="161" t="n">
        <f aca="false">RANK(H75,$H$68:$H$75,0)</f>
        <v>4</v>
      </c>
    </row>
    <row r="76" customFormat="false" ht="16.5" hidden="false" customHeight="true" outlineLevel="0" collapsed="false">
      <c r="B76" s="162" t="s">
        <v>6687</v>
      </c>
      <c r="C76" s="163"/>
      <c r="D76" s="163"/>
      <c r="E76" s="163"/>
      <c r="F76" s="164" t="n">
        <f aca="false">SUM(F68:F75)</f>
        <v>218</v>
      </c>
      <c r="G76" s="165" t="n">
        <f aca="false">SUM(G68:G75)</f>
        <v>238710</v>
      </c>
      <c r="H76" s="165" t="n">
        <f aca="false">SUM(H68:H75)</f>
        <v>10741950</v>
      </c>
      <c r="I76" s="166" t="n">
        <f aca="false">IFERROR(SUM(I68:I75),0)</f>
        <v>1</v>
      </c>
      <c r="J76" s="163"/>
    </row>
    <row r="78" customFormat="false" ht="15" hidden="false" customHeight="true" outlineLevel="0" collapsed="false">
      <c r="B78" s="105" t="s">
        <v>6688</v>
      </c>
    </row>
    <row r="79" customFormat="false" ht="16.5" hidden="false" customHeight="true" outlineLevel="0" collapsed="false">
      <c r="B79" s="152" t="s">
        <v>6689</v>
      </c>
      <c r="C79" s="152" t="s">
        <v>6690</v>
      </c>
    </row>
    <row r="80" customFormat="false" ht="16.5" hidden="false" customHeight="true" outlineLevel="0" collapsed="false">
      <c r="B80" s="15" t="s">
        <v>6691</v>
      </c>
      <c r="C80" s="167" t="str">
        <f aca="false">INDEX($B$68:$B$75,MATCH(MAX($H$68:$H$75),$H$68:$H$75,0))</f>
        <v>W  Waiting</v>
      </c>
    </row>
    <row r="81" customFormat="false" ht="16.5" hidden="false" customHeight="true" outlineLevel="0" collapsed="false">
      <c r="B81" s="15" t="s">
        <v>6692</v>
      </c>
      <c r="C81" s="159" t="n">
        <f aca="false">MAX($H$68:$H$75)</f>
        <v>2069550</v>
      </c>
    </row>
    <row r="82" customFormat="false" ht="30.75" hidden="false" customHeight="true" outlineLevel="0" collapsed="false">
      <c r="B82" s="15" t="s">
        <v>6693</v>
      </c>
      <c r="C82" s="160" t="n">
        <f aca="false">IFERROR((LARGE($H$68:$H$75,1)+LARGE($H$68:$H$75,2))/SUM($H$68:$H$75),0)</f>
        <v>0.357798165137615</v>
      </c>
    </row>
    <row r="83" customFormat="false" ht="16.5" hidden="false" customHeight="true" outlineLevel="0" collapsed="false">
      <c r="B83" s="15" t="s">
        <v>6694</v>
      </c>
      <c r="C83" s="159" t="n">
        <f aca="false">SUM($H$68:$H$75)</f>
        <v>10741950</v>
      </c>
    </row>
    <row r="85" customFormat="false" ht="15.75" hidden="false" customHeight="true" outlineLevel="0" collapsed="false">
      <c r="B85" s="103" t="s">
        <v>1493</v>
      </c>
      <c r="C85" s="8"/>
      <c r="D85" s="8"/>
      <c r="E85" s="8"/>
      <c r="F85" s="8"/>
      <c r="G85" s="8"/>
      <c r="H85" s="8"/>
      <c r="I85" s="8"/>
      <c r="J85" s="8"/>
      <c r="K85" s="8"/>
    </row>
    <row r="86" customFormat="false" ht="33.75" hidden="false" customHeight="true" outlineLevel="0" collapsed="false">
      <c r="B86" s="105" t="s">
        <v>1494</v>
      </c>
      <c r="C86" s="168" t="str">
        <f aca="false">INDEX($B$68:$B$75,MATCH(MAX($H$68:$H$75),$H$68:$H$75,0))&amp;" is the largest waste at "&amp;TEXT(MAX($H$68:$H$75),"#,##0")&amp;" USD/year, "&amp;TEXT(IFERROR(MAX($H$68:$H$75)/SUM($H$68:$H$75),0),"0.0%")&amp;" of the total. "&amp;IF(IFERROR(MAX($H$68:$H$75)/SUM($H$68:$H$75),0)&gt;0.3,"One waste dominates: scope a focused Kaizen event on it (L-21).","No single waste dominates: the losses are systemic, so map the value stream first (L-02).")</f>
        <v>W  Waiting is the largest waste at 2,069,550 USD/year, 19.3% of the total. No single waste dominates: the losses are systemic, so map the value stream first (L-02).</v>
      </c>
      <c r="D86" s="168"/>
      <c r="E86" s="168"/>
    </row>
    <row r="88" customFormat="false" ht="17.25" hidden="false" customHeight="true" outlineLevel="0" collapsed="false">
      <c r="B88" s="152" t="s">
        <v>1495</v>
      </c>
      <c r="C88" s="152" t="s">
        <v>1496</v>
      </c>
      <c r="D88" s="152" t="s">
        <v>1497</v>
      </c>
      <c r="E88" s="152"/>
      <c r="F88" s="152"/>
      <c r="G88" s="152"/>
    </row>
    <row r="89" customFormat="false" ht="17.25" hidden="false" customHeight="true" outlineLevel="0" collapsed="false">
      <c r="B89" s="15" t="s">
        <v>6695</v>
      </c>
      <c r="C89" s="15" t="s">
        <v>6696</v>
      </c>
      <c r="D89" s="15" t="s">
        <v>6697</v>
      </c>
      <c r="E89" s="15"/>
      <c r="F89" s="15"/>
      <c r="G89" s="15"/>
    </row>
    <row r="90" customFormat="false" ht="17.25" hidden="false" customHeight="true" outlineLevel="0" collapsed="false">
      <c r="B90" s="15" t="s">
        <v>6698</v>
      </c>
      <c r="C90" s="15" t="s">
        <v>6699</v>
      </c>
      <c r="D90" s="15" t="s">
        <v>6700</v>
      </c>
      <c r="E90" s="15"/>
      <c r="F90" s="15"/>
      <c r="G90" s="15"/>
    </row>
    <row r="91" customFormat="false" ht="31.5" hidden="false" customHeight="true" outlineLevel="0" collapsed="false">
      <c r="B91" s="15" t="s">
        <v>6701</v>
      </c>
      <c r="C91" s="15" t="s">
        <v>6702</v>
      </c>
      <c r="D91" s="15" t="s">
        <v>6703</v>
      </c>
      <c r="E91" s="15"/>
      <c r="F91" s="15"/>
      <c r="G91" s="15"/>
    </row>
    <row r="92" customFormat="false" ht="17.25" hidden="false" customHeight="true" outlineLevel="0" collapsed="false">
      <c r="B92" s="15" t="s">
        <v>6704</v>
      </c>
      <c r="C92" s="15" t="s">
        <v>6705</v>
      </c>
      <c r="D92" s="15" t="s">
        <v>6706</v>
      </c>
      <c r="E92" s="15"/>
      <c r="F92" s="15"/>
      <c r="G92" s="15"/>
    </row>
    <row r="94" customFormat="false" ht="15" hidden="false" customHeight="true" outlineLevel="0" collapsed="false">
      <c r="B94" s="105" t="s">
        <v>1507</v>
      </c>
    </row>
    <row r="95" customFormat="false" ht="17.25" hidden="false" customHeight="true" outlineLevel="0" collapsed="false">
      <c r="B95" s="106" t="s">
        <v>6707</v>
      </c>
      <c r="C95" s="106"/>
      <c r="D95" s="106"/>
      <c r="E95" s="106"/>
      <c r="F95" s="106"/>
      <c r="G95" s="106"/>
    </row>
    <row r="96" customFormat="false" ht="17.25" hidden="false" customHeight="true" outlineLevel="0" collapsed="false">
      <c r="B96" s="106" t="s">
        <v>6708</v>
      </c>
      <c r="C96" s="106"/>
      <c r="D96" s="106"/>
      <c r="E96" s="106"/>
      <c r="F96" s="106"/>
      <c r="G96" s="106"/>
    </row>
    <row r="97" customFormat="false" ht="17.25" hidden="false" customHeight="true" outlineLevel="0" collapsed="false">
      <c r="B97" s="106" t="s">
        <v>6709</v>
      </c>
      <c r="C97" s="106"/>
      <c r="D97" s="106"/>
      <c r="E97" s="106"/>
      <c r="F97" s="106"/>
      <c r="G97" s="106"/>
    </row>
    <row r="98" customFormat="false" ht="17.25" hidden="false" customHeight="true" outlineLevel="0" collapsed="false">
      <c r="B98" s="106" t="s">
        <v>6710</v>
      </c>
      <c r="C98" s="106"/>
      <c r="D98" s="106"/>
      <c r="E98" s="106"/>
      <c r="F98" s="106"/>
      <c r="G98" s="106"/>
    </row>
    <row r="99" customFormat="false" ht="17.25" hidden="false" customHeight="true" outlineLevel="0" collapsed="false">
      <c r="B99" s="106" t="s">
        <v>6711</v>
      </c>
      <c r="C99" s="106"/>
      <c r="D99" s="106"/>
      <c r="E99" s="106"/>
      <c r="F99" s="106"/>
      <c r="G99" s="106"/>
    </row>
    <row r="101" customFormat="false" ht="15.75" hidden="false" customHeight="true" outlineLevel="0" collapsed="false">
      <c r="B101" s="103" t="s">
        <v>1513</v>
      </c>
      <c r="C101" s="8"/>
      <c r="D101" s="8"/>
      <c r="E101" s="8"/>
      <c r="F101" s="8"/>
      <c r="G101" s="8"/>
      <c r="H101" s="8"/>
      <c r="I101" s="8"/>
      <c r="J101" s="8"/>
      <c r="K101" s="8"/>
    </row>
    <row r="102" customFormat="false" ht="17.25" hidden="false" customHeight="true" outlineLevel="0" collapsed="false">
      <c r="B102" s="106" t="s">
        <v>6712</v>
      </c>
      <c r="C102" s="106"/>
      <c r="D102" s="106"/>
      <c r="E102" s="106"/>
      <c r="N102" s="169" t="s">
        <v>1515</v>
      </c>
    </row>
    <row r="103" customFormat="false" ht="44.25" hidden="false" customHeight="true" outlineLevel="0" collapsed="false">
      <c r="B103" s="106" t="s">
        <v>6713</v>
      </c>
      <c r="C103" s="106"/>
      <c r="D103" s="106"/>
      <c r="E103" s="106"/>
      <c r="N103" s="120" t="s">
        <v>6714</v>
      </c>
    </row>
    <row r="104" customFormat="false" ht="44.25" hidden="false" customHeight="true" outlineLevel="0" collapsed="false">
      <c r="B104" s="106" t="s">
        <v>6715</v>
      </c>
      <c r="C104" s="106"/>
      <c r="D104" s="106"/>
      <c r="E104" s="106"/>
      <c r="N104" s="120" t="s">
        <v>6716</v>
      </c>
    </row>
    <row r="105" customFormat="false" ht="30.75" hidden="false" customHeight="true" outlineLevel="0" collapsed="false">
      <c r="B105" s="106" t="s">
        <v>6717</v>
      </c>
      <c r="C105" s="106"/>
      <c r="D105" s="106"/>
      <c r="E105" s="106"/>
      <c r="N105" s="120" t="s">
        <v>6718</v>
      </c>
    </row>
    <row r="107" customFormat="false" ht="15.75" hidden="false" customHeight="true" outlineLevel="0" collapsed="false">
      <c r="B107" s="103" t="s">
        <v>1522</v>
      </c>
      <c r="C107" s="8"/>
      <c r="D107" s="8"/>
      <c r="E107" s="8"/>
      <c r="F107" s="8"/>
      <c r="G107" s="8"/>
      <c r="H107" s="8"/>
      <c r="I107" s="8"/>
      <c r="J107" s="8"/>
      <c r="K107" s="8"/>
    </row>
    <row r="108" customFormat="false" ht="17.25" hidden="false" customHeight="true" outlineLevel="0" collapsed="false">
      <c r="B108" s="152" t="s">
        <v>1523</v>
      </c>
      <c r="C108" s="152" t="s">
        <v>1524</v>
      </c>
      <c r="D108" s="152" t="s">
        <v>6719</v>
      </c>
      <c r="E108" s="152"/>
    </row>
    <row r="109" customFormat="false" ht="17.25" hidden="false" customHeight="true" outlineLevel="0" collapsed="false">
      <c r="B109" s="170" t="s">
        <v>1113</v>
      </c>
      <c r="C109" s="170" t="s">
        <v>6720</v>
      </c>
      <c r="D109" s="171" t="s">
        <v>1130</v>
      </c>
      <c r="E109" s="171"/>
    </row>
  </sheetData>
  <mergeCells count="48">
    <mergeCell ref="B2:J2"/>
    <mergeCell ref="D3:G3"/>
    <mergeCell ref="C6:D6"/>
    <mergeCell ref="C7:D7"/>
    <mergeCell ref="C8:D8"/>
    <mergeCell ref="B11:G13"/>
    <mergeCell ref="B14:G15"/>
    <mergeCell ref="B16:G18"/>
    <mergeCell ref="B19:G20"/>
    <mergeCell ref="B23:C23"/>
    <mergeCell ref="E23:G23"/>
    <mergeCell ref="B24:C24"/>
    <mergeCell ref="E24:G24"/>
    <mergeCell ref="B25:C25"/>
    <mergeCell ref="E25:G25"/>
    <mergeCell ref="B26:C26"/>
    <mergeCell ref="E26:G26"/>
    <mergeCell ref="B27:G27"/>
    <mergeCell ref="B36:G39"/>
    <mergeCell ref="B41:G41"/>
    <mergeCell ref="B42:G42"/>
    <mergeCell ref="B44:G45"/>
    <mergeCell ref="D48:G48"/>
    <mergeCell ref="D49:G49"/>
    <mergeCell ref="D50:G50"/>
    <mergeCell ref="D51:G51"/>
    <mergeCell ref="D52:G52"/>
    <mergeCell ref="D53:G53"/>
    <mergeCell ref="B56:G57"/>
    <mergeCell ref="B58:G58"/>
    <mergeCell ref="B66:G66"/>
    <mergeCell ref="C86:E86"/>
    <mergeCell ref="D88:G88"/>
    <mergeCell ref="D89:G89"/>
    <mergeCell ref="D90:G90"/>
    <mergeCell ref="D91:G91"/>
    <mergeCell ref="D92:G92"/>
    <mergeCell ref="B95:G95"/>
    <mergeCell ref="B96:G96"/>
    <mergeCell ref="B97:G97"/>
    <mergeCell ref="B98:G98"/>
    <mergeCell ref="B99:G99"/>
    <mergeCell ref="B102:E102"/>
    <mergeCell ref="B103:E103"/>
    <mergeCell ref="B104:E104"/>
    <mergeCell ref="B105:E105"/>
    <mergeCell ref="D108:E108"/>
    <mergeCell ref="D109:E109"/>
  </mergeCells>
  <hyperlinks>
    <hyperlink ref="B3" location="'N-03 Index DMAIC'!A1" display="← Back to Index"/>
    <hyperlink ref="E30" location="'L-22 Gemba Walk'!A1" display="L-22  Gemba Walk"/>
    <hyperlink ref="E31" location="'G-02 Business Case COPQ'!A1" display="G-02  Business Case and COPQ"/>
    <hyperlink ref="E32" location="'H-05 Check Sheets'!A1" display="H-05  Check Sheets"/>
    <hyperlink ref="E33" location="'G-03 Stakeholder Analysis'!A1" display="G-03  Stakeholder Analysis"/>
    <hyperlink ref="B109" location="'L-22 Gemba Walk'!A1" display="L-22  Gemba Walk"/>
    <hyperlink ref="C109" location="'L-02 VSM Current State'!A1" display="L-02  Value Stream Map, Current State"/>
    <hyperlink ref="D109" location="'L-06 Value Added Analysis'!A1" display="L-06  Value-Added / Non-Value-Added Analysi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6"/>
    <col collapsed="false" customWidth="true" hidden="false" outlineLevel="0" max="5" min="4" style="1" width="14"/>
    <col collapsed="false" customWidth="true" hidden="false" outlineLevel="0" max="6" min="6" style="1" width="18"/>
    <col collapsed="false" customWidth="true" hidden="false" outlineLevel="0" max="7" min="7" style="1" width="16"/>
    <col collapsed="false" customWidth="true" hidden="false" outlineLevel="0" max="9" min="8" style="1" width="15"/>
    <col collapsed="false" customWidth="true" hidden="false" outlineLevel="0" max="10" min="10" style="1" width="13"/>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6721</v>
      </c>
      <c r="C2" s="148"/>
      <c r="D2" s="148"/>
      <c r="E2" s="148"/>
      <c r="F2" s="148"/>
      <c r="G2" s="148"/>
      <c r="H2" s="148"/>
      <c r="I2" s="148"/>
      <c r="J2" s="148"/>
      <c r="K2" s="172" t="s">
        <v>1389</v>
      </c>
    </row>
    <row r="3" customFormat="false" ht="28.5" hidden="false" customHeight="true" outlineLevel="0" collapsed="false">
      <c r="B3" s="150" t="s">
        <v>3</v>
      </c>
      <c r="D3" s="151" t="s">
        <v>6722</v>
      </c>
      <c r="E3" s="151"/>
      <c r="F3" s="151"/>
      <c r="G3" s="151"/>
      <c r="H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6723</v>
      </c>
      <c r="D6" s="106"/>
      <c r="E6" s="106"/>
      <c r="F6" s="106"/>
      <c r="G6" s="106"/>
    </row>
    <row r="7" customFormat="false" ht="31.5" hidden="false" customHeight="true" outlineLevel="0" collapsed="false">
      <c r="B7" s="105" t="s">
        <v>1394</v>
      </c>
      <c r="C7" s="106" t="s">
        <v>6724</v>
      </c>
      <c r="D7" s="106"/>
      <c r="E7" s="106"/>
      <c r="F7" s="106"/>
      <c r="G7" s="106"/>
    </row>
    <row r="8" customFormat="false" ht="31.5" hidden="false" customHeight="true" outlineLevel="0" collapsed="false">
      <c r="B8" s="105" t="s">
        <v>1396</v>
      </c>
      <c r="C8" s="106" t="s">
        <v>6725</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6726</v>
      </c>
      <c r="C11" s="106"/>
      <c r="D11" s="106"/>
      <c r="E11" s="106"/>
      <c r="F11" s="106"/>
      <c r="G11" s="106"/>
      <c r="H11" s="106"/>
    </row>
    <row r="12" customFormat="false" ht="10.5" hidden="false" customHeight="true" outlineLevel="0" collapsed="false">
      <c r="B12" s="106"/>
      <c r="C12" s="106"/>
      <c r="D12" s="106"/>
      <c r="E12" s="106"/>
      <c r="F12" s="106"/>
      <c r="G12" s="106"/>
      <c r="H12" s="106"/>
    </row>
    <row r="13" customFormat="false" ht="10.5" hidden="false" customHeight="true" outlineLevel="0" collapsed="false">
      <c r="B13" s="106"/>
      <c r="C13" s="106"/>
      <c r="D13" s="106"/>
      <c r="E13" s="106"/>
      <c r="F13" s="106"/>
      <c r="G13" s="106"/>
      <c r="H13" s="106"/>
    </row>
    <row r="14" customFormat="false" ht="10.5" hidden="false" customHeight="true" outlineLevel="0" collapsed="false">
      <c r="B14" s="106" t="s">
        <v>6727</v>
      </c>
      <c r="C14" s="106"/>
      <c r="D14" s="106"/>
      <c r="E14" s="106"/>
      <c r="F14" s="106"/>
      <c r="G14" s="106"/>
      <c r="H14" s="106"/>
    </row>
    <row r="15" customFormat="false" ht="10.5" hidden="false" customHeight="true" outlineLevel="0" collapsed="false">
      <c r="B15" s="106"/>
      <c r="C15" s="106"/>
      <c r="D15" s="106"/>
      <c r="E15" s="106"/>
      <c r="F15" s="106"/>
      <c r="G15" s="106"/>
      <c r="H15" s="106"/>
    </row>
    <row r="16" customFormat="false" ht="10.5" hidden="false" customHeight="true" outlineLevel="0" collapsed="false">
      <c r="B16" s="106"/>
      <c r="C16" s="106"/>
      <c r="D16" s="106"/>
      <c r="E16" s="106"/>
      <c r="F16" s="106"/>
      <c r="G16" s="106"/>
      <c r="H16" s="106"/>
    </row>
    <row r="17" customFormat="false" ht="10.5" hidden="false" customHeight="true" outlineLevel="0" collapsed="false">
      <c r="B17" s="106" t="s">
        <v>6728</v>
      </c>
      <c r="C17" s="106"/>
      <c r="D17" s="106"/>
      <c r="E17" s="106"/>
      <c r="F17" s="106"/>
      <c r="G17" s="106"/>
      <c r="H17" s="106"/>
    </row>
    <row r="18" customFormat="false" ht="10.5" hidden="false" customHeight="true" outlineLevel="0" collapsed="false">
      <c r="B18" s="106"/>
      <c r="C18" s="106"/>
      <c r="D18" s="106"/>
      <c r="E18" s="106"/>
      <c r="F18" s="106"/>
      <c r="G18" s="106"/>
      <c r="H18" s="106"/>
    </row>
    <row r="19" customFormat="false" ht="10.5" hidden="false" customHeight="true" outlineLevel="0" collapsed="false">
      <c r="B19" s="106"/>
      <c r="C19" s="106"/>
      <c r="D19" s="106"/>
      <c r="E19" s="106"/>
      <c r="F19" s="106"/>
      <c r="G19" s="106"/>
      <c r="H19" s="106"/>
    </row>
    <row r="20" customFormat="false" ht="15.75" hidden="false" customHeight="true" outlineLevel="0" collapsed="false">
      <c r="B20" s="106" t="s">
        <v>6729</v>
      </c>
      <c r="C20" s="106"/>
      <c r="D20" s="106"/>
      <c r="E20" s="106"/>
      <c r="F20" s="106"/>
      <c r="G20" s="106"/>
      <c r="H20" s="106"/>
    </row>
    <row r="21" customFormat="false" ht="15.75" hidden="false" customHeight="true" outlineLevel="0" collapsed="false">
      <c r="B21" s="106"/>
      <c r="C21" s="106"/>
      <c r="D21" s="106"/>
      <c r="E21" s="106"/>
      <c r="F21" s="106"/>
      <c r="G21" s="106"/>
      <c r="H21" s="106"/>
    </row>
    <row r="23" customFormat="false" ht="15.75" hidden="false" customHeight="true" outlineLevel="0" collapsed="false">
      <c r="B23" s="103" t="s">
        <v>1406</v>
      </c>
      <c r="C23" s="8"/>
      <c r="D23" s="8"/>
      <c r="E23" s="8"/>
      <c r="F23" s="8"/>
      <c r="G23" s="8"/>
      <c r="H23" s="8"/>
      <c r="I23" s="8"/>
      <c r="J23" s="8"/>
      <c r="K23" s="8"/>
    </row>
    <row r="24" customFormat="false" ht="17.25" hidden="false" customHeight="true" outlineLevel="0" collapsed="false">
      <c r="B24" s="107" t="s">
        <v>1407</v>
      </c>
      <c r="C24" s="107"/>
      <c r="D24" s="107"/>
      <c r="E24" s="107" t="s">
        <v>1408</v>
      </c>
      <c r="F24" s="107"/>
    </row>
    <row r="25" customFormat="false" ht="31.5" hidden="false" customHeight="true" outlineLevel="0" collapsed="false">
      <c r="B25" s="106" t="s">
        <v>6730</v>
      </c>
      <c r="C25" s="106"/>
      <c r="D25" s="106"/>
      <c r="E25" s="106" t="s">
        <v>6731</v>
      </c>
      <c r="F25" s="106"/>
    </row>
    <row r="26" customFormat="false" ht="31.5" hidden="false" customHeight="true" outlineLevel="0" collapsed="false">
      <c r="B26" s="106" t="s">
        <v>6732</v>
      </c>
      <c r="C26" s="106"/>
      <c r="D26" s="106"/>
      <c r="E26" s="106" t="s">
        <v>6733</v>
      </c>
      <c r="F26" s="106"/>
    </row>
    <row r="27" customFormat="false" ht="31.5" hidden="false" customHeight="true" outlineLevel="0" collapsed="false">
      <c r="B27" s="106" t="s">
        <v>6734</v>
      </c>
      <c r="C27" s="106"/>
      <c r="D27" s="106"/>
      <c r="E27" s="106" t="s">
        <v>6735</v>
      </c>
      <c r="F27" s="106"/>
    </row>
    <row r="28" customFormat="false" ht="17.25" hidden="false" customHeight="true" outlineLevel="0" collapsed="false">
      <c r="B28" s="106" t="s">
        <v>6736</v>
      </c>
      <c r="C28" s="106"/>
      <c r="D28" s="106"/>
      <c r="E28" s="106"/>
      <c r="F28" s="106"/>
      <c r="G28" s="106"/>
      <c r="H28" s="106"/>
    </row>
    <row r="30" customFormat="false" ht="30.75" hidden="false" customHeight="true" outlineLevel="0" collapsed="false">
      <c r="B30" s="152" t="s">
        <v>6621</v>
      </c>
      <c r="C30" s="152" t="s">
        <v>1417</v>
      </c>
      <c r="D30" s="152" t="s">
        <v>1418</v>
      </c>
      <c r="E30" s="152" t="s">
        <v>1419</v>
      </c>
    </row>
    <row r="31" customFormat="false" ht="86.25" hidden="false" customHeight="true" outlineLevel="0" collapsed="false">
      <c r="B31" s="15" t="s">
        <v>6737</v>
      </c>
      <c r="C31" s="15" t="s">
        <v>6738</v>
      </c>
      <c r="D31" s="15" t="s">
        <v>6739</v>
      </c>
      <c r="E31" s="153" t="s">
        <v>6740</v>
      </c>
    </row>
    <row r="32" customFormat="false" ht="72" hidden="false" customHeight="true" outlineLevel="0" collapsed="false">
      <c r="B32" s="15" t="s">
        <v>6741</v>
      </c>
      <c r="C32" s="15" t="s">
        <v>6742</v>
      </c>
      <c r="D32" s="15" t="s">
        <v>6743</v>
      </c>
      <c r="E32" s="153" t="s">
        <v>6744</v>
      </c>
    </row>
    <row r="33" customFormat="false" ht="99.75" hidden="false" customHeight="true" outlineLevel="0" collapsed="false">
      <c r="B33" s="15" t="s">
        <v>6745</v>
      </c>
      <c r="C33" s="15" t="s">
        <v>6746</v>
      </c>
      <c r="D33" s="15" t="s">
        <v>6747</v>
      </c>
      <c r="E33" s="153" t="s">
        <v>6748</v>
      </c>
    </row>
    <row r="34" customFormat="false" ht="72" hidden="false" customHeight="true" outlineLevel="0" collapsed="false">
      <c r="B34" s="15" t="s">
        <v>6749</v>
      </c>
      <c r="C34" s="15" t="s">
        <v>6750</v>
      </c>
      <c r="D34" s="15" t="s">
        <v>6751</v>
      </c>
      <c r="E34" s="153" t="s">
        <v>6752</v>
      </c>
    </row>
    <row r="36" customFormat="false" ht="15.75" hidden="false" customHeight="true" outlineLevel="0" collapsed="false">
      <c r="B36" s="103" t="s">
        <v>1429</v>
      </c>
      <c r="C36" s="8"/>
      <c r="D36" s="8"/>
      <c r="E36" s="8"/>
      <c r="F36" s="8"/>
      <c r="G36" s="8"/>
      <c r="H36" s="8"/>
      <c r="I36" s="8"/>
      <c r="J36" s="8"/>
      <c r="K36" s="8"/>
    </row>
    <row r="37" customFormat="false" ht="9.75" hidden="false" customHeight="true" outlineLevel="0" collapsed="false">
      <c r="B37" s="106" t="s">
        <v>6753</v>
      </c>
      <c r="C37" s="106"/>
      <c r="D37" s="106"/>
      <c r="E37" s="106"/>
      <c r="F37" s="106"/>
      <c r="G37" s="106"/>
      <c r="H37" s="106"/>
    </row>
    <row r="38" customFormat="false" ht="9.75" hidden="false" customHeight="true" outlineLevel="0" collapsed="false">
      <c r="B38" s="106"/>
      <c r="C38" s="106"/>
      <c r="D38" s="106"/>
      <c r="E38" s="106"/>
      <c r="F38" s="106"/>
      <c r="G38" s="106"/>
      <c r="H38" s="106"/>
    </row>
    <row r="39" customFormat="false" ht="9.75" hidden="false" customHeight="true" outlineLevel="0" collapsed="false">
      <c r="B39" s="106"/>
      <c r="C39" s="106"/>
      <c r="D39" s="106"/>
      <c r="E39" s="106"/>
      <c r="F39" s="106"/>
      <c r="G39" s="106"/>
      <c r="H39" s="106"/>
    </row>
    <row r="40" customFormat="false" ht="9.75" hidden="false" customHeight="true" outlineLevel="0" collapsed="false">
      <c r="B40" s="106"/>
      <c r="C40" s="106"/>
      <c r="D40" s="106"/>
      <c r="E40" s="106"/>
      <c r="F40" s="106"/>
      <c r="G40" s="106"/>
      <c r="H40" s="106"/>
    </row>
    <row r="41" customFormat="false" ht="9.75" hidden="false" customHeight="true" outlineLevel="0" collapsed="false">
      <c r="B41" s="106"/>
      <c r="C41" s="106"/>
      <c r="D41" s="106"/>
      <c r="E41" s="106"/>
      <c r="F41" s="106"/>
      <c r="G41" s="106"/>
      <c r="H41" s="106"/>
    </row>
    <row r="42" customFormat="false" ht="9.75" hidden="false" customHeight="true" outlineLevel="0" collapsed="false">
      <c r="B42" s="106"/>
      <c r="C42" s="106"/>
      <c r="D42" s="106"/>
      <c r="E42" s="106"/>
      <c r="F42" s="106"/>
      <c r="G42" s="106"/>
      <c r="H42" s="106"/>
    </row>
    <row r="43" customFormat="false" ht="15" hidden="false" customHeight="true" outlineLevel="0" collapsed="false">
      <c r="B43" s="122"/>
    </row>
    <row r="44" customFormat="false" ht="17.25" hidden="false" customHeight="true" outlineLevel="0" collapsed="false">
      <c r="B44" s="106" t="s">
        <v>6754</v>
      </c>
      <c r="C44" s="106"/>
      <c r="D44" s="106"/>
      <c r="E44" s="106"/>
      <c r="F44" s="106"/>
      <c r="G44" s="106"/>
      <c r="H44" s="106"/>
    </row>
    <row r="45" customFormat="false" ht="17.25" hidden="false" customHeight="true" outlineLevel="0" collapsed="false">
      <c r="B45" s="106" t="s">
        <v>6755</v>
      </c>
      <c r="C45" s="106"/>
      <c r="D45" s="106"/>
      <c r="E45" s="106"/>
      <c r="F45" s="106"/>
      <c r="G45" s="106"/>
      <c r="H45" s="106"/>
    </row>
    <row r="47" customFormat="false" ht="15.75" hidden="false" customHeight="true" outlineLevel="0" collapsed="false">
      <c r="B47" s="103" t="s">
        <v>1437</v>
      </c>
      <c r="C47" s="8"/>
      <c r="D47" s="8"/>
      <c r="E47" s="8"/>
      <c r="F47" s="8"/>
      <c r="G47" s="8"/>
      <c r="H47" s="8"/>
      <c r="I47" s="8"/>
      <c r="J47" s="8"/>
      <c r="K47" s="8"/>
    </row>
    <row r="48" customFormat="false" ht="17.25" hidden="false" customHeight="true" outlineLevel="0" collapsed="false">
      <c r="B48" s="152" t="s">
        <v>1438</v>
      </c>
      <c r="C48" s="152" t="s">
        <v>1439</v>
      </c>
      <c r="D48" s="152" t="s">
        <v>1440</v>
      </c>
      <c r="E48" s="152"/>
      <c r="F48" s="152"/>
    </row>
    <row r="49" customFormat="false" ht="17.25" hidden="false" customHeight="true" outlineLevel="0" collapsed="false">
      <c r="B49" s="15" t="s">
        <v>4079</v>
      </c>
      <c r="C49" s="15" t="s">
        <v>4080</v>
      </c>
      <c r="D49" s="15" t="s">
        <v>6756</v>
      </c>
      <c r="E49" s="15"/>
      <c r="F49" s="15"/>
    </row>
    <row r="50" customFormat="false" ht="30.75" hidden="false" customHeight="true" outlineLevel="0" collapsed="false">
      <c r="B50" s="15" t="s">
        <v>6757</v>
      </c>
      <c r="C50" s="15" t="s">
        <v>6758</v>
      </c>
      <c r="D50" s="15" t="s">
        <v>6759</v>
      </c>
      <c r="E50" s="15"/>
      <c r="F50" s="15"/>
    </row>
    <row r="51" customFormat="false" ht="44.25" hidden="false" customHeight="true" outlineLevel="0" collapsed="false">
      <c r="B51" s="15" t="s">
        <v>6644</v>
      </c>
      <c r="C51" s="15" t="s">
        <v>6760</v>
      </c>
      <c r="D51" s="15" t="s">
        <v>6761</v>
      </c>
      <c r="E51" s="15"/>
      <c r="F51" s="15"/>
    </row>
    <row r="52" customFormat="false" ht="17.25" hidden="false" customHeight="true" outlineLevel="0" collapsed="false">
      <c r="B52" s="15" t="s">
        <v>1839</v>
      </c>
      <c r="C52" s="15" t="s">
        <v>6647</v>
      </c>
      <c r="D52" s="15" t="s">
        <v>6762</v>
      </c>
      <c r="E52" s="15"/>
      <c r="F52" s="15"/>
    </row>
    <row r="53" customFormat="false" ht="17.25" hidden="false" customHeight="true" outlineLevel="0" collapsed="false">
      <c r="B53" s="15" t="s">
        <v>2588</v>
      </c>
      <c r="C53" s="15" t="s">
        <v>2589</v>
      </c>
      <c r="D53" s="15" t="s">
        <v>6763</v>
      </c>
      <c r="E53" s="15"/>
      <c r="F53" s="15"/>
    </row>
    <row r="55" customFormat="false" ht="15.75" hidden="false" customHeight="true" outlineLevel="0" collapsed="false">
      <c r="B55" s="103" t="s">
        <v>1454</v>
      </c>
      <c r="C55" s="8"/>
      <c r="D55" s="8"/>
      <c r="E55" s="8"/>
      <c r="F55" s="8"/>
      <c r="G55" s="8"/>
      <c r="H55" s="8"/>
      <c r="I55" s="8"/>
      <c r="J55" s="8"/>
      <c r="K55" s="8"/>
    </row>
    <row r="56" customFormat="false" ht="15.75" hidden="false" customHeight="true" outlineLevel="0" collapsed="false">
      <c r="B56" s="106" t="s">
        <v>6764</v>
      </c>
      <c r="C56" s="106"/>
      <c r="D56" s="106"/>
      <c r="E56" s="106"/>
      <c r="F56" s="106"/>
      <c r="G56" s="106"/>
      <c r="H56" s="106"/>
    </row>
    <row r="57" customFormat="false" ht="15.75" hidden="false" customHeight="true" outlineLevel="0" collapsed="false">
      <c r="B57" s="106"/>
      <c r="C57" s="106"/>
      <c r="D57" s="106"/>
      <c r="E57" s="106"/>
      <c r="F57" s="106"/>
      <c r="G57" s="106"/>
      <c r="H57" s="106"/>
    </row>
    <row r="58" customFormat="false" ht="17.25" hidden="false" customHeight="true" outlineLevel="0" collapsed="false">
      <c r="B58" s="106" t="s">
        <v>6765</v>
      </c>
      <c r="C58" s="106"/>
      <c r="D58" s="106"/>
      <c r="E58" s="106"/>
      <c r="F58" s="106"/>
      <c r="G58" s="106"/>
      <c r="H58" s="106"/>
    </row>
    <row r="59" customFormat="false" ht="17.25" hidden="false" customHeight="true" outlineLevel="0" collapsed="false">
      <c r="B59" s="112" t="s">
        <v>85</v>
      </c>
      <c r="C59" s="113" t="s">
        <v>86</v>
      </c>
      <c r="D59" s="113"/>
      <c r="E59" s="113"/>
    </row>
    <row r="61" customFormat="false" ht="15" hidden="false" customHeight="true" outlineLevel="0" collapsed="false">
      <c r="B61" s="105" t="s">
        <v>6766</v>
      </c>
    </row>
    <row r="62" customFormat="false" ht="16.5" hidden="false" customHeight="true" outlineLevel="0" collapsed="false">
      <c r="B62" s="152" t="s">
        <v>6653</v>
      </c>
      <c r="C62" s="152" t="s">
        <v>6654</v>
      </c>
      <c r="D62" s="152" t="s">
        <v>6575</v>
      </c>
      <c r="E62" s="152" t="s">
        <v>6655</v>
      </c>
    </row>
    <row r="63" customFormat="false" ht="30.75" hidden="false" customHeight="true" outlineLevel="0" collapsed="false">
      <c r="B63" s="15" t="s">
        <v>6767</v>
      </c>
      <c r="C63" s="173" t="n">
        <v>360000</v>
      </c>
      <c r="D63" s="15" t="s">
        <v>6768</v>
      </c>
      <c r="E63" s="15" t="s">
        <v>6769</v>
      </c>
    </row>
    <row r="64" customFormat="false" ht="30.75" hidden="false" customHeight="true" outlineLevel="0" collapsed="false">
      <c r="B64" s="15" t="s">
        <v>6770</v>
      </c>
      <c r="C64" s="173" t="n">
        <v>1380</v>
      </c>
      <c r="D64" s="15" t="s">
        <v>6771</v>
      </c>
      <c r="E64" s="15" t="s">
        <v>6772</v>
      </c>
    </row>
    <row r="65" customFormat="false" ht="16.5" hidden="false" customHeight="true" outlineLevel="0" collapsed="false">
      <c r="B65" s="15" t="s">
        <v>6773</v>
      </c>
      <c r="C65" s="174" t="n">
        <f aca="false">IFERROR($C$64*60/$C$63,0)</f>
        <v>0.23</v>
      </c>
      <c r="D65" s="15" t="s">
        <v>6774</v>
      </c>
      <c r="E65" s="15" t="s">
        <v>6775</v>
      </c>
    </row>
    <row r="67" customFormat="false" ht="17.25" hidden="false" customHeight="true" outlineLevel="0" collapsed="false">
      <c r="B67" s="107" t="s">
        <v>6776</v>
      </c>
      <c r="C67" s="107"/>
      <c r="D67" s="107"/>
      <c r="E67" s="107"/>
      <c r="F67" s="107"/>
      <c r="G67" s="107"/>
      <c r="H67" s="107"/>
    </row>
    <row r="68" customFormat="false" ht="44.25" hidden="false" customHeight="true" outlineLevel="0" collapsed="false">
      <c r="B68" s="152" t="s">
        <v>6777</v>
      </c>
      <c r="C68" s="152" t="s">
        <v>6778</v>
      </c>
      <c r="D68" s="152" t="s">
        <v>6779</v>
      </c>
      <c r="E68" s="152" t="s">
        <v>6780</v>
      </c>
      <c r="F68" s="152" t="s">
        <v>6781</v>
      </c>
      <c r="G68" s="152" t="s">
        <v>6782</v>
      </c>
      <c r="H68" s="152" t="s">
        <v>6783</v>
      </c>
      <c r="I68" s="152" t="s">
        <v>6784</v>
      </c>
      <c r="J68" s="152"/>
    </row>
    <row r="69" customFormat="false" ht="17.25" hidden="false" customHeight="true" outlineLevel="0" collapsed="false">
      <c r="B69" s="15" t="s">
        <v>6785</v>
      </c>
      <c r="C69" s="156" t="n">
        <v>0.18</v>
      </c>
      <c r="D69" s="155" t="n">
        <v>45</v>
      </c>
      <c r="E69" s="175" t="n">
        <v>0.94</v>
      </c>
      <c r="F69" s="173" t="n">
        <v>120000</v>
      </c>
      <c r="G69" s="176" t="n">
        <f aca="false">IFERROR(F69/$C$63,0)</f>
        <v>0.333333333333333</v>
      </c>
      <c r="H69" s="176" t="n">
        <f aca="false">IFERROR(C69/E69,0)</f>
        <v>0.191489361702128</v>
      </c>
      <c r="I69" s="177" t="s">
        <v>6786</v>
      </c>
      <c r="J69" s="177"/>
    </row>
    <row r="70" customFormat="false" ht="17.25" hidden="false" customHeight="true" outlineLevel="0" collapsed="false">
      <c r="B70" s="15" t="s">
        <v>6787</v>
      </c>
      <c r="C70" s="156" t="n">
        <v>0.2</v>
      </c>
      <c r="D70" s="155" t="n">
        <v>60</v>
      </c>
      <c r="E70" s="175" t="n">
        <v>0.91</v>
      </c>
      <c r="F70" s="173" t="n">
        <v>18000</v>
      </c>
      <c r="G70" s="176" t="n">
        <f aca="false">IFERROR(F70/$C$63,0)</f>
        <v>0.05</v>
      </c>
      <c r="H70" s="176" t="n">
        <f aca="false">IFERROR(C70/E70,0)</f>
        <v>0.21978021978022</v>
      </c>
      <c r="I70" s="177" t="s">
        <v>6786</v>
      </c>
      <c r="J70" s="177"/>
    </row>
    <row r="71" customFormat="false" ht="17.25" hidden="false" customHeight="true" outlineLevel="0" collapsed="false">
      <c r="B71" s="15" t="s">
        <v>6788</v>
      </c>
      <c r="C71" s="156" t="n">
        <v>0.2</v>
      </c>
      <c r="D71" s="155" t="n">
        <v>35</v>
      </c>
      <c r="E71" s="175" t="n">
        <v>0.93</v>
      </c>
      <c r="F71" s="173" t="n">
        <v>9000</v>
      </c>
      <c r="G71" s="176" t="n">
        <f aca="false">IFERROR(F71/$C$63,0)</f>
        <v>0.025</v>
      </c>
      <c r="H71" s="176" t="n">
        <f aca="false">IFERROR(C71/E71,0)</f>
        <v>0.21505376344086</v>
      </c>
      <c r="I71" s="177" t="s">
        <v>6786</v>
      </c>
      <c r="J71" s="177"/>
    </row>
    <row r="72" customFormat="false" ht="17.25" hidden="false" customHeight="true" outlineLevel="0" collapsed="false">
      <c r="B72" s="15" t="s">
        <v>6789</v>
      </c>
      <c r="C72" s="156" t="n">
        <v>0.05</v>
      </c>
      <c r="D72" s="155" t="n">
        <v>5</v>
      </c>
      <c r="E72" s="175" t="n">
        <v>0.98</v>
      </c>
      <c r="F72" s="173" t="n">
        <v>4000</v>
      </c>
      <c r="G72" s="176" t="n">
        <f aca="false">IFERROR(F72/$C$63,0)</f>
        <v>0.0111111111111111</v>
      </c>
      <c r="H72" s="176" t="n">
        <f aca="false">IFERROR(C72/E72,0)</f>
        <v>0.0510204081632653</v>
      </c>
      <c r="I72" s="177" t="s">
        <v>6790</v>
      </c>
      <c r="J72" s="177"/>
    </row>
    <row r="73" customFormat="false" ht="17.25" hidden="false" customHeight="true" outlineLevel="0" collapsed="false">
      <c r="B73" s="15" t="s">
        <v>6791</v>
      </c>
      <c r="C73" s="156" t="n">
        <v>0.22</v>
      </c>
      <c r="D73" s="155" t="n">
        <v>25</v>
      </c>
      <c r="E73" s="175" t="n">
        <v>0.95</v>
      </c>
      <c r="F73" s="173" t="n">
        <v>15000</v>
      </c>
      <c r="G73" s="176" t="n">
        <f aca="false">IFERROR(F73/$C$63,0)</f>
        <v>0.0416666666666667</v>
      </c>
      <c r="H73" s="176" t="n">
        <f aca="false">IFERROR(C73/E73,0)</f>
        <v>0.231578947368421</v>
      </c>
      <c r="I73" s="177" t="s">
        <v>6786</v>
      </c>
      <c r="J73" s="177"/>
    </row>
    <row r="74" customFormat="false" ht="17.25" hidden="false" customHeight="true" outlineLevel="0" collapsed="false">
      <c r="B74" s="15" t="s">
        <v>6792</v>
      </c>
      <c r="C74" s="156" t="n">
        <v>0.25</v>
      </c>
      <c r="D74" s="155" t="n">
        <v>20</v>
      </c>
      <c r="E74" s="175" t="n">
        <v>0.96</v>
      </c>
      <c r="F74" s="173" t="n">
        <v>22000</v>
      </c>
      <c r="G74" s="176" t="n">
        <f aca="false">IFERROR(F74/$C$63,0)</f>
        <v>0.0611111111111111</v>
      </c>
      <c r="H74" s="176" t="n">
        <f aca="false">IFERROR(C74/E74,0)</f>
        <v>0.260416666666667</v>
      </c>
      <c r="I74" s="177" t="s">
        <v>6790</v>
      </c>
      <c r="J74" s="177"/>
    </row>
    <row r="75" customFormat="false" ht="17.25" hidden="false" customHeight="true" outlineLevel="0" collapsed="false">
      <c r="B75" s="15" t="s">
        <v>6793</v>
      </c>
      <c r="C75" s="156" t="n">
        <v>0.15</v>
      </c>
      <c r="D75" s="155" t="n">
        <v>10</v>
      </c>
      <c r="E75" s="175" t="n">
        <v>0.97</v>
      </c>
      <c r="F75" s="173" t="n">
        <v>30000</v>
      </c>
      <c r="G75" s="176" t="n">
        <f aca="false">IFERROR(F75/$C$63,0)</f>
        <v>0.0833333333333333</v>
      </c>
      <c r="H75" s="176" t="n">
        <f aca="false">IFERROR(C75/E75,0)</f>
        <v>0.154639175257732</v>
      </c>
      <c r="I75" s="177" t="s">
        <v>6790</v>
      </c>
      <c r="J75" s="177"/>
    </row>
    <row r="76" customFormat="false" ht="17.25" hidden="false" customHeight="true" outlineLevel="0" collapsed="false">
      <c r="B76" s="15" t="s">
        <v>6794</v>
      </c>
      <c r="C76" s="156" t="n">
        <v>0</v>
      </c>
      <c r="D76" s="155" t="n">
        <v>0</v>
      </c>
      <c r="E76" s="175" t="n">
        <v>1</v>
      </c>
      <c r="F76" s="173" t="n">
        <v>540000</v>
      </c>
      <c r="G76" s="176" t="n">
        <f aca="false">IFERROR(F76/$C$63,0)</f>
        <v>1.5</v>
      </c>
      <c r="H76" s="176" t="n">
        <f aca="false">IFERROR(C76/E76,0)</f>
        <v>0</v>
      </c>
      <c r="I76" s="177" t="s">
        <v>6790</v>
      </c>
      <c r="J76" s="177"/>
    </row>
    <row r="78" customFormat="false" ht="15" hidden="false" customHeight="true" outlineLevel="0" collapsed="false">
      <c r="B78" s="105" t="s">
        <v>6795</v>
      </c>
    </row>
    <row r="79" customFormat="false" ht="16.5" hidden="false" customHeight="true" outlineLevel="0" collapsed="false">
      <c r="B79" s="152" t="s">
        <v>1929</v>
      </c>
      <c r="C79" s="152" t="s">
        <v>6654</v>
      </c>
      <c r="D79" s="152" t="s">
        <v>6575</v>
      </c>
      <c r="E79" s="152" t="s">
        <v>6796</v>
      </c>
    </row>
    <row r="80" customFormat="false" ht="16.5" hidden="false" customHeight="true" outlineLevel="0" collapsed="false">
      <c r="B80" s="15" t="s">
        <v>6797</v>
      </c>
      <c r="C80" s="159" t="n">
        <f aca="false">SUM(F69:F76)</f>
        <v>758000</v>
      </c>
      <c r="D80" s="15" t="s">
        <v>6798</v>
      </c>
      <c r="E80" s="15" t="s">
        <v>6799</v>
      </c>
    </row>
    <row r="81" customFormat="false" ht="30.75" hidden="false" customHeight="true" outlineLevel="0" collapsed="false">
      <c r="B81" s="15" t="s">
        <v>6800</v>
      </c>
      <c r="C81" s="176" t="n">
        <f aca="false">SUM(G69:G76)</f>
        <v>2.10555555555556</v>
      </c>
      <c r="D81" s="15" t="s">
        <v>6801</v>
      </c>
      <c r="E81" s="15" t="s">
        <v>6802</v>
      </c>
    </row>
    <row r="82" customFormat="false" ht="30.75" hidden="false" customHeight="true" outlineLevel="0" collapsed="false">
      <c r="B82" s="15" t="s">
        <v>6803</v>
      </c>
      <c r="C82" s="174" t="n">
        <f aca="false">SUM(C69:C76)</f>
        <v>1.25</v>
      </c>
      <c r="D82" s="15" t="s">
        <v>6774</v>
      </c>
      <c r="E82" s="15" t="s">
        <v>6804</v>
      </c>
    </row>
    <row r="83" customFormat="false" ht="16.5" hidden="false" customHeight="true" outlineLevel="0" collapsed="false">
      <c r="B83" s="15" t="s">
        <v>6805</v>
      </c>
      <c r="C83" s="174" t="n">
        <f aca="false">SUMIF(I69:I76,"YES",C69:C76)</f>
        <v>0.8</v>
      </c>
      <c r="D83" s="15" t="s">
        <v>6774</v>
      </c>
      <c r="E83" s="15" t="s">
        <v>6806</v>
      </c>
    </row>
    <row r="84" customFormat="false" ht="30.75" hidden="false" customHeight="true" outlineLevel="0" collapsed="false">
      <c r="B84" s="15" t="s">
        <v>6807</v>
      </c>
      <c r="C84" s="176" t="n">
        <f aca="false">SUM(G69:G76)+SUM(C69:C76)/86400</f>
        <v>2.10557002314815</v>
      </c>
      <c r="D84" s="15" t="s">
        <v>6801</v>
      </c>
      <c r="E84" s="15" t="s">
        <v>6808</v>
      </c>
    </row>
    <row r="85" customFormat="false" ht="30.75" hidden="false" customHeight="true" outlineLevel="0" collapsed="false">
      <c r="B85" s="15" t="s">
        <v>6809</v>
      </c>
      <c r="C85" s="178" t="n">
        <f aca="false">IFERROR(C83/(C84*86400),0)</f>
        <v>4.3975071631269E-006</v>
      </c>
      <c r="D85" s="15"/>
      <c r="E85" s="15" t="s">
        <v>6810</v>
      </c>
    </row>
    <row r="86" customFormat="false" ht="30.75" hidden="false" customHeight="true" outlineLevel="0" collapsed="false">
      <c r="B86" s="15" t="s">
        <v>6811</v>
      </c>
      <c r="C86" s="176" t="n">
        <f aca="false">MAX(H69:H76)</f>
        <v>0.260416666666667</v>
      </c>
      <c r="D86" s="15" t="s">
        <v>6774</v>
      </c>
      <c r="E86" s="15" t="s">
        <v>6812</v>
      </c>
    </row>
    <row r="87" customFormat="false" ht="30.75" hidden="false" customHeight="true" outlineLevel="0" collapsed="false">
      <c r="B87" s="15" t="s">
        <v>6813</v>
      </c>
      <c r="C87" s="167" t="str">
        <f aca="false">INDEX(B69:B76,MATCH(MAX(H69:H76),H69:H76,0))</f>
        <v>6  Palletising (Innopal)</v>
      </c>
      <c r="D87" s="15"/>
      <c r="E87" s="15" t="s">
        <v>6814</v>
      </c>
    </row>
    <row r="88" customFormat="false" ht="30.75" hidden="false" customHeight="true" outlineLevel="0" collapsed="false">
      <c r="B88" s="15" t="s">
        <v>6815</v>
      </c>
      <c r="C88" s="159" t="n">
        <f aca="false">SUM(D69:D76)</f>
        <v>200</v>
      </c>
      <c r="D88" s="15" t="s">
        <v>6816</v>
      </c>
      <c r="E88" s="15" t="s">
        <v>6817</v>
      </c>
    </row>
    <row r="90" customFormat="false" ht="15.75" hidden="false" customHeight="true" outlineLevel="0" collapsed="false">
      <c r="B90" s="103" t="s">
        <v>1493</v>
      </c>
      <c r="C90" s="8"/>
      <c r="D90" s="8"/>
      <c r="E90" s="8"/>
      <c r="F90" s="8"/>
      <c r="G90" s="8"/>
      <c r="H90" s="8"/>
      <c r="I90" s="8"/>
      <c r="J90" s="8"/>
      <c r="K90" s="8"/>
    </row>
    <row r="91" customFormat="false" ht="65.25" hidden="false" customHeight="true" outlineLevel="0" collapsed="false">
      <c r="B91" s="105" t="s">
        <v>1494</v>
      </c>
      <c r="C91" s="168" t="str">
        <f aca="false">"A bottle is worked on for "&amp;TEXT(C82,"0.00")&amp;" seconds but takes "&amp;TEXT(C84,"0.00")&amp;" days to cross the stream, so PCE = "&amp;TEXT(C85,"0.000%")&amp;". "&amp;IF(C85&lt;0.001,"Waiting dominates completely: attack inventory, batch sizes and changeovers before touching machine speed.",IF(C85&lt;0.01,"Normal for a packaging stream carrying days of stock. The gain is still in the queues, not in the machines.","Unusually lean flow. Verify the inventory count before publishing this number."))&amp;" The constraint is "&amp;INDEX(B69:B76,MATCH(MAX(H69:H76),H69:H76,0))&amp;" at "&amp;TEXT(MAX(H69:H76),"0.000")&amp;" s/bottle effective, against a takt of "&amp;TEXT($C$65,"0.000")&amp;" s."</f>
        <v>A bottle is worked on for 1.25 seconds but takes 2.11 days to cross the stream, so PCE = 0.000%. Waiting dominates completely: attack inventory, batch sizes and changeovers before touching machine speed. The constraint is 6  Palletising (Innopal) at 0.260 s/bottle effective, against a takt of 0.230 s.</v>
      </c>
      <c r="D91" s="168"/>
      <c r="E91" s="168"/>
      <c r="F91" s="168"/>
      <c r="G91" s="168"/>
    </row>
    <row r="93" customFormat="false" ht="17.25" hidden="false" customHeight="true" outlineLevel="0" collapsed="false">
      <c r="B93" s="152" t="s">
        <v>1495</v>
      </c>
      <c r="C93" s="152" t="s">
        <v>1496</v>
      </c>
      <c r="D93" s="152" t="s">
        <v>1497</v>
      </c>
      <c r="E93" s="152"/>
      <c r="F93" s="152"/>
      <c r="G93" s="152"/>
      <c r="H93" s="152"/>
    </row>
    <row r="94" customFormat="false" ht="99.75" hidden="false" customHeight="true" outlineLevel="0" collapsed="false">
      <c r="B94" s="15" t="s">
        <v>6818</v>
      </c>
      <c r="C94" s="15" t="s">
        <v>6819</v>
      </c>
      <c r="D94" s="15" t="s">
        <v>6820</v>
      </c>
      <c r="E94" s="15"/>
      <c r="F94" s="15"/>
      <c r="G94" s="15"/>
      <c r="H94" s="15"/>
    </row>
    <row r="95" customFormat="false" ht="44.25" hidden="false" customHeight="true" outlineLevel="0" collapsed="false">
      <c r="B95" s="15" t="s">
        <v>6821</v>
      </c>
      <c r="C95" s="15" t="s">
        <v>6822</v>
      </c>
      <c r="D95" s="15" t="s">
        <v>6823</v>
      </c>
      <c r="E95" s="15"/>
      <c r="F95" s="15"/>
      <c r="G95" s="15"/>
      <c r="H95" s="15"/>
    </row>
    <row r="96" customFormat="false" ht="58.5" hidden="false" customHeight="true" outlineLevel="0" collapsed="false">
      <c r="B96" s="15" t="s">
        <v>6824</v>
      </c>
      <c r="C96" s="15" t="s">
        <v>6825</v>
      </c>
      <c r="D96" s="15" t="s">
        <v>6826</v>
      </c>
      <c r="E96" s="15"/>
      <c r="F96" s="15"/>
      <c r="G96" s="15"/>
      <c r="H96" s="15"/>
    </row>
    <row r="97" customFormat="false" ht="44.25" hidden="false" customHeight="true" outlineLevel="0" collapsed="false">
      <c r="B97" s="15" t="s">
        <v>6815</v>
      </c>
      <c r="C97" s="15" t="s">
        <v>6827</v>
      </c>
      <c r="D97" s="15" t="s">
        <v>6828</v>
      </c>
      <c r="E97" s="15"/>
      <c r="F97" s="15"/>
      <c r="G97" s="15"/>
      <c r="H97" s="15"/>
    </row>
    <row r="99" customFormat="false" ht="15" hidden="false" customHeight="true" outlineLevel="0" collapsed="false">
      <c r="B99" s="105" t="s">
        <v>1507</v>
      </c>
    </row>
    <row r="100" customFormat="false" ht="17.25" hidden="false" customHeight="true" outlineLevel="0" collapsed="false">
      <c r="B100" s="106" t="s">
        <v>6829</v>
      </c>
      <c r="C100" s="106"/>
      <c r="D100" s="106"/>
      <c r="E100" s="106"/>
      <c r="F100" s="106"/>
      <c r="G100" s="106"/>
      <c r="H100" s="106"/>
    </row>
    <row r="101" customFormat="false" ht="17.25" hidden="false" customHeight="true" outlineLevel="0" collapsed="false">
      <c r="B101" s="106" t="s">
        <v>6830</v>
      </c>
      <c r="C101" s="106"/>
      <c r="D101" s="106"/>
      <c r="E101" s="106"/>
      <c r="F101" s="106"/>
      <c r="G101" s="106"/>
      <c r="H101" s="106"/>
    </row>
    <row r="102" customFormat="false" ht="17.25" hidden="false" customHeight="true" outlineLevel="0" collapsed="false">
      <c r="B102" s="106" t="s">
        <v>6831</v>
      </c>
      <c r="C102" s="106"/>
      <c r="D102" s="106"/>
      <c r="E102" s="106"/>
      <c r="F102" s="106"/>
      <c r="G102" s="106"/>
      <c r="H102" s="106"/>
    </row>
    <row r="103" customFormat="false" ht="17.25" hidden="false" customHeight="true" outlineLevel="0" collapsed="false">
      <c r="B103" s="106" t="s">
        <v>6832</v>
      </c>
      <c r="C103" s="106"/>
      <c r="D103" s="106"/>
      <c r="E103" s="106"/>
      <c r="F103" s="106"/>
      <c r="G103" s="106"/>
      <c r="H103" s="106"/>
    </row>
    <row r="104" customFormat="false" ht="17.25" hidden="false" customHeight="true" outlineLevel="0" collapsed="false">
      <c r="B104" s="106" t="s">
        <v>6833</v>
      </c>
      <c r="C104" s="106"/>
      <c r="D104" s="106"/>
      <c r="E104" s="106"/>
      <c r="F104" s="106"/>
      <c r="G104" s="106"/>
      <c r="H104" s="106"/>
    </row>
    <row r="106" customFormat="false" ht="15.75" hidden="false" customHeight="true" outlineLevel="0" collapsed="false">
      <c r="B106" s="103" t="s">
        <v>1513</v>
      </c>
      <c r="C106" s="8"/>
      <c r="D106" s="8"/>
      <c r="E106" s="8"/>
      <c r="F106" s="8"/>
      <c r="G106" s="8"/>
      <c r="H106" s="8"/>
      <c r="I106" s="8"/>
      <c r="J106" s="8"/>
      <c r="K106" s="8"/>
    </row>
    <row r="107" customFormat="false" ht="17.25" hidden="false" customHeight="true" outlineLevel="0" collapsed="false">
      <c r="B107" s="106" t="s">
        <v>6712</v>
      </c>
      <c r="C107" s="106"/>
      <c r="D107" s="106"/>
      <c r="E107" s="106"/>
      <c r="F107" s="106"/>
      <c r="N107" s="169" t="s">
        <v>1515</v>
      </c>
    </row>
    <row r="108" customFormat="false" ht="44.25" hidden="false" customHeight="true" outlineLevel="0" collapsed="false">
      <c r="B108" s="106" t="s">
        <v>6834</v>
      </c>
      <c r="C108" s="106"/>
      <c r="D108" s="106"/>
      <c r="E108" s="106"/>
      <c r="F108" s="106"/>
      <c r="N108" s="120" t="s">
        <v>6835</v>
      </c>
    </row>
    <row r="109" customFormat="false" ht="44.25" hidden="false" customHeight="true" outlineLevel="0" collapsed="false">
      <c r="B109" s="106" t="s">
        <v>6836</v>
      </c>
      <c r="C109" s="106"/>
      <c r="D109" s="106"/>
      <c r="E109" s="106"/>
      <c r="F109" s="106"/>
      <c r="N109" s="120" t="s">
        <v>6837</v>
      </c>
    </row>
    <row r="110" customFormat="false" ht="30.75" hidden="false" customHeight="true" outlineLevel="0" collapsed="false">
      <c r="B110" s="106" t="s">
        <v>6838</v>
      </c>
      <c r="C110" s="106"/>
      <c r="D110" s="106"/>
      <c r="E110" s="106"/>
      <c r="F110" s="106"/>
      <c r="N110" s="120" t="s">
        <v>6839</v>
      </c>
    </row>
    <row r="112" customFormat="false" ht="15.75" hidden="false" customHeight="true" outlineLevel="0" collapsed="false">
      <c r="B112" s="103" t="s">
        <v>1522</v>
      </c>
      <c r="C112" s="8"/>
      <c r="D112" s="8"/>
      <c r="E112" s="8"/>
      <c r="F112" s="8"/>
      <c r="G112" s="8"/>
      <c r="H112" s="8"/>
      <c r="I112" s="8"/>
      <c r="J112" s="8"/>
      <c r="K112" s="8"/>
    </row>
    <row r="113" customFormat="false" ht="17.25" hidden="false" customHeight="true" outlineLevel="0" collapsed="false">
      <c r="B113" s="152" t="s">
        <v>1523</v>
      </c>
      <c r="C113" s="152" t="s">
        <v>1524</v>
      </c>
      <c r="D113" s="152" t="s">
        <v>6719</v>
      </c>
      <c r="E113" s="152"/>
    </row>
    <row r="114" customFormat="false" ht="44.25" hidden="false" customHeight="true" outlineLevel="0" collapsed="false">
      <c r="B114" s="170" t="s">
        <v>6840</v>
      </c>
      <c r="C114" s="170" t="s">
        <v>6841</v>
      </c>
      <c r="D114" s="171" t="s">
        <v>6842</v>
      </c>
      <c r="E114" s="171"/>
    </row>
  </sheetData>
  <mergeCells count="57">
    <mergeCell ref="B2:J2"/>
    <mergeCell ref="D3:H3"/>
    <mergeCell ref="C6:G6"/>
    <mergeCell ref="C7:G7"/>
    <mergeCell ref="C8:G8"/>
    <mergeCell ref="B11:H13"/>
    <mergeCell ref="B14:H16"/>
    <mergeCell ref="B17:H19"/>
    <mergeCell ref="B20:H21"/>
    <mergeCell ref="B24:D24"/>
    <mergeCell ref="E24:F24"/>
    <mergeCell ref="B25:D25"/>
    <mergeCell ref="E25:F25"/>
    <mergeCell ref="B26:D26"/>
    <mergeCell ref="E26:F26"/>
    <mergeCell ref="B27:D27"/>
    <mergeCell ref="E27:F27"/>
    <mergeCell ref="B28:H28"/>
    <mergeCell ref="B37:H42"/>
    <mergeCell ref="B44:H44"/>
    <mergeCell ref="B45:H45"/>
    <mergeCell ref="D48:F48"/>
    <mergeCell ref="D49:F49"/>
    <mergeCell ref="D50:F50"/>
    <mergeCell ref="D51:F51"/>
    <mergeCell ref="D52:F52"/>
    <mergeCell ref="D53:F53"/>
    <mergeCell ref="B56:H57"/>
    <mergeCell ref="B58:H58"/>
    <mergeCell ref="C59:E59"/>
    <mergeCell ref="B67:H67"/>
    <mergeCell ref="I68:J68"/>
    <mergeCell ref="I69:J69"/>
    <mergeCell ref="I70:J70"/>
    <mergeCell ref="I71:J71"/>
    <mergeCell ref="I72:J72"/>
    <mergeCell ref="I73:J73"/>
    <mergeCell ref="I74:J74"/>
    <mergeCell ref="I75:J75"/>
    <mergeCell ref="I76:J76"/>
    <mergeCell ref="C91:G91"/>
    <mergeCell ref="D93:H93"/>
    <mergeCell ref="D94:H94"/>
    <mergeCell ref="D95:H95"/>
    <mergeCell ref="D96:H96"/>
    <mergeCell ref="D97:H97"/>
    <mergeCell ref="B100:H100"/>
    <mergeCell ref="B101:H101"/>
    <mergeCell ref="B102:H102"/>
    <mergeCell ref="B103:H103"/>
    <mergeCell ref="B104:H104"/>
    <mergeCell ref="B107:F107"/>
    <mergeCell ref="B108:F108"/>
    <mergeCell ref="B109:F109"/>
    <mergeCell ref="B110:F110"/>
    <mergeCell ref="D113:E113"/>
    <mergeCell ref="D114:E114"/>
  </mergeCells>
  <hyperlinks>
    <hyperlink ref="B3" location="'N-03 Index DMAIC'!A1" display="← Back to Index"/>
    <hyperlink ref="E31" location="'L-20 Heijunka'!A1" display="L-20  Heijunka (Level Loading)"/>
    <hyperlink ref="E32" location="'L-14 Standard Work'!A1" display="L-14  Standard Work"/>
    <hyperlink ref="E33" location="'L-08 Littles Law and WIP'!A1" display="L-08  Little's Law and WIP"/>
    <hyperlink ref="E34" location="'L-07 Takt Cycle Lead Time'!A1" display="L-07  Takt, Cycle and Lead Time"/>
    <hyperlink ref="B114" location="'L-01 Eight Wastes'!A1" display="L-01  The Eight Wastes"/>
    <hyperlink ref="C114" location="'L-03 VSM Future State'!A1" display="L-03  Value Stream Map, Future State"/>
    <hyperlink ref="D114" location="'L-04 Process Mapping'!A1" display="L-04  Process Mapping and Swimlan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6"/>
    <col collapsed="false" customWidth="true" hidden="false" outlineLevel="0" max="4" min="4" style="1" width="15"/>
    <col collapsed="false" customWidth="true" hidden="false" outlineLevel="0" max="5" min="5" style="1" width="18"/>
    <col collapsed="false" customWidth="true" hidden="false" outlineLevel="0" max="6" min="6" style="1" width="40"/>
    <col collapsed="false" customWidth="true" hidden="false" outlineLevel="0" max="9" min="7" style="1" width="15"/>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6843</v>
      </c>
      <c r="C2" s="148"/>
      <c r="D2" s="148"/>
      <c r="E2" s="148"/>
      <c r="F2" s="148"/>
      <c r="G2" s="148"/>
      <c r="H2" s="148"/>
      <c r="I2" s="148"/>
      <c r="J2" s="148"/>
      <c r="K2" s="179" t="s">
        <v>5137</v>
      </c>
    </row>
    <row r="3" customFormat="false" ht="28.5" hidden="false" customHeight="true" outlineLevel="0" collapsed="false">
      <c r="B3" s="150" t="s">
        <v>3</v>
      </c>
      <c r="D3" s="151" t="s">
        <v>6844</v>
      </c>
      <c r="E3" s="151"/>
      <c r="F3" s="151"/>
      <c r="G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6845</v>
      </c>
      <c r="D6" s="106"/>
      <c r="E6" s="106"/>
      <c r="F6" s="106"/>
      <c r="G6" s="106"/>
    </row>
    <row r="7" customFormat="false" ht="31.5" hidden="false" customHeight="true" outlineLevel="0" collapsed="false">
      <c r="B7" s="105" t="s">
        <v>1394</v>
      </c>
      <c r="C7" s="106" t="s">
        <v>6846</v>
      </c>
      <c r="D7" s="106"/>
      <c r="E7" s="106"/>
      <c r="F7" s="106"/>
      <c r="G7" s="106"/>
    </row>
    <row r="8" customFormat="false" ht="17.25" hidden="false" customHeight="true" outlineLevel="0" collapsed="false">
      <c r="B8" s="105" t="s">
        <v>1396</v>
      </c>
      <c r="C8" s="106" t="s">
        <v>6847</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1.25" hidden="false" customHeight="true" outlineLevel="0" collapsed="false">
      <c r="B11" s="106" t="s">
        <v>6848</v>
      </c>
      <c r="C11" s="106"/>
      <c r="D11" s="106"/>
      <c r="E11" s="106"/>
      <c r="F11" s="106"/>
      <c r="G11" s="106"/>
    </row>
    <row r="12" customFormat="false" ht="11.25" hidden="false" customHeight="true" outlineLevel="0" collapsed="false">
      <c r="B12" s="106"/>
      <c r="C12" s="106"/>
      <c r="D12" s="106"/>
      <c r="E12" s="106"/>
      <c r="F12" s="106"/>
      <c r="G12" s="106"/>
    </row>
    <row r="13" customFormat="false" ht="11.25" hidden="false" customHeight="true" outlineLevel="0" collapsed="false">
      <c r="B13" s="106"/>
      <c r="C13" s="106"/>
      <c r="D13" s="106"/>
      <c r="E13" s="106"/>
      <c r="F13" s="106"/>
      <c r="G13" s="106"/>
    </row>
    <row r="14" customFormat="false" ht="11.25" hidden="false" customHeight="true" outlineLevel="0" collapsed="false">
      <c r="B14" s="106"/>
      <c r="C14" s="106"/>
      <c r="D14" s="106"/>
      <c r="E14" s="106"/>
      <c r="F14" s="106"/>
      <c r="G14" s="106"/>
    </row>
    <row r="15" customFormat="false" ht="10.5" hidden="false" customHeight="true" outlineLevel="0" collapsed="false">
      <c r="B15" s="106" t="s">
        <v>6849</v>
      </c>
      <c r="C15" s="106"/>
      <c r="D15" s="106"/>
      <c r="E15" s="106"/>
      <c r="F15" s="106"/>
      <c r="G15" s="106"/>
    </row>
    <row r="16" customFormat="false" ht="10.5" hidden="false" customHeight="true" outlineLevel="0" collapsed="false">
      <c r="B16" s="106"/>
      <c r="C16" s="106"/>
      <c r="D16" s="106"/>
      <c r="E16" s="106"/>
      <c r="F16" s="106"/>
      <c r="G16" s="106"/>
    </row>
    <row r="17" customFormat="false" ht="10.5" hidden="false" customHeight="true" outlineLevel="0" collapsed="false">
      <c r="B17" s="106"/>
      <c r="C17" s="106"/>
      <c r="D17" s="106"/>
      <c r="E17" s="106"/>
      <c r="F17" s="106"/>
      <c r="G17" s="106"/>
    </row>
    <row r="18" customFormat="false" ht="15.75" hidden="false" customHeight="true" outlineLevel="0" collapsed="false">
      <c r="B18" s="106" t="s">
        <v>6850</v>
      </c>
      <c r="C18" s="106"/>
      <c r="D18" s="106"/>
      <c r="E18" s="106"/>
      <c r="F18" s="106"/>
      <c r="G18" s="106"/>
    </row>
    <row r="19" customFormat="false" ht="15.75" hidden="false" customHeight="true" outlineLevel="0" collapsed="false">
      <c r="B19" s="106"/>
      <c r="C19" s="106"/>
      <c r="D19" s="106"/>
      <c r="E19" s="106"/>
      <c r="F19" s="106"/>
      <c r="G19" s="106"/>
    </row>
    <row r="20" customFormat="false" ht="8.25" hidden="false" customHeight="true" outlineLevel="0" collapsed="false">
      <c r="B20" s="106" t="s">
        <v>6851</v>
      </c>
      <c r="C20" s="106"/>
      <c r="D20" s="106"/>
      <c r="E20" s="106"/>
      <c r="F20" s="106"/>
      <c r="G20" s="106"/>
    </row>
    <row r="21" customFormat="false" ht="8.25" hidden="false" customHeight="true" outlineLevel="0" collapsed="false">
      <c r="B21" s="106"/>
      <c r="C21" s="106"/>
      <c r="D21" s="106"/>
      <c r="E21" s="106"/>
      <c r="F21" s="106"/>
      <c r="G21" s="106"/>
    </row>
    <row r="23" customFormat="false" ht="15.75" hidden="false" customHeight="true" outlineLevel="0" collapsed="false">
      <c r="B23" s="103" t="s">
        <v>1406</v>
      </c>
      <c r="C23" s="8"/>
      <c r="D23" s="8"/>
      <c r="E23" s="8"/>
      <c r="F23" s="8"/>
      <c r="G23" s="8"/>
      <c r="H23" s="8"/>
      <c r="I23" s="8"/>
      <c r="J23" s="8"/>
      <c r="K23" s="8"/>
    </row>
    <row r="24" customFormat="false" ht="17.25" hidden="false" customHeight="true" outlineLevel="0" collapsed="false">
      <c r="B24" s="107" t="s">
        <v>1407</v>
      </c>
      <c r="C24" s="107"/>
      <c r="D24" s="107"/>
      <c r="E24" s="107" t="s">
        <v>1408</v>
      </c>
      <c r="F24" s="107"/>
      <c r="G24" s="107"/>
    </row>
    <row r="25" customFormat="false" ht="31.5" hidden="false" customHeight="true" outlineLevel="0" collapsed="false">
      <c r="B25" s="106" t="s">
        <v>6852</v>
      </c>
      <c r="C25" s="106"/>
      <c r="D25" s="106"/>
      <c r="E25" s="106" t="s">
        <v>6853</v>
      </c>
      <c r="F25" s="106"/>
      <c r="G25" s="106"/>
    </row>
    <row r="26" customFormat="false" ht="31.5" hidden="false" customHeight="true" outlineLevel="0" collapsed="false">
      <c r="B26" s="106" t="s">
        <v>6854</v>
      </c>
      <c r="C26" s="106"/>
      <c r="D26" s="106"/>
      <c r="E26" s="106" t="s">
        <v>6855</v>
      </c>
      <c r="F26" s="106"/>
      <c r="G26" s="106"/>
    </row>
    <row r="27" customFormat="false" ht="31.5" hidden="false" customHeight="true" outlineLevel="0" collapsed="false">
      <c r="B27" s="106" t="s">
        <v>6856</v>
      </c>
      <c r="C27" s="106"/>
      <c r="D27" s="106"/>
      <c r="E27" s="106" t="s">
        <v>6857</v>
      </c>
      <c r="F27" s="106"/>
      <c r="G27" s="106"/>
    </row>
    <row r="28" customFormat="false" ht="17.25" hidden="false" customHeight="true" outlineLevel="0" collapsed="false">
      <c r="B28" s="106" t="s">
        <v>6858</v>
      </c>
      <c r="C28" s="106"/>
      <c r="D28" s="106"/>
      <c r="E28" s="106"/>
      <c r="F28" s="106"/>
      <c r="G28" s="106"/>
    </row>
    <row r="30" customFormat="false" ht="30.75" hidden="false" customHeight="true" outlineLevel="0" collapsed="false">
      <c r="B30" s="152" t="s">
        <v>6621</v>
      </c>
      <c r="C30" s="152" t="s">
        <v>1417</v>
      </c>
      <c r="D30" s="152" t="s">
        <v>1418</v>
      </c>
      <c r="E30" s="152" t="s">
        <v>1419</v>
      </c>
      <c r="F30" s="152"/>
    </row>
    <row r="31" customFormat="false" ht="86.25" hidden="false" customHeight="true" outlineLevel="0" collapsed="false">
      <c r="B31" s="15" t="s">
        <v>6859</v>
      </c>
      <c r="C31" s="15" t="s">
        <v>6860</v>
      </c>
      <c r="D31" s="15" t="s">
        <v>6861</v>
      </c>
      <c r="E31" s="153" t="s">
        <v>6862</v>
      </c>
      <c r="F31" s="153"/>
    </row>
    <row r="32" customFormat="false" ht="86.25" hidden="false" customHeight="true" outlineLevel="0" collapsed="false">
      <c r="B32" s="15" t="s">
        <v>6863</v>
      </c>
      <c r="C32" s="15" t="s">
        <v>6864</v>
      </c>
      <c r="D32" s="15" t="s">
        <v>6865</v>
      </c>
      <c r="E32" s="153" t="s">
        <v>6866</v>
      </c>
      <c r="F32" s="153"/>
    </row>
    <row r="33" customFormat="false" ht="72" hidden="false" customHeight="true" outlineLevel="0" collapsed="false">
      <c r="B33" s="15" t="s">
        <v>6867</v>
      </c>
      <c r="C33" s="15" t="s">
        <v>6868</v>
      </c>
      <c r="D33" s="15" t="s">
        <v>6869</v>
      </c>
      <c r="E33" s="153" t="s">
        <v>1109</v>
      </c>
      <c r="F33" s="153"/>
    </row>
    <row r="34" customFormat="false" ht="72" hidden="false" customHeight="true" outlineLevel="0" collapsed="false">
      <c r="B34" s="15" t="s">
        <v>6870</v>
      </c>
      <c r="C34" s="15" t="s">
        <v>6871</v>
      </c>
      <c r="D34" s="15" t="s">
        <v>6872</v>
      </c>
      <c r="E34" s="153" t="s">
        <v>1259</v>
      </c>
      <c r="F34" s="153"/>
    </row>
    <row r="36" customFormat="false" ht="15.75" hidden="false" customHeight="true" outlineLevel="0" collapsed="false">
      <c r="B36" s="103" t="s">
        <v>1429</v>
      </c>
      <c r="C36" s="8"/>
      <c r="D36" s="8"/>
      <c r="E36" s="8"/>
      <c r="F36" s="8"/>
      <c r="G36" s="8"/>
      <c r="H36" s="8"/>
      <c r="I36" s="8"/>
      <c r="J36" s="8"/>
      <c r="K36" s="8"/>
    </row>
    <row r="37" customFormat="false" ht="17.25" hidden="false" customHeight="true" outlineLevel="0" collapsed="false">
      <c r="B37" s="106" t="s">
        <v>6873</v>
      </c>
      <c r="C37" s="106"/>
      <c r="D37" s="106"/>
      <c r="E37" s="106"/>
      <c r="F37" s="106"/>
      <c r="G37" s="106"/>
    </row>
    <row r="38" customFormat="false" ht="17.25" hidden="false" customHeight="true" outlineLevel="0" collapsed="false">
      <c r="B38" s="106" t="s">
        <v>6874</v>
      </c>
      <c r="C38" s="106"/>
      <c r="D38" s="106"/>
      <c r="E38" s="106"/>
      <c r="F38" s="106"/>
      <c r="G38" s="106"/>
    </row>
    <row r="39" customFormat="false" ht="8.25" hidden="false" customHeight="true" outlineLevel="0" collapsed="false">
      <c r="B39" s="106" t="s">
        <v>6875</v>
      </c>
      <c r="C39" s="106"/>
      <c r="D39" s="106"/>
      <c r="E39" s="106"/>
      <c r="F39" s="106"/>
      <c r="G39" s="106"/>
    </row>
    <row r="40" customFormat="false" ht="8.25" hidden="false" customHeight="true" outlineLevel="0" collapsed="false">
      <c r="B40" s="106"/>
      <c r="C40" s="106"/>
      <c r="D40" s="106"/>
      <c r="E40" s="106"/>
      <c r="F40" s="106"/>
      <c r="G40" s="106"/>
    </row>
    <row r="41" customFormat="false" ht="15" hidden="false" customHeight="true" outlineLevel="0" collapsed="false">
      <c r="B41" s="122"/>
    </row>
    <row r="42" customFormat="false" ht="17.25" hidden="false" customHeight="true" outlineLevel="0" collapsed="false">
      <c r="B42" s="106" t="s">
        <v>6876</v>
      </c>
      <c r="C42" s="106"/>
      <c r="D42" s="106"/>
      <c r="E42" s="106"/>
      <c r="F42" s="106"/>
      <c r="G42" s="106"/>
    </row>
    <row r="43" customFormat="false" ht="15" hidden="false" customHeight="true" outlineLevel="0" collapsed="false">
      <c r="B43" s="122"/>
    </row>
    <row r="44" customFormat="false" ht="17.25" hidden="false" customHeight="true" outlineLevel="0" collapsed="false">
      <c r="B44" s="106" t="s">
        <v>6877</v>
      </c>
      <c r="C44" s="106"/>
      <c r="D44" s="106"/>
      <c r="E44" s="106"/>
      <c r="F44" s="106"/>
      <c r="G44" s="106"/>
    </row>
    <row r="45" customFormat="false" ht="17.25" hidden="false" customHeight="true" outlineLevel="0" collapsed="false">
      <c r="B45" s="106" t="s">
        <v>6878</v>
      </c>
      <c r="C45" s="106"/>
      <c r="D45" s="106"/>
      <c r="E45" s="106"/>
      <c r="F45" s="106"/>
      <c r="G45" s="106"/>
    </row>
    <row r="46" customFormat="false" ht="15" hidden="false" customHeight="true" outlineLevel="0" collapsed="false">
      <c r="B46" s="122"/>
    </row>
    <row r="47" customFormat="false" ht="17.25" hidden="false" customHeight="true" outlineLevel="0" collapsed="false">
      <c r="B47" s="106" t="s">
        <v>6879</v>
      </c>
      <c r="C47" s="106"/>
      <c r="D47" s="106"/>
      <c r="E47" s="106"/>
      <c r="F47" s="106"/>
      <c r="G47" s="106"/>
    </row>
    <row r="49" customFormat="false" ht="15.75" hidden="false" customHeight="true" outlineLevel="0" collapsed="false">
      <c r="B49" s="103" t="s">
        <v>1437</v>
      </c>
      <c r="C49" s="8"/>
      <c r="D49" s="8"/>
      <c r="E49" s="8"/>
      <c r="F49" s="8"/>
      <c r="G49" s="8"/>
      <c r="H49" s="8"/>
      <c r="I49" s="8"/>
      <c r="J49" s="8"/>
      <c r="K49" s="8"/>
    </row>
    <row r="50" customFormat="false" ht="17.25" hidden="false" customHeight="true" outlineLevel="0" collapsed="false">
      <c r="B50" s="152" t="s">
        <v>1438</v>
      </c>
      <c r="C50" s="152" t="s">
        <v>1439</v>
      </c>
      <c r="D50" s="152" t="s">
        <v>1440</v>
      </c>
      <c r="E50" s="152"/>
      <c r="F50" s="152"/>
      <c r="G50" s="152"/>
    </row>
    <row r="51" customFormat="false" ht="31.5" hidden="false" customHeight="true" outlineLevel="0" collapsed="false">
      <c r="B51" s="15" t="s">
        <v>6880</v>
      </c>
      <c r="C51" s="15" t="s">
        <v>6881</v>
      </c>
      <c r="D51" s="15" t="s">
        <v>6882</v>
      </c>
      <c r="E51" s="15"/>
      <c r="F51" s="15"/>
      <c r="G51" s="15"/>
    </row>
    <row r="52" customFormat="false" ht="17.25" hidden="false" customHeight="true" outlineLevel="0" collapsed="false">
      <c r="B52" s="15" t="s">
        <v>4079</v>
      </c>
      <c r="C52" s="15" t="s">
        <v>4080</v>
      </c>
      <c r="D52" s="15" t="s">
        <v>6883</v>
      </c>
      <c r="E52" s="15"/>
      <c r="F52" s="15"/>
      <c r="G52" s="15"/>
    </row>
    <row r="53" customFormat="false" ht="44.25" hidden="false" customHeight="true" outlineLevel="0" collapsed="false">
      <c r="B53" s="15" t="s">
        <v>6884</v>
      </c>
      <c r="C53" s="15" t="s">
        <v>6885</v>
      </c>
      <c r="D53" s="15" t="s">
        <v>6886</v>
      </c>
      <c r="E53" s="15"/>
      <c r="F53" s="15"/>
      <c r="G53" s="15"/>
    </row>
    <row r="54" customFormat="false" ht="17.25" hidden="false" customHeight="true" outlineLevel="0" collapsed="false">
      <c r="B54" s="15" t="s">
        <v>1839</v>
      </c>
      <c r="C54" s="15" t="s">
        <v>6647</v>
      </c>
      <c r="D54" s="15" t="s">
        <v>6887</v>
      </c>
      <c r="E54" s="15"/>
      <c r="F54" s="15"/>
      <c r="G54" s="15"/>
    </row>
    <row r="56" customFormat="false" ht="15.75" hidden="false" customHeight="true" outlineLevel="0" collapsed="false">
      <c r="B56" s="103" t="s">
        <v>1454</v>
      </c>
      <c r="C56" s="8"/>
      <c r="D56" s="8"/>
      <c r="E56" s="8"/>
      <c r="F56" s="8"/>
      <c r="G56" s="8"/>
      <c r="H56" s="8"/>
      <c r="I56" s="8"/>
      <c r="J56" s="8"/>
      <c r="K56" s="8"/>
    </row>
    <row r="57" customFormat="false" ht="15.75" hidden="false" customHeight="true" outlineLevel="0" collapsed="false">
      <c r="B57" s="106" t="s">
        <v>6888</v>
      </c>
      <c r="C57" s="106"/>
      <c r="D57" s="106"/>
      <c r="E57" s="106"/>
      <c r="F57" s="106"/>
      <c r="G57" s="106"/>
    </row>
    <row r="58" customFormat="false" ht="15.75" hidden="false" customHeight="true" outlineLevel="0" collapsed="false">
      <c r="B58" s="106"/>
      <c r="C58" s="106"/>
      <c r="D58" s="106"/>
      <c r="E58" s="106"/>
      <c r="F58" s="106"/>
      <c r="G58" s="106"/>
    </row>
    <row r="59" customFormat="false" ht="17.25" hidden="false" customHeight="true" outlineLevel="0" collapsed="false">
      <c r="B59" s="106" t="s">
        <v>6889</v>
      </c>
      <c r="C59" s="106"/>
      <c r="D59" s="106"/>
      <c r="E59" s="106"/>
      <c r="F59" s="106"/>
      <c r="G59" s="106"/>
    </row>
    <row r="60" customFormat="false" ht="17.25" hidden="false" customHeight="true" outlineLevel="0" collapsed="false">
      <c r="B60" s="112" t="s">
        <v>85</v>
      </c>
      <c r="C60" s="113" t="s">
        <v>86</v>
      </c>
      <c r="D60" s="113"/>
      <c r="E60" s="113"/>
    </row>
    <row r="62" customFormat="false" ht="17.25" hidden="false" customHeight="true" outlineLevel="0" collapsed="false">
      <c r="B62" s="107" t="s">
        <v>6890</v>
      </c>
      <c r="C62" s="107"/>
      <c r="D62" s="107"/>
      <c r="E62" s="107"/>
      <c r="F62" s="107"/>
      <c r="G62" s="107"/>
    </row>
    <row r="63" customFormat="false" ht="44.25" hidden="false" customHeight="true" outlineLevel="0" collapsed="false">
      <c r="B63" s="152" t="s">
        <v>6777</v>
      </c>
      <c r="C63" s="152" t="s">
        <v>6891</v>
      </c>
      <c r="D63" s="152" t="s">
        <v>6892</v>
      </c>
      <c r="E63" s="152" t="s">
        <v>6893</v>
      </c>
      <c r="F63" s="152" t="s">
        <v>6894</v>
      </c>
      <c r="G63" s="152" t="s">
        <v>6782</v>
      </c>
      <c r="H63" s="152"/>
      <c r="I63" s="152"/>
    </row>
    <row r="64" customFormat="false" ht="17.25" hidden="false" customHeight="true" outlineLevel="0" collapsed="false">
      <c r="B64" s="15" t="s">
        <v>6785</v>
      </c>
      <c r="C64" s="156" t="n">
        <v>0.18</v>
      </c>
      <c r="D64" s="155" t="n">
        <v>20</v>
      </c>
      <c r="E64" s="173" t="n">
        <v>20000</v>
      </c>
      <c r="F64" s="15" t="s">
        <v>6895</v>
      </c>
      <c r="G64" s="176" t="n">
        <f aca="false">IFERROR(E64/'L-02 VSM Current State'!$C$63,0)</f>
        <v>0.0555555555555556</v>
      </c>
      <c r="H64" s="176"/>
      <c r="I64" s="176"/>
    </row>
    <row r="65" customFormat="false" ht="17.25" hidden="false" customHeight="true" outlineLevel="0" collapsed="false">
      <c r="B65" s="15" t="s">
        <v>6787</v>
      </c>
      <c r="C65" s="156" t="n">
        <v>0.2</v>
      </c>
      <c r="D65" s="155" t="n">
        <v>30</v>
      </c>
      <c r="E65" s="173" t="n">
        <v>9000</v>
      </c>
      <c r="F65" s="15" t="s">
        <v>6896</v>
      </c>
      <c r="G65" s="176" t="n">
        <f aca="false">IFERROR(E65/'L-02 VSM Current State'!$C$63,0)</f>
        <v>0.025</v>
      </c>
      <c r="H65" s="176"/>
      <c r="I65" s="176"/>
    </row>
    <row r="66" customFormat="false" ht="17.25" hidden="false" customHeight="true" outlineLevel="0" collapsed="false">
      <c r="B66" s="15" t="s">
        <v>6788</v>
      </c>
      <c r="C66" s="156" t="n">
        <v>0.2</v>
      </c>
      <c r="D66" s="155" t="n">
        <v>15</v>
      </c>
      <c r="E66" s="173" t="n">
        <v>6000</v>
      </c>
      <c r="F66" s="15" t="s">
        <v>6897</v>
      </c>
      <c r="G66" s="176" t="n">
        <f aca="false">IFERROR(E66/'L-02 VSM Current State'!$C$63,0)</f>
        <v>0.0166666666666667</v>
      </c>
      <c r="H66" s="176"/>
      <c r="I66" s="176"/>
    </row>
    <row r="67" customFormat="false" ht="17.25" hidden="false" customHeight="true" outlineLevel="0" collapsed="false">
      <c r="B67" s="15" t="s">
        <v>6789</v>
      </c>
      <c r="C67" s="156" t="n">
        <v>0.05</v>
      </c>
      <c r="D67" s="155" t="n">
        <v>5</v>
      </c>
      <c r="E67" s="173" t="n">
        <v>3000</v>
      </c>
      <c r="F67" s="15" t="s">
        <v>6898</v>
      </c>
      <c r="G67" s="176" t="n">
        <f aca="false">IFERROR(E67/'L-02 VSM Current State'!$C$63,0)</f>
        <v>0.00833333333333333</v>
      </c>
      <c r="H67" s="176"/>
      <c r="I67" s="176"/>
    </row>
    <row r="68" customFormat="false" ht="17.25" hidden="false" customHeight="true" outlineLevel="0" collapsed="false">
      <c r="B68" s="15" t="s">
        <v>6791</v>
      </c>
      <c r="C68" s="156" t="n">
        <v>0.22</v>
      </c>
      <c r="D68" s="155" t="n">
        <v>15</v>
      </c>
      <c r="E68" s="173" t="n">
        <v>9000</v>
      </c>
      <c r="F68" s="15" t="s">
        <v>6899</v>
      </c>
      <c r="G68" s="176" t="n">
        <f aca="false">IFERROR(E68/'L-02 VSM Current State'!$C$63,0)</f>
        <v>0.025</v>
      </c>
      <c r="H68" s="176"/>
      <c r="I68" s="176"/>
    </row>
    <row r="69" customFormat="false" ht="17.25" hidden="false" customHeight="true" outlineLevel="0" collapsed="false">
      <c r="B69" s="15" t="s">
        <v>6792</v>
      </c>
      <c r="C69" s="156" t="n">
        <v>0.25</v>
      </c>
      <c r="D69" s="155" t="n">
        <v>15</v>
      </c>
      <c r="E69" s="173" t="n">
        <v>12000</v>
      </c>
      <c r="F69" s="15" t="s">
        <v>6900</v>
      </c>
      <c r="G69" s="176" t="n">
        <f aca="false">IFERROR(E69/'L-02 VSM Current State'!$C$63,0)</f>
        <v>0.0333333333333333</v>
      </c>
      <c r="H69" s="176"/>
      <c r="I69" s="176"/>
    </row>
    <row r="70" customFormat="false" ht="17.25" hidden="false" customHeight="true" outlineLevel="0" collapsed="false">
      <c r="B70" s="15" t="s">
        <v>6793</v>
      </c>
      <c r="C70" s="156" t="n">
        <v>0.15</v>
      </c>
      <c r="D70" s="155" t="n">
        <v>10</v>
      </c>
      <c r="E70" s="173" t="n">
        <v>12000</v>
      </c>
      <c r="F70" s="15" t="s">
        <v>6898</v>
      </c>
      <c r="G70" s="176" t="n">
        <f aca="false">IFERROR(E70/'L-02 VSM Current State'!$C$63,0)</f>
        <v>0.0333333333333333</v>
      </c>
      <c r="H70" s="176"/>
      <c r="I70" s="176"/>
    </row>
    <row r="71" customFormat="false" ht="17.25" hidden="false" customHeight="true" outlineLevel="0" collapsed="false">
      <c r="B71" s="15" t="s">
        <v>6794</v>
      </c>
      <c r="C71" s="156" t="n">
        <v>0</v>
      </c>
      <c r="D71" s="155" t="n">
        <v>0</v>
      </c>
      <c r="E71" s="173" t="n">
        <v>270000</v>
      </c>
      <c r="F71" s="15" t="s">
        <v>6901</v>
      </c>
      <c r="G71" s="176" t="n">
        <f aca="false">IFERROR(E71/'L-02 VSM Current State'!$C$63,0)</f>
        <v>0.75</v>
      </c>
      <c r="H71" s="176"/>
      <c r="I71" s="176"/>
    </row>
    <row r="73" customFormat="false" ht="15" hidden="false" customHeight="true" outlineLevel="0" collapsed="false">
      <c r="B73" s="105" t="s">
        <v>6902</v>
      </c>
    </row>
    <row r="74" customFormat="false" ht="30.75" hidden="false" customHeight="true" outlineLevel="0" collapsed="false">
      <c r="B74" s="152" t="s">
        <v>1929</v>
      </c>
      <c r="C74" s="152" t="s">
        <v>6903</v>
      </c>
      <c r="D74" s="152" t="s">
        <v>6904</v>
      </c>
      <c r="E74" s="152" t="s">
        <v>6905</v>
      </c>
      <c r="F74" s="152" t="s">
        <v>6575</v>
      </c>
    </row>
    <row r="75" customFormat="false" ht="16.5" hidden="false" customHeight="true" outlineLevel="0" collapsed="false">
      <c r="B75" s="15" t="s">
        <v>6906</v>
      </c>
      <c r="C75" s="176" t="n">
        <f aca="false">'L-02 VSM Current State'!$C$84</f>
        <v>2.10557002314815</v>
      </c>
      <c r="D75" s="176" t="n">
        <f aca="false">SUM(G64:G71)+SUM(C64:C71)/86400</f>
        <v>0.947236689814815</v>
      </c>
      <c r="E75" s="160" t="n">
        <f aca="false">IFERROR((C75-D75)/C75,0)</f>
        <v>0.550128146107176</v>
      </c>
      <c r="F75" s="15" t="s">
        <v>6801</v>
      </c>
    </row>
    <row r="76" customFormat="false" ht="16.5" hidden="false" customHeight="true" outlineLevel="0" collapsed="false">
      <c r="B76" s="15" t="s">
        <v>6907</v>
      </c>
      <c r="C76" s="159" t="n">
        <f aca="false">'L-02 VSM Current State'!$C$80</f>
        <v>758000</v>
      </c>
      <c r="D76" s="159" t="n">
        <f aca="false">SUM(E64:E71)</f>
        <v>341000</v>
      </c>
      <c r="E76" s="160" t="n">
        <f aca="false">IFERROR((C76-D76)/C76,0)</f>
        <v>0.550131926121372</v>
      </c>
      <c r="F76" s="15" t="s">
        <v>6798</v>
      </c>
    </row>
    <row r="77" customFormat="false" ht="16.5" hidden="false" customHeight="true" outlineLevel="0" collapsed="false">
      <c r="B77" s="15" t="s">
        <v>6815</v>
      </c>
      <c r="C77" s="159" t="n">
        <f aca="false">'L-02 VSM Current State'!$C$88</f>
        <v>200</v>
      </c>
      <c r="D77" s="159" t="n">
        <f aca="false">SUM(D64:D71)</f>
        <v>110</v>
      </c>
      <c r="E77" s="160" t="n">
        <f aca="false">IFERROR((C77-D77)/C77,0)</f>
        <v>0.45</v>
      </c>
      <c r="F77" s="15" t="s">
        <v>6816</v>
      </c>
    </row>
    <row r="78" customFormat="false" ht="30.75" hidden="false" customHeight="true" outlineLevel="0" collapsed="false">
      <c r="B78" s="15" t="s">
        <v>6908</v>
      </c>
      <c r="C78" s="174" t="n">
        <f aca="false">'L-02 VSM Current State'!$C$83</f>
        <v>0.8</v>
      </c>
      <c r="D78" s="174" t="n">
        <f aca="false">'L-02 VSM Current State'!$C$83</f>
        <v>0.8</v>
      </c>
      <c r="E78" s="15" t="s">
        <v>6909</v>
      </c>
      <c r="F78" s="15" t="s">
        <v>6774</v>
      </c>
    </row>
    <row r="79" customFormat="false" ht="16.5" hidden="false" customHeight="true" outlineLevel="0" collapsed="false">
      <c r="B79" s="15" t="s">
        <v>6818</v>
      </c>
      <c r="C79" s="178" t="n">
        <f aca="false">'L-02 VSM Current State'!$C$85</f>
        <v>4.3975071631269E-006</v>
      </c>
      <c r="D79" s="178" t="n">
        <f aca="false">IFERROR(D78/(D75*86400),0)</f>
        <v>9.7750217646969E-006</v>
      </c>
      <c r="E79" s="160" t="n">
        <f aca="false">IFERROR(D79/C79-1,0)</f>
        <v>1.22285522276358</v>
      </c>
      <c r="F79" s="15" t="s">
        <v>6910</v>
      </c>
    </row>
    <row r="81" customFormat="false" ht="17.25" hidden="false" customHeight="true" outlineLevel="0" collapsed="false">
      <c r="B81" s="107" t="s">
        <v>6911</v>
      </c>
      <c r="C81" s="107"/>
      <c r="D81" s="107"/>
      <c r="E81" s="107"/>
      <c r="F81" s="107"/>
      <c r="G81" s="107"/>
    </row>
    <row r="82" customFormat="false" ht="30.75" hidden="false" customHeight="true" outlineLevel="0" collapsed="false">
      <c r="B82" s="152" t="s">
        <v>6912</v>
      </c>
      <c r="C82" s="152" t="s">
        <v>6913</v>
      </c>
      <c r="D82" s="152" t="s">
        <v>6914</v>
      </c>
      <c r="E82" s="152" t="s">
        <v>15</v>
      </c>
      <c r="F82" s="152" t="s">
        <v>6915</v>
      </c>
      <c r="G82" s="152" t="s">
        <v>6916</v>
      </c>
      <c r="H82" s="152" t="s">
        <v>6917</v>
      </c>
      <c r="I82" s="152"/>
    </row>
    <row r="83" customFormat="false" ht="58.5" hidden="false" customHeight="true" outlineLevel="0" collapsed="false">
      <c r="B83" s="15" t="s">
        <v>34</v>
      </c>
      <c r="C83" s="15" t="s">
        <v>6918</v>
      </c>
      <c r="D83" s="15" t="s">
        <v>6919</v>
      </c>
      <c r="E83" s="177" t="s">
        <v>6920</v>
      </c>
      <c r="F83" s="180" t="n">
        <v>46280</v>
      </c>
      <c r="G83" s="177" t="s">
        <v>6921</v>
      </c>
      <c r="H83" s="161" t="n">
        <f aca="true">IFERROR(F83-TODAY(),"")</f>
        <v>48</v>
      </c>
      <c r="I83" s="161"/>
    </row>
    <row r="84" customFormat="false" ht="44.25" hidden="false" customHeight="true" outlineLevel="0" collapsed="false">
      <c r="B84" s="15" t="s">
        <v>6922</v>
      </c>
      <c r="C84" s="15" t="s">
        <v>6923</v>
      </c>
      <c r="D84" s="15" t="s">
        <v>6924</v>
      </c>
      <c r="E84" s="177" t="s">
        <v>6925</v>
      </c>
      <c r="F84" s="180" t="n">
        <v>46264</v>
      </c>
      <c r="G84" s="177" t="s">
        <v>6921</v>
      </c>
      <c r="H84" s="161" t="n">
        <f aca="true">IFERROR(F84-TODAY(),"")</f>
        <v>32</v>
      </c>
      <c r="I84" s="161"/>
    </row>
    <row r="85" customFormat="false" ht="58.5" hidden="false" customHeight="true" outlineLevel="0" collapsed="false">
      <c r="B85" s="15" t="s">
        <v>6926</v>
      </c>
      <c r="C85" s="15" t="s">
        <v>6927</v>
      </c>
      <c r="D85" s="15" t="s">
        <v>6928</v>
      </c>
      <c r="E85" s="177" t="s">
        <v>6929</v>
      </c>
      <c r="F85" s="180" t="n">
        <v>46295</v>
      </c>
      <c r="G85" s="177" t="s">
        <v>6930</v>
      </c>
      <c r="H85" s="161" t="n">
        <f aca="true">IFERROR(F85-TODAY(),"")</f>
        <v>63</v>
      </c>
      <c r="I85" s="161"/>
    </row>
    <row r="86" customFormat="false" ht="58.5" hidden="false" customHeight="true" outlineLevel="0" collapsed="false">
      <c r="B86" s="15" t="s">
        <v>6931</v>
      </c>
      <c r="C86" s="15" t="s">
        <v>6932</v>
      </c>
      <c r="D86" s="15" t="s">
        <v>6933</v>
      </c>
      <c r="E86" s="177" t="s">
        <v>6934</v>
      </c>
      <c r="F86" s="180" t="n">
        <v>46310</v>
      </c>
      <c r="G86" s="177" t="s">
        <v>6930</v>
      </c>
      <c r="H86" s="161" t="n">
        <f aca="true">IFERROR(F86-TODAY(),"")</f>
        <v>78</v>
      </c>
      <c r="I86" s="161"/>
    </row>
    <row r="87" customFormat="false" ht="44.25" hidden="false" customHeight="true" outlineLevel="0" collapsed="false">
      <c r="B87" s="15" t="s">
        <v>40</v>
      </c>
      <c r="C87" s="15" t="s">
        <v>6935</v>
      </c>
      <c r="D87" s="15" t="s">
        <v>6936</v>
      </c>
      <c r="E87" s="177" t="s">
        <v>6934</v>
      </c>
      <c r="F87" s="180" t="n">
        <v>46341</v>
      </c>
      <c r="G87" s="177" t="s">
        <v>6930</v>
      </c>
      <c r="H87" s="161" t="n">
        <f aca="true">IFERROR(F87-TODAY(),"")</f>
        <v>109</v>
      </c>
      <c r="I87" s="161"/>
    </row>
    <row r="89" customFormat="false" ht="17.25" hidden="false" customHeight="true" outlineLevel="0" collapsed="false">
      <c r="B89" s="162" t="s">
        <v>6937</v>
      </c>
      <c r="C89" s="166" t="n">
        <f aca="false">IFERROR(COUNTIF(G83:G87,"Done")/COUNTA(G83:G87),0)</f>
        <v>0</v>
      </c>
      <c r="D89" s="15" t="s">
        <v>6938</v>
      </c>
      <c r="E89" s="15"/>
      <c r="F89" s="15"/>
    </row>
    <row r="91" customFormat="false" ht="15.75" hidden="false" customHeight="true" outlineLevel="0" collapsed="false">
      <c r="B91" s="103" t="s">
        <v>1493</v>
      </c>
      <c r="C91" s="8"/>
      <c r="D91" s="8"/>
      <c r="E91" s="8"/>
      <c r="F91" s="8"/>
      <c r="G91" s="8"/>
      <c r="H91" s="8"/>
      <c r="I91" s="8"/>
      <c r="J91" s="8"/>
      <c r="K91" s="8"/>
    </row>
    <row r="92" customFormat="false" ht="33.75" hidden="false" customHeight="true" outlineLevel="0" collapsed="false">
      <c r="B92" s="105" t="s">
        <v>1494</v>
      </c>
      <c r="C92" s="168" t="str">
        <f aca="false">"Future state lead time "&amp;TEXT(D75,"0.00")&amp;" days versus "&amp;TEXT(C75,"0.00")&amp;" days today, a "&amp;TEXT(IFERROR((C75-D75)/C75,0),"0.0%")&amp;" reduction, with PCE moving from "&amp;TEXT(C79,"0.000%")&amp;" to "&amp;TEXT(D79,"0.000%")&amp;". "&amp;IF(IFERROR((C75-D75)/C75,0)&lt;0.2,"Under 20%: the design is timid — challenge the inventory and the changeovers again.",IF(IFERROR((C75-D75)/C75,0)&lt;0.7,"A credible first future state. Now execute the action plan below.","Over 70%: verify that every target is supported by a real counter-measure, not an aspiration."))</f>
        <v>Future state lead time 0.95 days versus 2.11 days today, a 55.0% reduction, with PCE moving from 0.000% to 0.001%. A credible first future state. Now execute the action plan below.</v>
      </c>
      <c r="D92" s="168"/>
      <c r="E92" s="168"/>
      <c r="F92" s="168"/>
      <c r="G92" s="168"/>
    </row>
    <row r="94" customFormat="false" ht="17.25" hidden="false" customHeight="true" outlineLevel="0" collapsed="false">
      <c r="B94" s="152" t="s">
        <v>1495</v>
      </c>
      <c r="C94" s="152" t="s">
        <v>1496</v>
      </c>
      <c r="D94" s="152" t="s">
        <v>1497</v>
      </c>
      <c r="E94" s="152"/>
      <c r="F94" s="152"/>
    </row>
    <row r="95" customFormat="false" ht="44.25" hidden="false" customHeight="true" outlineLevel="0" collapsed="false">
      <c r="B95" s="15" t="s">
        <v>6939</v>
      </c>
      <c r="C95" s="15" t="s">
        <v>6940</v>
      </c>
      <c r="D95" s="15" t="s">
        <v>6941</v>
      </c>
      <c r="E95" s="15"/>
      <c r="F95" s="15"/>
    </row>
    <row r="96" customFormat="false" ht="30.75" hidden="false" customHeight="true" outlineLevel="0" collapsed="false">
      <c r="B96" s="15" t="s">
        <v>6942</v>
      </c>
      <c r="C96" s="15" t="s">
        <v>6943</v>
      </c>
      <c r="D96" s="15" t="s">
        <v>6944</v>
      </c>
      <c r="E96" s="15"/>
      <c r="F96" s="15"/>
    </row>
    <row r="97" customFormat="false" ht="30.75" hidden="false" customHeight="true" outlineLevel="0" collapsed="false">
      <c r="B97" s="15" t="s">
        <v>6945</v>
      </c>
      <c r="C97" s="15" t="s">
        <v>6946</v>
      </c>
      <c r="D97" s="15" t="s">
        <v>6947</v>
      </c>
      <c r="E97" s="15"/>
      <c r="F97" s="15"/>
    </row>
    <row r="98" customFormat="false" ht="17.25" hidden="false" customHeight="true" outlineLevel="0" collapsed="false">
      <c r="B98" s="15" t="s">
        <v>6948</v>
      </c>
      <c r="C98" s="15" t="s">
        <v>1958</v>
      </c>
      <c r="D98" s="15" t="s">
        <v>6949</v>
      </c>
      <c r="E98" s="15"/>
      <c r="F98" s="15"/>
    </row>
    <row r="100" customFormat="false" ht="15" hidden="false" customHeight="true" outlineLevel="0" collapsed="false">
      <c r="B100" s="105" t="s">
        <v>1507</v>
      </c>
    </row>
    <row r="101" customFormat="false" ht="17.25" hidden="false" customHeight="true" outlineLevel="0" collapsed="false">
      <c r="B101" s="106" t="s">
        <v>6950</v>
      </c>
      <c r="C101" s="106"/>
      <c r="D101" s="106"/>
      <c r="E101" s="106"/>
      <c r="F101" s="106"/>
      <c r="G101" s="106"/>
    </row>
    <row r="102" customFormat="false" ht="17.25" hidden="false" customHeight="true" outlineLevel="0" collapsed="false">
      <c r="B102" s="106" t="s">
        <v>6951</v>
      </c>
      <c r="C102" s="106"/>
      <c r="D102" s="106"/>
      <c r="E102" s="106"/>
      <c r="F102" s="106"/>
      <c r="G102" s="106"/>
    </row>
    <row r="103" customFormat="false" ht="17.25" hidden="false" customHeight="true" outlineLevel="0" collapsed="false">
      <c r="B103" s="106" t="s">
        <v>6952</v>
      </c>
      <c r="C103" s="106"/>
      <c r="D103" s="106"/>
      <c r="E103" s="106"/>
      <c r="F103" s="106"/>
      <c r="G103" s="106"/>
    </row>
    <row r="104" customFormat="false" ht="17.25" hidden="false" customHeight="true" outlineLevel="0" collapsed="false">
      <c r="B104" s="106" t="s">
        <v>6953</v>
      </c>
      <c r="C104" s="106"/>
      <c r="D104" s="106"/>
      <c r="E104" s="106"/>
      <c r="F104" s="106"/>
      <c r="G104" s="106"/>
    </row>
    <row r="105" customFormat="false" ht="17.25" hidden="false" customHeight="true" outlineLevel="0" collapsed="false">
      <c r="B105" s="106" t="s">
        <v>6954</v>
      </c>
      <c r="C105" s="106"/>
      <c r="D105" s="106"/>
      <c r="E105" s="106"/>
      <c r="F105" s="106"/>
      <c r="G105" s="106"/>
    </row>
    <row r="107" customFormat="false" ht="15.75" hidden="false" customHeight="true" outlineLevel="0" collapsed="false">
      <c r="B107" s="103" t="s">
        <v>1513</v>
      </c>
      <c r="C107" s="8"/>
      <c r="D107" s="8"/>
      <c r="E107" s="8"/>
      <c r="F107" s="8"/>
      <c r="G107" s="8"/>
      <c r="H107" s="8"/>
      <c r="I107" s="8"/>
      <c r="J107" s="8"/>
      <c r="K107" s="8"/>
    </row>
    <row r="108" customFormat="false" ht="17.25" hidden="false" customHeight="true" outlineLevel="0" collapsed="false">
      <c r="B108" s="106" t="s">
        <v>6712</v>
      </c>
      <c r="C108" s="106"/>
      <c r="D108" s="106"/>
      <c r="E108" s="106"/>
      <c r="F108" s="106"/>
      <c r="N108" s="169" t="s">
        <v>1515</v>
      </c>
    </row>
    <row r="109" customFormat="false" ht="44.25" hidden="false" customHeight="true" outlineLevel="0" collapsed="false">
      <c r="B109" s="106" t="s">
        <v>6955</v>
      </c>
      <c r="C109" s="106"/>
      <c r="D109" s="106"/>
      <c r="E109" s="106"/>
      <c r="F109" s="106"/>
      <c r="N109" s="120" t="s">
        <v>6956</v>
      </c>
    </row>
    <row r="110" customFormat="false" ht="44.25" hidden="false" customHeight="true" outlineLevel="0" collapsed="false">
      <c r="B110" s="106" t="s">
        <v>6957</v>
      </c>
      <c r="C110" s="106"/>
      <c r="D110" s="106"/>
      <c r="E110" s="106"/>
      <c r="F110" s="106"/>
      <c r="N110" s="120" t="s">
        <v>6958</v>
      </c>
    </row>
    <row r="111" customFormat="false" ht="30.75" hidden="false" customHeight="true" outlineLevel="0" collapsed="false">
      <c r="B111" s="106" t="s">
        <v>6959</v>
      </c>
      <c r="C111" s="106"/>
      <c r="D111" s="106"/>
      <c r="E111" s="106"/>
      <c r="F111" s="106"/>
      <c r="N111" s="120" t="s">
        <v>6960</v>
      </c>
    </row>
    <row r="113" customFormat="false" ht="15.75" hidden="false" customHeight="true" outlineLevel="0" collapsed="false">
      <c r="B113" s="103" t="s">
        <v>1522</v>
      </c>
      <c r="C113" s="8"/>
      <c r="D113" s="8"/>
      <c r="E113" s="8"/>
      <c r="F113" s="8"/>
      <c r="G113" s="8"/>
      <c r="H113" s="8"/>
      <c r="I113" s="8"/>
      <c r="J113" s="8"/>
      <c r="K113" s="8"/>
    </row>
    <row r="114" customFormat="false" ht="17.25" hidden="false" customHeight="true" outlineLevel="0" collapsed="false">
      <c r="B114" s="152" t="s">
        <v>1523</v>
      </c>
      <c r="C114" s="152" t="s">
        <v>1524</v>
      </c>
      <c r="D114" s="152" t="s">
        <v>6719</v>
      </c>
      <c r="E114" s="152"/>
      <c r="F114" s="152"/>
    </row>
    <row r="115" customFormat="false" ht="30.75" hidden="false" customHeight="true" outlineLevel="0" collapsed="false">
      <c r="B115" s="170" t="s">
        <v>6862</v>
      </c>
      <c r="C115" s="170" t="s">
        <v>6961</v>
      </c>
      <c r="D115" s="171" t="s">
        <v>1157</v>
      </c>
      <c r="E115" s="171"/>
      <c r="F115" s="171"/>
    </row>
  </sheetData>
  <mergeCells count="73">
    <mergeCell ref="B2:J2"/>
    <mergeCell ref="D3:G3"/>
    <mergeCell ref="C6:G6"/>
    <mergeCell ref="C7:G7"/>
    <mergeCell ref="C8:G8"/>
    <mergeCell ref="B11:G14"/>
    <mergeCell ref="B15:G17"/>
    <mergeCell ref="B18:G19"/>
    <mergeCell ref="B20:G21"/>
    <mergeCell ref="B24:D24"/>
    <mergeCell ref="E24:G24"/>
    <mergeCell ref="B25:D25"/>
    <mergeCell ref="E25:G25"/>
    <mergeCell ref="B26:D26"/>
    <mergeCell ref="E26:G26"/>
    <mergeCell ref="B27:D27"/>
    <mergeCell ref="E27:G27"/>
    <mergeCell ref="B28:G28"/>
    <mergeCell ref="E30:F30"/>
    <mergeCell ref="E31:F31"/>
    <mergeCell ref="E32:F32"/>
    <mergeCell ref="E33:F33"/>
    <mergeCell ref="E34:F34"/>
    <mergeCell ref="B37:G37"/>
    <mergeCell ref="B38:G38"/>
    <mergeCell ref="B39:G40"/>
    <mergeCell ref="B42:G42"/>
    <mergeCell ref="B44:G44"/>
    <mergeCell ref="B45:G45"/>
    <mergeCell ref="B47:G47"/>
    <mergeCell ref="D50:G50"/>
    <mergeCell ref="D51:G51"/>
    <mergeCell ref="D52:G52"/>
    <mergeCell ref="D53:G53"/>
    <mergeCell ref="D54:G54"/>
    <mergeCell ref="B57:G58"/>
    <mergeCell ref="B59:G59"/>
    <mergeCell ref="C60:E60"/>
    <mergeCell ref="B62:G62"/>
    <mergeCell ref="G63:I63"/>
    <mergeCell ref="G64:I64"/>
    <mergeCell ref="G65:I65"/>
    <mergeCell ref="G66:I66"/>
    <mergeCell ref="G67:I67"/>
    <mergeCell ref="G68:I68"/>
    <mergeCell ref="G69:I69"/>
    <mergeCell ref="G70:I70"/>
    <mergeCell ref="G71:I71"/>
    <mergeCell ref="B81:G81"/>
    <mergeCell ref="H82:I82"/>
    <mergeCell ref="H83:I83"/>
    <mergeCell ref="H84:I84"/>
    <mergeCell ref="H85:I85"/>
    <mergeCell ref="H86:I86"/>
    <mergeCell ref="H87:I87"/>
    <mergeCell ref="D89:F89"/>
    <mergeCell ref="C92:G92"/>
    <mergeCell ref="D94:F94"/>
    <mergeCell ref="D95:F95"/>
    <mergeCell ref="D96:F96"/>
    <mergeCell ref="D97:F97"/>
    <mergeCell ref="D98:F98"/>
    <mergeCell ref="B101:G101"/>
    <mergeCell ref="B102:G102"/>
    <mergeCell ref="B103:G103"/>
    <mergeCell ref="B104:G104"/>
    <mergeCell ref="B105:G105"/>
    <mergeCell ref="B108:F108"/>
    <mergeCell ref="B109:F109"/>
    <mergeCell ref="B110:F110"/>
    <mergeCell ref="B111:F111"/>
    <mergeCell ref="D114:F114"/>
    <mergeCell ref="D115:F115"/>
  </mergeCells>
  <hyperlinks>
    <hyperlink ref="B3" location="'N-03 Index DMAIC'!A1" display="← Back to Index"/>
    <hyperlink ref="E31" location="'L-02 VSM Current State'!A1" display="L-02  VSM Current State"/>
    <hyperlink ref="E32" location="'L-09 Theory of Constraints'!A1" display="L-09  Theory of Constraints"/>
    <hyperlink ref="E33" location="'L-15 SMED'!A1" display="L-15  SMED and Quick Changeover"/>
    <hyperlink ref="E34" location="'G-03 Stakeholder Analysis'!A1" display="G-03  Stakeholder Analysis"/>
    <hyperlink ref="B115" location="'L-02 VSM Current State'!A1" display="L-02  VSM Current State"/>
    <hyperlink ref="C115" location="'L-21 Kaizen Event'!A1" display="L-21  Kaizen Event Planning"/>
    <hyperlink ref="D115" location="'L-19 Kanban Pull Systems'!A1" display="L-19  Pull Systems and Kanb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20"/>
    <col collapsed="false" customWidth="true" hidden="false" outlineLevel="0" max="4" min="4" style="1" width="16"/>
    <col collapsed="false" customWidth="true" hidden="false" outlineLevel="0" max="5" min="5" style="1" width="14"/>
    <col collapsed="false" customWidth="true" hidden="false" outlineLevel="0" max="6" min="6" style="1" width="16"/>
    <col collapsed="false" customWidth="true" hidden="false" outlineLevel="0" max="8" min="7" style="1" width="14"/>
    <col collapsed="false" customWidth="true" hidden="false" outlineLevel="0" max="9" min="9" style="1" width="16"/>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6962</v>
      </c>
      <c r="C2" s="148"/>
      <c r="D2" s="148"/>
      <c r="E2" s="148"/>
      <c r="F2" s="148"/>
      <c r="G2" s="148"/>
      <c r="H2" s="148"/>
      <c r="I2" s="148"/>
      <c r="J2" s="148"/>
      <c r="K2" s="172" t="s">
        <v>1389</v>
      </c>
    </row>
    <row r="3" customFormat="false" ht="42" hidden="false" customHeight="true" outlineLevel="0" collapsed="false">
      <c r="B3" s="150" t="s">
        <v>3</v>
      </c>
      <c r="D3" s="151" t="s">
        <v>6963</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6964</v>
      </c>
      <c r="D6" s="106"/>
      <c r="E6" s="106"/>
      <c r="F6" s="106"/>
    </row>
    <row r="7" customFormat="false" ht="31.5" hidden="false" customHeight="true" outlineLevel="0" collapsed="false">
      <c r="B7" s="105" t="s">
        <v>1394</v>
      </c>
      <c r="C7" s="106" t="s">
        <v>6965</v>
      </c>
      <c r="D7" s="106"/>
      <c r="E7" s="106"/>
      <c r="F7" s="106"/>
    </row>
    <row r="8" customFormat="false" ht="31.5" hidden="false" customHeight="true" outlineLevel="0" collapsed="false">
      <c r="B8" s="105" t="s">
        <v>1396</v>
      </c>
      <c r="C8" s="106" t="s">
        <v>6966</v>
      </c>
      <c r="D8" s="106"/>
      <c r="E8" s="106"/>
      <c r="F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6967</v>
      </c>
      <c r="C11" s="106"/>
      <c r="D11" s="106"/>
      <c r="E11" s="106"/>
      <c r="F11" s="106"/>
      <c r="G11" s="106"/>
      <c r="H11" s="106"/>
      <c r="I11" s="106"/>
    </row>
    <row r="12" customFormat="false" ht="10.5" hidden="false" customHeight="true" outlineLevel="0" collapsed="false">
      <c r="B12" s="106"/>
      <c r="C12" s="106"/>
      <c r="D12" s="106"/>
      <c r="E12" s="106"/>
      <c r="F12" s="106"/>
      <c r="G12" s="106"/>
      <c r="H12" s="106"/>
      <c r="I12" s="106"/>
    </row>
    <row r="13" customFormat="false" ht="10.5" hidden="false" customHeight="true" outlineLevel="0" collapsed="false">
      <c r="B13" s="106"/>
      <c r="C13" s="106"/>
      <c r="D13" s="106"/>
      <c r="E13" s="106"/>
      <c r="F13" s="106"/>
      <c r="G13" s="106"/>
      <c r="H13" s="106"/>
      <c r="I13" s="106"/>
    </row>
    <row r="14" customFormat="false" ht="10.5" hidden="false" customHeight="true" outlineLevel="0" collapsed="false">
      <c r="B14" s="106" t="s">
        <v>6968</v>
      </c>
      <c r="C14" s="106"/>
      <c r="D14" s="106"/>
      <c r="E14" s="106"/>
      <c r="F14" s="106"/>
      <c r="G14" s="106"/>
      <c r="H14" s="106"/>
      <c r="I14" s="106"/>
    </row>
    <row r="15" customFormat="false" ht="10.5" hidden="false" customHeight="true" outlineLevel="0" collapsed="false">
      <c r="B15" s="106"/>
      <c r="C15" s="106"/>
      <c r="D15" s="106"/>
      <c r="E15" s="106"/>
      <c r="F15" s="106"/>
      <c r="G15" s="106"/>
      <c r="H15" s="106"/>
      <c r="I15" s="106"/>
    </row>
    <row r="16" customFormat="false" ht="10.5" hidden="false" customHeight="true" outlineLevel="0" collapsed="false">
      <c r="B16" s="106"/>
      <c r="C16" s="106"/>
      <c r="D16" s="106"/>
      <c r="E16" s="106"/>
      <c r="F16" s="106"/>
      <c r="G16" s="106"/>
      <c r="H16" s="106"/>
      <c r="I16" s="106"/>
    </row>
    <row r="17" customFormat="false" ht="10.5" hidden="false" customHeight="true" outlineLevel="0" collapsed="false">
      <c r="B17" s="106" t="s">
        <v>6969</v>
      </c>
      <c r="C17" s="106"/>
      <c r="D17" s="106"/>
      <c r="E17" s="106"/>
      <c r="F17" s="106"/>
      <c r="G17" s="106"/>
      <c r="H17" s="106"/>
      <c r="I17" s="106"/>
    </row>
    <row r="18" customFormat="false" ht="10.5" hidden="false" customHeight="true" outlineLevel="0" collapsed="false">
      <c r="B18" s="106"/>
      <c r="C18" s="106"/>
      <c r="D18" s="106"/>
      <c r="E18" s="106"/>
      <c r="F18" s="106"/>
      <c r="G18" s="106"/>
      <c r="H18" s="106"/>
      <c r="I18" s="106"/>
    </row>
    <row r="19" customFormat="false" ht="10.5" hidden="false" customHeight="true" outlineLevel="0" collapsed="false">
      <c r="B19" s="106"/>
      <c r="C19" s="106"/>
      <c r="D19" s="106"/>
      <c r="E19" s="106"/>
      <c r="F19" s="106"/>
      <c r="G19" s="106"/>
      <c r="H19" s="106"/>
      <c r="I19" s="106"/>
    </row>
    <row r="20" customFormat="false" ht="17.25" hidden="false" customHeight="true" outlineLevel="0" collapsed="false">
      <c r="B20" s="106" t="s">
        <v>6970</v>
      </c>
      <c r="C20" s="106"/>
      <c r="D20" s="106"/>
      <c r="E20" s="106"/>
      <c r="F20" s="106"/>
      <c r="G20" s="106"/>
      <c r="H20" s="106"/>
      <c r="I20" s="106"/>
    </row>
    <row r="22" customFormat="false" ht="15.75" hidden="false" customHeight="true" outlineLevel="0" collapsed="false">
      <c r="B22" s="103" t="s">
        <v>1406</v>
      </c>
      <c r="C22" s="8"/>
      <c r="D22" s="8"/>
      <c r="E22" s="8"/>
      <c r="F22" s="8"/>
      <c r="G22" s="8"/>
      <c r="H22" s="8"/>
      <c r="I22" s="8"/>
      <c r="J22" s="8"/>
      <c r="K22" s="8"/>
    </row>
    <row r="23" customFormat="false" ht="17.25" hidden="false" customHeight="true" outlineLevel="0" collapsed="false">
      <c r="B23" s="107" t="s">
        <v>1407</v>
      </c>
      <c r="C23" s="107"/>
      <c r="D23" s="107"/>
      <c r="E23" s="107" t="s">
        <v>1408</v>
      </c>
      <c r="F23" s="107"/>
      <c r="G23" s="107"/>
      <c r="H23" s="107"/>
      <c r="I23" s="107"/>
    </row>
    <row r="24" customFormat="false" ht="31.5" hidden="false" customHeight="true" outlineLevel="0" collapsed="false">
      <c r="B24" s="106" t="s">
        <v>6971</v>
      </c>
      <c r="C24" s="106"/>
      <c r="D24" s="106"/>
      <c r="E24" s="106" t="s">
        <v>6972</v>
      </c>
      <c r="F24" s="106"/>
      <c r="G24" s="106"/>
      <c r="H24" s="106"/>
      <c r="I24" s="106"/>
    </row>
    <row r="25" customFormat="false" ht="31.5" hidden="false" customHeight="true" outlineLevel="0" collapsed="false">
      <c r="B25" s="106" t="s">
        <v>6973</v>
      </c>
      <c r="C25" s="106"/>
      <c r="D25" s="106"/>
      <c r="E25" s="106" t="s">
        <v>6974</v>
      </c>
      <c r="F25" s="106"/>
      <c r="G25" s="106"/>
      <c r="H25" s="106"/>
      <c r="I25" s="106"/>
    </row>
    <row r="26" customFormat="false" ht="31.5" hidden="false" customHeight="true" outlineLevel="0" collapsed="false">
      <c r="B26" s="106" t="s">
        <v>6975</v>
      </c>
      <c r="C26" s="106"/>
      <c r="D26" s="106"/>
      <c r="E26" s="106" t="s">
        <v>6976</v>
      </c>
      <c r="F26" s="106"/>
      <c r="G26" s="106"/>
      <c r="H26" s="106"/>
      <c r="I26" s="106"/>
    </row>
    <row r="27" customFormat="false" ht="17.25" hidden="false" customHeight="true" outlineLevel="0" collapsed="false">
      <c r="B27" s="106" t="s">
        <v>6977</v>
      </c>
      <c r="C27" s="106"/>
      <c r="D27" s="106"/>
      <c r="E27" s="106"/>
      <c r="F27" s="106"/>
      <c r="G27" s="106"/>
      <c r="H27" s="106"/>
      <c r="I27" s="106"/>
    </row>
    <row r="29" customFormat="false" ht="30.75" hidden="false" customHeight="true" outlineLevel="0" collapsed="false">
      <c r="B29" s="152" t="s">
        <v>6621</v>
      </c>
      <c r="C29" s="152" t="s">
        <v>1417</v>
      </c>
      <c r="D29" s="152" t="s">
        <v>1418</v>
      </c>
      <c r="E29" s="152" t="s">
        <v>1419</v>
      </c>
      <c r="F29" s="152"/>
    </row>
    <row r="30" customFormat="false" ht="44.25" hidden="false" customHeight="true" outlineLevel="0" collapsed="false">
      <c r="B30" s="15" t="s">
        <v>6978</v>
      </c>
      <c r="C30" s="15" t="s">
        <v>6979</v>
      </c>
      <c r="D30" s="15" t="s">
        <v>6980</v>
      </c>
      <c r="E30" s="153" t="s">
        <v>1113</v>
      </c>
      <c r="F30" s="153"/>
    </row>
    <row r="31" customFormat="false" ht="72" hidden="false" customHeight="true" outlineLevel="0" collapsed="false">
      <c r="B31" s="15" t="s">
        <v>6981</v>
      </c>
      <c r="C31" s="15" t="s">
        <v>6982</v>
      </c>
      <c r="D31" s="15" t="s">
        <v>6983</v>
      </c>
      <c r="E31" s="153" t="s">
        <v>1262</v>
      </c>
      <c r="F31" s="153"/>
    </row>
    <row r="32" customFormat="false" ht="72" hidden="false" customHeight="true" outlineLevel="0" collapsed="false">
      <c r="B32" s="15" t="s">
        <v>6984</v>
      </c>
      <c r="C32" s="15" t="s">
        <v>6985</v>
      </c>
      <c r="D32" s="15" t="s">
        <v>6986</v>
      </c>
      <c r="E32" s="153" t="s">
        <v>6744</v>
      </c>
      <c r="F32" s="153"/>
    </row>
    <row r="33" customFormat="false" ht="72" hidden="false" customHeight="true" outlineLevel="0" collapsed="false">
      <c r="B33" s="15" t="s">
        <v>6987</v>
      </c>
      <c r="C33" s="15" t="s">
        <v>6988</v>
      </c>
      <c r="D33" s="15" t="s">
        <v>6989</v>
      </c>
      <c r="E33" s="153" t="s">
        <v>6840</v>
      </c>
      <c r="F33" s="153"/>
    </row>
    <row r="35" customFormat="false" ht="15.75" hidden="false" customHeight="true" outlineLevel="0" collapsed="false">
      <c r="B35" s="103" t="s">
        <v>1429</v>
      </c>
      <c r="C35" s="8"/>
      <c r="D35" s="8"/>
      <c r="E35" s="8"/>
      <c r="F35" s="8"/>
      <c r="G35" s="8"/>
      <c r="H35" s="8"/>
      <c r="I35" s="8"/>
      <c r="J35" s="8"/>
      <c r="K35" s="8"/>
    </row>
    <row r="36" customFormat="false" ht="7.5" hidden="false" customHeight="true" outlineLevel="0" collapsed="false">
      <c r="B36" s="106" t="s">
        <v>6990</v>
      </c>
      <c r="C36" s="106"/>
      <c r="D36" s="106"/>
      <c r="E36" s="106"/>
      <c r="F36" s="106"/>
      <c r="G36" s="106"/>
      <c r="H36" s="106"/>
      <c r="I36" s="106"/>
    </row>
    <row r="37" customFormat="false" ht="7.5" hidden="false" customHeight="true" outlineLevel="0" collapsed="false">
      <c r="B37" s="106"/>
      <c r="C37" s="106"/>
      <c r="D37" s="106"/>
      <c r="E37" s="106"/>
      <c r="F37" s="106"/>
      <c r="G37" s="106"/>
      <c r="H37" s="106"/>
      <c r="I37" s="106"/>
    </row>
    <row r="38" customFormat="false" ht="7.5" hidden="false" customHeight="true" outlineLevel="0" collapsed="false">
      <c r="B38" s="106"/>
      <c r="C38" s="106"/>
      <c r="D38" s="106"/>
      <c r="E38" s="106"/>
      <c r="F38" s="106"/>
      <c r="G38" s="106"/>
      <c r="H38" s="106"/>
      <c r="I38" s="106"/>
    </row>
    <row r="39" customFormat="false" ht="7.5" hidden="false" customHeight="true" outlineLevel="0" collapsed="false">
      <c r="B39" s="106"/>
      <c r="C39" s="106"/>
      <c r="D39" s="106"/>
      <c r="E39" s="106"/>
      <c r="F39" s="106"/>
      <c r="G39" s="106"/>
      <c r="H39" s="106"/>
      <c r="I39" s="106"/>
    </row>
    <row r="40" customFormat="false" ht="15" hidden="false" customHeight="true" outlineLevel="0" collapsed="false">
      <c r="B40" s="122"/>
    </row>
    <row r="41" customFormat="false" ht="17.25" hidden="false" customHeight="true" outlineLevel="0" collapsed="false">
      <c r="B41" s="106" t="s">
        <v>6991</v>
      </c>
      <c r="C41" s="106"/>
      <c r="D41" s="106"/>
      <c r="E41" s="106"/>
      <c r="F41" s="106"/>
      <c r="G41" s="106"/>
      <c r="H41" s="106"/>
      <c r="I41" s="106"/>
    </row>
    <row r="42" customFormat="false" ht="15" hidden="false" customHeight="true" outlineLevel="0" collapsed="false">
      <c r="B42" s="106" t="s">
        <v>6992</v>
      </c>
      <c r="C42" s="106"/>
      <c r="D42" s="106"/>
      <c r="E42" s="106"/>
      <c r="F42" s="106"/>
      <c r="G42" s="106"/>
      <c r="H42" s="106"/>
      <c r="I42" s="106"/>
    </row>
    <row r="43" customFormat="false" ht="15" hidden="false" customHeight="true" outlineLevel="0" collapsed="false">
      <c r="B43" s="106"/>
      <c r="C43" s="106"/>
      <c r="D43" s="106"/>
      <c r="E43" s="106"/>
      <c r="F43" s="106"/>
      <c r="G43" s="106"/>
      <c r="H43" s="106"/>
      <c r="I43" s="106"/>
    </row>
    <row r="44" customFormat="false" ht="15" hidden="false" customHeight="true" outlineLevel="0" collapsed="false">
      <c r="B44" s="106"/>
      <c r="C44" s="106"/>
      <c r="D44" s="106"/>
      <c r="E44" s="106"/>
      <c r="F44" s="106"/>
      <c r="G44" s="106"/>
      <c r="H44" s="106"/>
      <c r="I44" s="106"/>
    </row>
    <row r="45" customFormat="false" ht="15" hidden="false" customHeight="true" outlineLevel="0" collapsed="false">
      <c r="B45" s="122"/>
    </row>
    <row r="46" customFormat="false" ht="17.25" hidden="false" customHeight="true" outlineLevel="0" collapsed="false">
      <c r="B46" s="106" t="s">
        <v>6993</v>
      </c>
      <c r="C46" s="106"/>
      <c r="D46" s="106"/>
      <c r="E46" s="106"/>
      <c r="F46" s="106"/>
      <c r="G46" s="106"/>
      <c r="H46" s="106"/>
      <c r="I46" s="106"/>
    </row>
    <row r="48" customFormat="false" ht="15.75" hidden="false" customHeight="true" outlineLevel="0" collapsed="false">
      <c r="B48" s="103" t="s">
        <v>1437</v>
      </c>
      <c r="C48" s="8"/>
      <c r="D48" s="8"/>
      <c r="E48" s="8"/>
      <c r="F48" s="8"/>
      <c r="G48" s="8"/>
      <c r="H48" s="8"/>
      <c r="I48" s="8"/>
      <c r="J48" s="8"/>
      <c r="K48" s="8"/>
    </row>
    <row r="49" customFormat="false" ht="17.25" hidden="false" customHeight="true" outlineLevel="0" collapsed="false">
      <c r="B49" s="152" t="s">
        <v>1438</v>
      </c>
      <c r="C49" s="152" t="s">
        <v>1439</v>
      </c>
      <c r="D49" s="152" t="s">
        <v>1440</v>
      </c>
      <c r="E49" s="152"/>
      <c r="F49" s="152"/>
      <c r="G49" s="152"/>
    </row>
    <row r="50" customFormat="false" ht="17.25" hidden="false" customHeight="true" outlineLevel="0" collapsed="false">
      <c r="B50" s="15" t="s">
        <v>1920</v>
      </c>
      <c r="C50" s="15" t="s">
        <v>6994</v>
      </c>
      <c r="D50" s="15" t="s">
        <v>6995</v>
      </c>
      <c r="E50" s="15"/>
      <c r="F50" s="15"/>
      <c r="G50" s="15"/>
    </row>
    <row r="51" customFormat="false" ht="30.75" hidden="false" customHeight="true" outlineLevel="0" collapsed="false">
      <c r="B51" s="15" t="s">
        <v>6757</v>
      </c>
      <c r="C51" s="15" t="s">
        <v>6996</v>
      </c>
      <c r="D51" s="15" t="s">
        <v>6997</v>
      </c>
      <c r="E51" s="15"/>
      <c r="F51" s="15"/>
      <c r="G51" s="15"/>
    </row>
    <row r="52" customFormat="false" ht="31.5" hidden="false" customHeight="true" outlineLevel="0" collapsed="false">
      <c r="B52" s="15" t="s">
        <v>6998</v>
      </c>
      <c r="C52" s="15" t="s">
        <v>6999</v>
      </c>
      <c r="D52" s="15" t="s">
        <v>7000</v>
      </c>
      <c r="E52" s="15"/>
      <c r="F52" s="15"/>
      <c r="G52" s="15"/>
    </row>
    <row r="53" customFormat="false" ht="17.25" hidden="false" customHeight="true" outlineLevel="0" collapsed="false">
      <c r="B53" s="15" t="s">
        <v>1450</v>
      </c>
      <c r="C53" s="15" t="s">
        <v>1451</v>
      </c>
      <c r="D53" s="15" t="s">
        <v>7001</v>
      </c>
      <c r="E53" s="15"/>
      <c r="F53" s="15"/>
      <c r="G53" s="15"/>
    </row>
    <row r="54" customFormat="false" ht="17.25" hidden="false" customHeight="true" outlineLevel="0" collapsed="false">
      <c r="B54" s="15" t="s">
        <v>1839</v>
      </c>
      <c r="C54" s="15" t="s">
        <v>6647</v>
      </c>
      <c r="D54" s="15" t="s">
        <v>7002</v>
      </c>
      <c r="E54" s="15"/>
      <c r="F54" s="15"/>
      <c r="G54" s="15"/>
    </row>
    <row r="56" customFormat="false" ht="15.75" hidden="false" customHeight="true" outlineLevel="0" collapsed="false">
      <c r="B56" s="103" t="s">
        <v>1454</v>
      </c>
      <c r="C56" s="8"/>
      <c r="D56" s="8"/>
      <c r="E56" s="8"/>
      <c r="F56" s="8"/>
      <c r="G56" s="8"/>
      <c r="H56" s="8"/>
      <c r="I56" s="8"/>
      <c r="J56" s="8"/>
      <c r="K56" s="8"/>
    </row>
    <row r="57" customFormat="false" ht="15.75" hidden="false" customHeight="true" outlineLevel="0" collapsed="false">
      <c r="B57" s="106" t="s">
        <v>7003</v>
      </c>
      <c r="C57" s="106"/>
      <c r="D57" s="106"/>
      <c r="E57" s="106"/>
      <c r="F57" s="106"/>
      <c r="G57" s="106"/>
      <c r="H57" s="106"/>
      <c r="I57" s="106"/>
    </row>
    <row r="58" customFormat="false" ht="15.75" hidden="false" customHeight="true" outlineLevel="0" collapsed="false">
      <c r="B58" s="106"/>
      <c r="C58" s="106"/>
      <c r="D58" s="106"/>
      <c r="E58" s="106"/>
      <c r="F58" s="106"/>
      <c r="G58" s="106"/>
      <c r="H58" s="106"/>
      <c r="I58" s="106"/>
    </row>
    <row r="59" customFormat="false" ht="17.25" hidden="false" customHeight="true" outlineLevel="0" collapsed="false">
      <c r="B59" s="106" t="s">
        <v>7004</v>
      </c>
      <c r="C59" s="106"/>
      <c r="D59" s="106"/>
      <c r="E59" s="106"/>
      <c r="F59" s="106"/>
      <c r="G59" s="106"/>
      <c r="H59" s="106"/>
      <c r="I59" s="106"/>
    </row>
    <row r="60" customFormat="false" ht="15" hidden="false" customHeight="true" outlineLevel="0" collapsed="false">
      <c r="B60" s="112" t="s">
        <v>85</v>
      </c>
      <c r="C60" s="154" t="s">
        <v>86</v>
      </c>
    </row>
    <row r="62" customFormat="false" ht="17.25" hidden="false" customHeight="true" outlineLevel="0" collapsed="false">
      <c r="B62" s="107" t="s">
        <v>7005</v>
      </c>
      <c r="C62" s="107"/>
      <c r="D62" s="107"/>
      <c r="E62" s="107"/>
      <c r="F62" s="107"/>
      <c r="G62" s="107"/>
      <c r="H62" s="107"/>
      <c r="I62" s="107"/>
    </row>
    <row r="63" customFormat="false" ht="44.25" hidden="false" customHeight="true" outlineLevel="0" collapsed="false">
      <c r="B63" s="152" t="s">
        <v>7006</v>
      </c>
      <c r="C63" s="152" t="s">
        <v>7007</v>
      </c>
      <c r="D63" s="152" t="s">
        <v>7008</v>
      </c>
      <c r="E63" s="152" t="s">
        <v>7009</v>
      </c>
      <c r="F63" s="152" t="s">
        <v>7010</v>
      </c>
      <c r="G63" s="152" t="s">
        <v>7011</v>
      </c>
      <c r="H63" s="152" t="s">
        <v>7012</v>
      </c>
      <c r="I63" s="152" t="s">
        <v>7013</v>
      </c>
      <c r="J63" s="152"/>
    </row>
    <row r="64" customFormat="false" ht="30.75" hidden="false" customHeight="true" outlineLevel="0" collapsed="false">
      <c r="B64" s="15" t="s">
        <v>7014</v>
      </c>
      <c r="C64" s="177" t="s">
        <v>7015</v>
      </c>
      <c r="D64" s="177" t="s">
        <v>7016</v>
      </c>
      <c r="E64" s="157" t="n">
        <v>5</v>
      </c>
      <c r="F64" s="157" t="n">
        <v>45</v>
      </c>
      <c r="G64" s="177" t="s">
        <v>6786</v>
      </c>
      <c r="H64" s="177" t="s">
        <v>6790</v>
      </c>
      <c r="I64" s="158" t="n">
        <f aca="false">SUM($E$64:E64)+SUM($F$64:F64)</f>
        <v>50</v>
      </c>
      <c r="J64" s="158"/>
    </row>
    <row r="65" customFormat="false" ht="30.75" hidden="false" customHeight="true" outlineLevel="0" collapsed="false">
      <c r="B65" s="15" t="s">
        <v>7017</v>
      </c>
      <c r="C65" s="177" t="s">
        <v>7018</v>
      </c>
      <c r="D65" s="177" t="s">
        <v>7019</v>
      </c>
      <c r="E65" s="157" t="n">
        <v>3</v>
      </c>
      <c r="F65" s="157" t="n">
        <v>10</v>
      </c>
      <c r="G65" s="177" t="s">
        <v>6786</v>
      </c>
      <c r="H65" s="177" t="s">
        <v>6790</v>
      </c>
      <c r="I65" s="158" t="n">
        <f aca="false">SUM($E$64:E65)+SUM($F$64:F65)</f>
        <v>63</v>
      </c>
      <c r="J65" s="158"/>
    </row>
    <row r="66" customFormat="false" ht="30.75" hidden="false" customHeight="true" outlineLevel="0" collapsed="false">
      <c r="B66" s="15" t="s">
        <v>7020</v>
      </c>
      <c r="C66" s="177" t="s">
        <v>7021</v>
      </c>
      <c r="D66" s="177" t="s">
        <v>7019</v>
      </c>
      <c r="E66" s="157" t="n">
        <v>18</v>
      </c>
      <c r="F66" s="157" t="n">
        <v>0</v>
      </c>
      <c r="G66" s="177" t="s">
        <v>6786</v>
      </c>
      <c r="H66" s="177" t="s">
        <v>6790</v>
      </c>
      <c r="I66" s="158" t="n">
        <f aca="false">SUM($E$64:E66)+SUM($F$64:F66)</f>
        <v>81</v>
      </c>
      <c r="J66" s="158"/>
    </row>
    <row r="67" customFormat="false" ht="30.75" hidden="false" customHeight="true" outlineLevel="0" collapsed="false">
      <c r="B67" s="15" t="s">
        <v>7022</v>
      </c>
      <c r="C67" s="177" t="s">
        <v>7021</v>
      </c>
      <c r="D67" s="177" t="s">
        <v>7016</v>
      </c>
      <c r="E67" s="157" t="n">
        <v>12</v>
      </c>
      <c r="F67" s="157" t="n">
        <v>0</v>
      </c>
      <c r="G67" s="177" t="s">
        <v>6790</v>
      </c>
      <c r="H67" s="177" t="s">
        <v>6790</v>
      </c>
      <c r="I67" s="158" t="n">
        <f aca="false">SUM($E$64:E67)+SUM($F$64:F67)</f>
        <v>93</v>
      </c>
      <c r="J67" s="158"/>
    </row>
    <row r="68" customFormat="false" ht="30.75" hidden="false" customHeight="true" outlineLevel="0" collapsed="false">
      <c r="B68" s="15" t="s">
        <v>7023</v>
      </c>
      <c r="C68" s="177" t="s">
        <v>7021</v>
      </c>
      <c r="D68" s="177" t="s">
        <v>7024</v>
      </c>
      <c r="E68" s="157" t="n">
        <v>35</v>
      </c>
      <c r="F68" s="157" t="n">
        <v>0</v>
      </c>
      <c r="G68" s="177" t="s">
        <v>6790</v>
      </c>
      <c r="H68" s="177" t="s">
        <v>6790</v>
      </c>
      <c r="I68" s="158" t="n">
        <f aca="false">SUM($E$64:E68)+SUM($F$64:F68)</f>
        <v>128</v>
      </c>
      <c r="J68" s="158"/>
    </row>
    <row r="69" customFormat="false" ht="30.75" hidden="false" customHeight="true" outlineLevel="0" collapsed="false">
      <c r="B69" s="15" t="s">
        <v>7025</v>
      </c>
      <c r="C69" s="177" t="s">
        <v>7021</v>
      </c>
      <c r="D69" s="177" t="s">
        <v>7024</v>
      </c>
      <c r="E69" s="157" t="n">
        <v>22</v>
      </c>
      <c r="F69" s="157" t="n">
        <v>0</v>
      </c>
      <c r="G69" s="177" t="s">
        <v>6790</v>
      </c>
      <c r="H69" s="177" t="s">
        <v>6790</v>
      </c>
      <c r="I69" s="158" t="n">
        <f aca="false">SUM($E$64:E69)+SUM($F$64:F69)</f>
        <v>150</v>
      </c>
      <c r="J69" s="158"/>
    </row>
    <row r="70" customFormat="false" ht="30.75" hidden="false" customHeight="true" outlineLevel="0" collapsed="false">
      <c r="B70" s="15" t="s">
        <v>7026</v>
      </c>
      <c r="C70" s="177" t="s">
        <v>7027</v>
      </c>
      <c r="D70" s="177" t="s">
        <v>7024</v>
      </c>
      <c r="E70" s="157" t="n">
        <v>15</v>
      </c>
      <c r="F70" s="157" t="n">
        <v>12</v>
      </c>
      <c r="G70" s="177" t="s">
        <v>6786</v>
      </c>
      <c r="H70" s="177" t="s">
        <v>6790</v>
      </c>
      <c r="I70" s="158" t="n">
        <f aca="false">SUM($E$64:E70)+SUM($F$64:F70)</f>
        <v>177</v>
      </c>
      <c r="J70" s="158"/>
    </row>
    <row r="71" customFormat="false" ht="17.25" hidden="false" customHeight="true" outlineLevel="0" collapsed="false">
      <c r="B71" s="15" t="s">
        <v>7028</v>
      </c>
      <c r="C71" s="177" t="s">
        <v>7029</v>
      </c>
      <c r="D71" s="177" t="s">
        <v>7016</v>
      </c>
      <c r="E71" s="157" t="n">
        <v>20</v>
      </c>
      <c r="F71" s="157" t="n">
        <v>0</v>
      </c>
      <c r="G71" s="177" t="s">
        <v>6786</v>
      </c>
      <c r="H71" s="177" t="s">
        <v>6786</v>
      </c>
      <c r="I71" s="158" t="n">
        <f aca="false">SUM($E$64:E71)+SUM($F$64:F71)</f>
        <v>197</v>
      </c>
      <c r="J71" s="158"/>
    </row>
    <row r="72" customFormat="false" ht="30.75" hidden="false" customHeight="true" outlineLevel="0" collapsed="false">
      <c r="B72" s="15" t="s">
        <v>7030</v>
      </c>
      <c r="C72" s="177" t="s">
        <v>7021</v>
      </c>
      <c r="D72" s="177" t="s">
        <v>7019</v>
      </c>
      <c r="E72" s="157" t="n">
        <v>14</v>
      </c>
      <c r="F72" s="157" t="n">
        <v>0</v>
      </c>
      <c r="G72" s="177" t="s">
        <v>6790</v>
      </c>
      <c r="H72" s="177" t="s">
        <v>6786</v>
      </c>
      <c r="I72" s="158" t="n">
        <f aca="false">SUM($E$64:E72)+SUM($F$64:F72)</f>
        <v>211</v>
      </c>
      <c r="J72" s="158"/>
    </row>
    <row r="73" customFormat="false" ht="17.25" hidden="false" customHeight="true" outlineLevel="0" collapsed="false">
      <c r="B73" s="15" t="s">
        <v>7031</v>
      </c>
      <c r="C73" s="177" t="s">
        <v>7029</v>
      </c>
      <c r="D73" s="177" t="s">
        <v>7016</v>
      </c>
      <c r="E73" s="157" t="n">
        <v>6</v>
      </c>
      <c r="F73" s="157" t="n">
        <v>0</v>
      </c>
      <c r="G73" s="177" t="s">
        <v>6786</v>
      </c>
      <c r="H73" s="177" t="s">
        <v>6790</v>
      </c>
      <c r="I73" s="158" t="n">
        <f aca="false">SUM($E$64:E73)+SUM($F$64:F73)</f>
        <v>217</v>
      </c>
      <c r="J73" s="158"/>
    </row>
    <row r="75" customFormat="false" ht="15" hidden="false" customHeight="true" outlineLevel="0" collapsed="false">
      <c r="B75" s="105" t="s">
        <v>7032</v>
      </c>
    </row>
    <row r="76" customFormat="false" ht="17.25" hidden="false" customHeight="true" outlineLevel="0" collapsed="false">
      <c r="B76" s="152" t="s">
        <v>1929</v>
      </c>
      <c r="C76" s="152" t="s">
        <v>6654</v>
      </c>
      <c r="D76" s="152" t="s">
        <v>6575</v>
      </c>
      <c r="E76" s="152" t="s">
        <v>88</v>
      </c>
      <c r="F76" s="152"/>
      <c r="G76" s="152"/>
      <c r="H76" s="152"/>
    </row>
    <row r="77" customFormat="false" ht="17.25" hidden="false" customHeight="true" outlineLevel="0" collapsed="false">
      <c r="B77" s="15" t="s">
        <v>7033</v>
      </c>
      <c r="C77" s="161" t="n">
        <f aca="false">COUNTA(B64:B73)</f>
        <v>10</v>
      </c>
      <c r="D77" s="15" t="s">
        <v>7034</v>
      </c>
      <c r="E77" s="15" t="s">
        <v>7035</v>
      </c>
      <c r="F77" s="15"/>
      <c r="G77" s="15"/>
      <c r="H77" s="15"/>
    </row>
    <row r="78" customFormat="false" ht="17.25" hidden="false" customHeight="true" outlineLevel="0" collapsed="false">
      <c r="B78" s="15" t="s">
        <v>7036</v>
      </c>
      <c r="C78" s="161" t="n">
        <f aca="false">COUNTIF(D64:D73,"VA")</f>
        <v>3</v>
      </c>
      <c r="D78" s="15" t="s">
        <v>7034</v>
      </c>
      <c r="E78" s="15" t="s">
        <v>7037</v>
      </c>
      <c r="F78" s="15"/>
      <c r="G78" s="15"/>
      <c r="H78" s="15"/>
    </row>
    <row r="79" customFormat="false" ht="17.25" hidden="false" customHeight="true" outlineLevel="0" collapsed="false">
      <c r="B79" s="15" t="s">
        <v>7038</v>
      </c>
      <c r="C79" s="161" t="n">
        <f aca="false">COUNTIF(D64:D73,"BVA")</f>
        <v>4</v>
      </c>
      <c r="D79" s="15" t="s">
        <v>7034</v>
      </c>
      <c r="E79" s="15" t="s">
        <v>7039</v>
      </c>
      <c r="F79" s="15"/>
      <c r="G79" s="15"/>
      <c r="H79" s="15"/>
    </row>
    <row r="80" customFormat="false" ht="17.25" hidden="false" customHeight="true" outlineLevel="0" collapsed="false">
      <c r="B80" s="15" t="s">
        <v>7040</v>
      </c>
      <c r="C80" s="161" t="n">
        <f aca="false">COUNTIF(D64:D73,"NVA")</f>
        <v>3</v>
      </c>
      <c r="D80" s="15" t="s">
        <v>7034</v>
      </c>
      <c r="E80" s="15" t="s">
        <v>7041</v>
      </c>
      <c r="F80" s="15"/>
      <c r="G80" s="15"/>
      <c r="H80" s="15"/>
    </row>
    <row r="81" customFormat="false" ht="17.25" hidden="false" customHeight="true" outlineLevel="0" collapsed="false">
      <c r="B81" s="15" t="s">
        <v>7042</v>
      </c>
      <c r="C81" s="158" t="n">
        <f aca="false">SUM(E64:E73)</f>
        <v>150</v>
      </c>
      <c r="D81" s="15" t="s">
        <v>6816</v>
      </c>
      <c r="E81" s="15" t="s">
        <v>7043</v>
      </c>
      <c r="F81" s="15"/>
      <c r="G81" s="15"/>
      <c r="H81" s="15"/>
    </row>
    <row r="82" customFormat="false" ht="17.25" hidden="false" customHeight="true" outlineLevel="0" collapsed="false">
      <c r="B82" s="15" t="s">
        <v>7044</v>
      </c>
      <c r="C82" s="158" t="n">
        <f aca="false">SUM(F64:F73)</f>
        <v>67</v>
      </c>
      <c r="D82" s="15" t="s">
        <v>6816</v>
      </c>
      <c r="E82" s="15" t="s">
        <v>7045</v>
      </c>
      <c r="F82" s="15"/>
      <c r="G82" s="15"/>
      <c r="H82" s="15"/>
    </row>
    <row r="83" customFormat="false" ht="17.25" hidden="false" customHeight="true" outlineLevel="0" collapsed="false">
      <c r="B83" s="15" t="s">
        <v>7046</v>
      </c>
      <c r="C83" s="158" t="n">
        <f aca="false">SUM(E64:E73)+SUM(F64:F73)</f>
        <v>217</v>
      </c>
      <c r="D83" s="15" t="s">
        <v>6816</v>
      </c>
      <c r="E83" s="15" t="s">
        <v>7047</v>
      </c>
      <c r="F83" s="15"/>
      <c r="G83" s="15"/>
      <c r="H83" s="15"/>
    </row>
    <row r="84" customFormat="false" ht="17.25" hidden="false" customHeight="true" outlineLevel="0" collapsed="false">
      <c r="B84" s="15" t="s">
        <v>6805</v>
      </c>
      <c r="C84" s="158" t="n">
        <f aca="false">SUMIF(D64:D73,"VA",E64:E73)</f>
        <v>72</v>
      </c>
      <c r="D84" s="15" t="s">
        <v>6816</v>
      </c>
      <c r="E84" s="15" t="s">
        <v>7048</v>
      </c>
      <c r="F84" s="15"/>
      <c r="G84" s="15"/>
      <c r="H84" s="15"/>
    </row>
    <row r="85" customFormat="false" ht="17.25" hidden="false" customHeight="true" outlineLevel="0" collapsed="false">
      <c r="B85" s="15" t="s">
        <v>6818</v>
      </c>
      <c r="C85" s="160" t="n">
        <f aca="false">IFERROR(C84/C83,0)</f>
        <v>0.331797235023042</v>
      </c>
      <c r="D85" s="15"/>
      <c r="E85" s="15" t="s">
        <v>7049</v>
      </c>
      <c r="F85" s="15"/>
      <c r="G85" s="15"/>
      <c r="H85" s="15"/>
    </row>
    <row r="86" customFormat="false" ht="17.25" hidden="false" customHeight="true" outlineLevel="0" collapsed="false">
      <c r="B86" s="15" t="s">
        <v>7050</v>
      </c>
      <c r="C86" s="161" t="n">
        <f aca="false">COUNTIF(G64:G73,"YES")</f>
        <v>6</v>
      </c>
      <c r="D86" s="15" t="s">
        <v>7051</v>
      </c>
      <c r="E86" s="15" t="s">
        <v>7052</v>
      </c>
      <c r="F86" s="15"/>
      <c r="G86" s="15"/>
      <c r="H86" s="15"/>
    </row>
    <row r="87" customFormat="false" ht="17.25" hidden="false" customHeight="true" outlineLevel="0" collapsed="false">
      <c r="B87" s="15" t="s">
        <v>7053</v>
      </c>
      <c r="C87" s="161" t="n">
        <f aca="false">COUNTIF(H64:H73,"YES")</f>
        <v>2</v>
      </c>
      <c r="D87" s="15" t="s">
        <v>7034</v>
      </c>
      <c r="E87" s="15" t="s">
        <v>7054</v>
      </c>
      <c r="F87" s="15"/>
      <c r="G87" s="15"/>
      <c r="H87" s="15"/>
    </row>
    <row r="89" customFormat="false" ht="15.75" hidden="false" customHeight="true" outlineLevel="0" collapsed="false">
      <c r="B89" s="103" t="s">
        <v>1493</v>
      </c>
      <c r="C89" s="8"/>
      <c r="D89" s="8"/>
      <c r="E89" s="8"/>
      <c r="F89" s="8"/>
      <c r="G89" s="8"/>
      <c r="H89" s="8"/>
      <c r="I89" s="8"/>
      <c r="J89" s="8"/>
      <c r="K89" s="8"/>
    </row>
    <row r="90" customFormat="false" ht="49.5" hidden="false" customHeight="true" outlineLevel="0" collapsed="false">
      <c r="B90" s="105" t="s">
        <v>1494</v>
      </c>
      <c r="C90" s="168" t="str">
        <f aca="false">"The map has "&amp;TEXT(C77,"0")&amp;" steps taking "&amp;TEXT(C83,"0")&amp;" min elapsed, of which "&amp;TEXT(C84,"0")&amp;" min are value-added (PCE "&amp;TEXT(IFERROR(C84/C83,0),"0.0%")&amp;"). "&amp;TEXT(C80,"0")&amp;" steps are pure NVA and there are "&amp;TEXT(C86,"0")&amp;" handoffs. "&amp;IF(C86&gt;=4,"Handoffs dominate: attack the queues between lanes before optimising any single step.","Few handoffs: the opportunity is inside the steps themselves, so time them and standardise (L-14).")</f>
        <v>The map has 10 steps taking 217 min elapsed, of which 72 min are value-added (PCE 33.2%). 3 steps are pure NVA and there are 6 handoffs. Handoffs dominate: attack the queues between lanes before optimising any single step.</v>
      </c>
      <c r="D90" s="168"/>
      <c r="E90" s="168"/>
      <c r="F90" s="168"/>
      <c r="G90" s="168"/>
    </row>
    <row r="92" customFormat="false" ht="17.25" hidden="false" customHeight="true" outlineLevel="0" collapsed="false">
      <c r="B92" s="152" t="s">
        <v>1495</v>
      </c>
      <c r="C92" s="152" t="s">
        <v>1496</v>
      </c>
      <c r="D92" s="152" t="s">
        <v>1497</v>
      </c>
      <c r="E92" s="152"/>
      <c r="F92" s="152"/>
      <c r="G92" s="152"/>
      <c r="H92" s="152"/>
    </row>
    <row r="93" customFormat="false" ht="44.25" hidden="false" customHeight="true" outlineLevel="0" collapsed="false">
      <c r="B93" s="15" t="s">
        <v>7055</v>
      </c>
      <c r="C93" s="15" t="s">
        <v>7056</v>
      </c>
      <c r="D93" s="15" t="s">
        <v>7057</v>
      </c>
      <c r="E93" s="15"/>
      <c r="F93" s="15"/>
      <c r="G93" s="15"/>
      <c r="H93" s="15"/>
    </row>
    <row r="94" customFormat="false" ht="30.75" hidden="false" customHeight="true" outlineLevel="0" collapsed="false">
      <c r="B94" s="15" t="s">
        <v>7058</v>
      </c>
      <c r="C94" s="15" t="s">
        <v>7059</v>
      </c>
      <c r="D94" s="15" t="s">
        <v>7060</v>
      </c>
      <c r="E94" s="15"/>
      <c r="F94" s="15"/>
      <c r="G94" s="15"/>
      <c r="H94" s="15"/>
    </row>
    <row r="95" customFormat="false" ht="44.25" hidden="false" customHeight="true" outlineLevel="0" collapsed="false">
      <c r="B95" s="15" t="s">
        <v>7061</v>
      </c>
      <c r="C95" s="15" t="s">
        <v>7062</v>
      </c>
      <c r="D95" s="15" t="s">
        <v>7063</v>
      </c>
      <c r="E95" s="15"/>
      <c r="F95" s="15"/>
      <c r="G95" s="15"/>
      <c r="H95" s="15"/>
    </row>
    <row r="96" customFormat="false" ht="17.25" hidden="false" customHeight="true" outlineLevel="0" collapsed="false">
      <c r="B96" s="15" t="s">
        <v>7064</v>
      </c>
      <c r="C96" s="15" t="s">
        <v>7065</v>
      </c>
      <c r="D96" s="15" t="s">
        <v>7066</v>
      </c>
      <c r="E96" s="15"/>
      <c r="F96" s="15"/>
      <c r="G96" s="15"/>
      <c r="H96" s="15"/>
    </row>
    <row r="98" customFormat="false" ht="15" hidden="false" customHeight="true" outlineLevel="0" collapsed="false">
      <c r="B98" s="105" t="s">
        <v>1507</v>
      </c>
    </row>
    <row r="99" customFormat="false" ht="17.25" hidden="false" customHeight="true" outlineLevel="0" collapsed="false">
      <c r="B99" s="106" t="s">
        <v>7067</v>
      </c>
      <c r="C99" s="106"/>
      <c r="D99" s="106"/>
      <c r="E99" s="106"/>
      <c r="F99" s="106"/>
      <c r="G99" s="106"/>
      <c r="H99" s="106"/>
      <c r="I99" s="106"/>
    </row>
    <row r="100" customFormat="false" ht="17.25" hidden="false" customHeight="true" outlineLevel="0" collapsed="false">
      <c r="B100" s="106" t="s">
        <v>7068</v>
      </c>
      <c r="C100" s="106"/>
      <c r="D100" s="106"/>
      <c r="E100" s="106"/>
      <c r="F100" s="106"/>
      <c r="G100" s="106"/>
      <c r="H100" s="106"/>
      <c r="I100" s="106"/>
    </row>
    <row r="101" customFormat="false" ht="17.25" hidden="false" customHeight="true" outlineLevel="0" collapsed="false">
      <c r="B101" s="106" t="s">
        <v>7069</v>
      </c>
      <c r="C101" s="106"/>
      <c r="D101" s="106"/>
      <c r="E101" s="106"/>
      <c r="F101" s="106"/>
      <c r="G101" s="106"/>
      <c r="H101" s="106"/>
      <c r="I101" s="106"/>
    </row>
    <row r="102" customFormat="false" ht="17.25" hidden="false" customHeight="true" outlineLevel="0" collapsed="false">
      <c r="B102" s="106" t="s">
        <v>7070</v>
      </c>
      <c r="C102" s="106"/>
      <c r="D102" s="106"/>
      <c r="E102" s="106"/>
      <c r="F102" s="106"/>
      <c r="G102" s="106"/>
      <c r="H102" s="106"/>
      <c r="I102" s="106"/>
    </row>
    <row r="103" customFormat="false" ht="17.25" hidden="false" customHeight="true" outlineLevel="0" collapsed="false">
      <c r="B103" s="106" t="s">
        <v>7071</v>
      </c>
      <c r="C103" s="106"/>
      <c r="D103" s="106"/>
      <c r="E103" s="106"/>
      <c r="F103" s="106"/>
      <c r="G103" s="106"/>
      <c r="H103" s="106"/>
      <c r="I103" s="106"/>
    </row>
    <row r="105" customFormat="false" ht="15.75" hidden="false" customHeight="true" outlineLevel="0" collapsed="false">
      <c r="B105" s="103" t="s">
        <v>1513</v>
      </c>
      <c r="C105" s="8"/>
      <c r="D105" s="8"/>
      <c r="E105" s="8"/>
      <c r="F105" s="8"/>
      <c r="G105" s="8"/>
      <c r="H105" s="8"/>
      <c r="I105" s="8"/>
      <c r="J105" s="8"/>
      <c r="K105" s="8"/>
    </row>
    <row r="106" customFormat="false" ht="17.25" hidden="false" customHeight="true" outlineLevel="0" collapsed="false">
      <c r="B106" s="106" t="s">
        <v>6712</v>
      </c>
      <c r="C106" s="106"/>
      <c r="D106" s="106"/>
      <c r="E106" s="106"/>
      <c r="F106" s="106"/>
      <c r="N106" s="169" t="s">
        <v>1515</v>
      </c>
    </row>
    <row r="107" customFormat="false" ht="44.25" hidden="false" customHeight="true" outlineLevel="0" collapsed="false">
      <c r="B107" s="106" t="s">
        <v>7072</v>
      </c>
      <c r="C107" s="106"/>
      <c r="D107" s="106"/>
      <c r="E107" s="106"/>
      <c r="F107" s="106"/>
      <c r="N107" s="120" t="s">
        <v>7073</v>
      </c>
    </row>
    <row r="108" customFormat="false" ht="44.25" hidden="false" customHeight="true" outlineLevel="0" collapsed="false">
      <c r="B108" s="106" t="s">
        <v>7074</v>
      </c>
      <c r="C108" s="106"/>
      <c r="D108" s="106"/>
      <c r="E108" s="106"/>
      <c r="F108" s="106"/>
      <c r="N108" s="120" t="s">
        <v>7075</v>
      </c>
    </row>
    <row r="109" customFormat="false" ht="44.25" hidden="false" customHeight="true" outlineLevel="0" collapsed="false">
      <c r="B109" s="106" t="s">
        <v>7076</v>
      </c>
      <c r="C109" s="106"/>
      <c r="D109" s="106"/>
      <c r="E109" s="106"/>
      <c r="F109" s="106"/>
      <c r="N109" s="120" t="s">
        <v>7077</v>
      </c>
    </row>
    <row r="111" customFormat="false" ht="15.75" hidden="false" customHeight="true" outlineLevel="0" collapsed="false">
      <c r="B111" s="103" t="s">
        <v>1522</v>
      </c>
      <c r="C111" s="8"/>
      <c r="D111" s="8"/>
      <c r="E111" s="8"/>
      <c r="F111" s="8"/>
      <c r="G111" s="8"/>
      <c r="H111" s="8"/>
      <c r="I111" s="8"/>
      <c r="J111" s="8"/>
      <c r="K111" s="8"/>
    </row>
    <row r="112" customFormat="false" ht="17.25" hidden="false" customHeight="true" outlineLevel="0" collapsed="false">
      <c r="B112" s="152" t="s">
        <v>1523</v>
      </c>
      <c r="C112" s="152" t="s">
        <v>1524</v>
      </c>
      <c r="D112" s="152" t="s">
        <v>6719</v>
      </c>
      <c r="E112" s="152"/>
      <c r="F112" s="152"/>
    </row>
    <row r="113" customFormat="false" ht="30.75" hidden="false" customHeight="true" outlineLevel="0" collapsed="false">
      <c r="B113" s="170" t="s">
        <v>6862</v>
      </c>
      <c r="C113" s="170" t="s">
        <v>7078</v>
      </c>
      <c r="D113" s="171" t="s">
        <v>6744</v>
      </c>
      <c r="E113" s="171"/>
      <c r="F113" s="171"/>
    </row>
  </sheetData>
  <mergeCells count="76">
    <mergeCell ref="B2:J2"/>
    <mergeCell ref="D3:H3"/>
    <mergeCell ref="C6:F6"/>
    <mergeCell ref="C7:F7"/>
    <mergeCell ref="C8:F8"/>
    <mergeCell ref="B11:I13"/>
    <mergeCell ref="B14:I16"/>
    <mergeCell ref="B17:I19"/>
    <mergeCell ref="B20:I20"/>
    <mergeCell ref="B23:D23"/>
    <mergeCell ref="E23:I23"/>
    <mergeCell ref="B24:D24"/>
    <mergeCell ref="E24:I24"/>
    <mergeCell ref="B25:D25"/>
    <mergeCell ref="E25:I25"/>
    <mergeCell ref="B26:D26"/>
    <mergeCell ref="E26:I26"/>
    <mergeCell ref="B27:I27"/>
    <mergeCell ref="E29:F29"/>
    <mergeCell ref="E30:F30"/>
    <mergeCell ref="E31:F31"/>
    <mergeCell ref="E32:F32"/>
    <mergeCell ref="E33:F33"/>
    <mergeCell ref="B36:I39"/>
    <mergeCell ref="B41:I41"/>
    <mergeCell ref="B42:I44"/>
    <mergeCell ref="B46:I46"/>
    <mergeCell ref="D49:G49"/>
    <mergeCell ref="D50:G50"/>
    <mergeCell ref="D51:G51"/>
    <mergeCell ref="D52:G52"/>
    <mergeCell ref="D53:G53"/>
    <mergeCell ref="D54:G54"/>
    <mergeCell ref="B57:I58"/>
    <mergeCell ref="B59:I59"/>
    <mergeCell ref="B62:I62"/>
    <mergeCell ref="I63:J63"/>
    <mergeCell ref="I64:J64"/>
    <mergeCell ref="I65:J65"/>
    <mergeCell ref="I66:J66"/>
    <mergeCell ref="I67:J67"/>
    <mergeCell ref="I68:J68"/>
    <mergeCell ref="I69:J69"/>
    <mergeCell ref="I70:J70"/>
    <mergeCell ref="I71:J71"/>
    <mergeCell ref="I72:J72"/>
    <mergeCell ref="I73:J73"/>
    <mergeCell ref="E76:H76"/>
    <mergeCell ref="E77:H77"/>
    <mergeCell ref="E78:H78"/>
    <mergeCell ref="E79:H79"/>
    <mergeCell ref="E80:H80"/>
    <mergeCell ref="E81:H81"/>
    <mergeCell ref="E82:H82"/>
    <mergeCell ref="E83:H83"/>
    <mergeCell ref="E84:H84"/>
    <mergeCell ref="E85:H85"/>
    <mergeCell ref="E86:H86"/>
    <mergeCell ref="E87:H87"/>
    <mergeCell ref="C90:G90"/>
    <mergeCell ref="D92:H92"/>
    <mergeCell ref="D93:H93"/>
    <mergeCell ref="D94:H94"/>
    <mergeCell ref="D95:H95"/>
    <mergeCell ref="D96:H96"/>
    <mergeCell ref="B99:I99"/>
    <mergeCell ref="B100:I100"/>
    <mergeCell ref="B101:I101"/>
    <mergeCell ref="B102:I102"/>
    <mergeCell ref="B103:I103"/>
    <mergeCell ref="B106:F106"/>
    <mergeCell ref="B107:F107"/>
    <mergeCell ref="B108:F108"/>
    <mergeCell ref="B109:F109"/>
    <mergeCell ref="D112:F112"/>
    <mergeCell ref="D113:F113"/>
  </mergeCells>
  <hyperlinks>
    <hyperlink ref="B3" location="'N-03 Index DMAIC'!A1" display="← Back to Index"/>
    <hyperlink ref="E30" location="'L-22 Gemba Walk'!A1" display="L-22  Gemba Walk"/>
    <hyperlink ref="E31" location="'G-04 RACI Matrix'!A1" display="G-04  RACI Matrix"/>
    <hyperlink ref="E32" location="'L-14 Standard Work'!A1" display="L-14  Standard Work"/>
    <hyperlink ref="E33" location="'L-01 Eight Wastes'!A1" display="L-01  The Eight Wastes"/>
    <hyperlink ref="B113" location="'L-02 VSM Current State'!A1" display="L-02  VSM Current State"/>
    <hyperlink ref="C113" location="'L-06 Value Added Analysis'!A1" display="L-06  Value-Added Analysis"/>
    <hyperlink ref="D113" location="'L-14 Standard Work'!A1" display="L-14  Standard Wor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20"/>
    <col collapsed="false" customWidth="true" hidden="false" outlineLevel="0" max="5" min="5" style="1" width="16"/>
    <col collapsed="false" customWidth="true" hidden="false" outlineLevel="0" max="6" min="6" style="1" width="13"/>
    <col collapsed="false" customWidth="true" hidden="false" outlineLevel="0" max="8" min="7" style="1" width="16"/>
    <col collapsed="false" customWidth="true" hidden="false" outlineLevel="0" max="9" min="9" style="1" width="13"/>
    <col collapsed="false" customWidth="true" hidden="false" outlineLevel="0" max="10" min="10" style="1" width="20"/>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7079</v>
      </c>
      <c r="C2" s="148"/>
      <c r="D2" s="148"/>
      <c r="E2" s="148"/>
      <c r="F2" s="148"/>
      <c r="G2" s="148"/>
      <c r="H2" s="148"/>
      <c r="I2" s="148"/>
      <c r="J2" s="148"/>
      <c r="K2" s="172" t="s">
        <v>1389</v>
      </c>
    </row>
    <row r="3" customFormat="false" ht="28.5" hidden="false" customHeight="true" outlineLevel="0" collapsed="false">
      <c r="B3" s="150" t="s">
        <v>3</v>
      </c>
      <c r="D3" s="151" t="s">
        <v>7080</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7081</v>
      </c>
      <c r="D6" s="106"/>
      <c r="E6" s="106"/>
    </row>
    <row r="7" customFormat="false" ht="31.5" hidden="false" customHeight="true" outlineLevel="0" collapsed="false">
      <c r="B7" s="105" t="s">
        <v>1394</v>
      </c>
      <c r="C7" s="106" t="s">
        <v>7082</v>
      </c>
      <c r="D7" s="106"/>
      <c r="E7" s="106"/>
    </row>
    <row r="8" customFormat="false" ht="31.5" hidden="false" customHeight="true" outlineLevel="0" collapsed="false">
      <c r="B8" s="105" t="s">
        <v>1396</v>
      </c>
      <c r="C8" s="106" t="s">
        <v>7083</v>
      </c>
      <c r="D8" s="106"/>
      <c r="E8" s="106"/>
    </row>
    <row r="10" customFormat="false" ht="15.75" hidden="false" customHeight="true" outlineLevel="0" collapsed="false">
      <c r="B10" s="103" t="s">
        <v>1398</v>
      </c>
      <c r="C10" s="8"/>
      <c r="D10" s="8"/>
      <c r="E10" s="8"/>
      <c r="F10" s="8"/>
      <c r="G10" s="8"/>
      <c r="H10" s="8"/>
      <c r="I10" s="8"/>
      <c r="J10" s="8"/>
      <c r="K10" s="8"/>
    </row>
    <row r="11" customFormat="false" ht="15.75" hidden="false" customHeight="true" outlineLevel="0" collapsed="false">
      <c r="B11" s="106" t="s">
        <v>7084</v>
      </c>
      <c r="C11" s="106"/>
      <c r="D11" s="106"/>
      <c r="E11" s="106"/>
      <c r="F11" s="106"/>
      <c r="G11" s="106"/>
      <c r="H11" s="106"/>
    </row>
    <row r="12" customFormat="false" ht="15.75" hidden="false" customHeight="true" outlineLevel="0" collapsed="false">
      <c r="B12" s="106"/>
      <c r="C12" s="106"/>
      <c r="D12" s="106"/>
      <c r="E12" s="106"/>
      <c r="F12" s="106"/>
      <c r="G12" s="106"/>
      <c r="H12" s="106"/>
    </row>
    <row r="13" customFormat="false" ht="10.5" hidden="false" customHeight="true" outlineLevel="0" collapsed="false">
      <c r="B13" s="106" t="s">
        <v>7085</v>
      </c>
      <c r="C13" s="106"/>
      <c r="D13" s="106"/>
      <c r="E13" s="106"/>
      <c r="F13" s="106"/>
      <c r="G13" s="106"/>
      <c r="H13" s="106"/>
    </row>
    <row r="14" customFormat="false" ht="10.5" hidden="false" customHeight="true" outlineLevel="0" collapsed="false">
      <c r="B14" s="106"/>
      <c r="C14" s="106"/>
      <c r="D14" s="106"/>
      <c r="E14" s="106"/>
      <c r="F14" s="106"/>
      <c r="G14" s="106"/>
      <c r="H14" s="106"/>
    </row>
    <row r="15" customFormat="false" ht="10.5" hidden="false" customHeight="true" outlineLevel="0" collapsed="false">
      <c r="B15" s="106"/>
      <c r="C15" s="106"/>
      <c r="D15" s="106"/>
      <c r="E15" s="106"/>
      <c r="F15" s="106"/>
      <c r="G15" s="106"/>
      <c r="H15" s="106"/>
    </row>
    <row r="16" customFormat="false" ht="8.25" hidden="false" customHeight="true" outlineLevel="0" collapsed="false">
      <c r="B16" s="106" t="s">
        <v>7086</v>
      </c>
      <c r="C16" s="106"/>
      <c r="D16" s="106"/>
      <c r="E16" s="106"/>
      <c r="F16" s="106"/>
      <c r="G16" s="106"/>
      <c r="H16" s="106"/>
    </row>
    <row r="17" customFormat="false" ht="8.25" hidden="false" customHeight="true" outlineLevel="0" collapsed="false">
      <c r="B17" s="106"/>
      <c r="C17" s="106"/>
      <c r="D17" s="106"/>
      <c r="E17" s="106"/>
      <c r="F17" s="106"/>
      <c r="G17" s="106"/>
      <c r="H17" s="106"/>
    </row>
    <row r="18" customFormat="false" ht="8.25" hidden="false" customHeight="true" outlineLevel="0" collapsed="false">
      <c r="B18" s="106" t="s">
        <v>7087</v>
      </c>
      <c r="C18" s="106"/>
      <c r="D18" s="106"/>
      <c r="E18" s="106"/>
      <c r="F18" s="106"/>
      <c r="G18" s="106"/>
      <c r="H18" s="106"/>
    </row>
    <row r="19" customFormat="false" ht="8.25" hidden="false" customHeight="true" outlineLevel="0" collapsed="false">
      <c r="B19" s="106"/>
      <c r="C19" s="106"/>
      <c r="D19" s="106"/>
      <c r="E19" s="106"/>
      <c r="F19" s="106"/>
      <c r="G19" s="106"/>
      <c r="H19" s="106"/>
    </row>
    <row r="21" customFormat="false" ht="15.75" hidden="false" customHeight="true" outlineLevel="0" collapsed="false">
      <c r="B21" s="103" t="s">
        <v>1406</v>
      </c>
      <c r="C21" s="8"/>
      <c r="D21" s="8"/>
      <c r="E21" s="8"/>
      <c r="F21" s="8"/>
      <c r="G21" s="8"/>
      <c r="H21" s="8"/>
      <c r="I21" s="8"/>
      <c r="J21" s="8"/>
      <c r="K21" s="8"/>
    </row>
    <row r="22" customFormat="false" ht="17.25" hidden="false" customHeight="true" outlineLevel="0" collapsed="false">
      <c r="B22" s="107" t="s">
        <v>1407</v>
      </c>
      <c r="C22" s="107"/>
      <c r="D22" s="107"/>
      <c r="E22" s="107" t="s">
        <v>1408</v>
      </c>
      <c r="F22" s="107"/>
      <c r="G22" s="107"/>
      <c r="H22" s="107"/>
    </row>
    <row r="23" customFormat="false" ht="31.5" hidden="false" customHeight="true" outlineLevel="0" collapsed="false">
      <c r="B23" s="106" t="s">
        <v>7088</v>
      </c>
      <c r="C23" s="106"/>
      <c r="D23" s="106"/>
      <c r="E23" s="106" t="s">
        <v>7089</v>
      </c>
      <c r="F23" s="106"/>
      <c r="G23" s="106"/>
      <c r="H23" s="106"/>
    </row>
    <row r="24" customFormat="false" ht="31.5" hidden="false" customHeight="true" outlineLevel="0" collapsed="false">
      <c r="B24" s="106" t="s">
        <v>7090</v>
      </c>
      <c r="C24" s="106"/>
      <c r="D24" s="106"/>
      <c r="E24" s="106" t="s">
        <v>7091</v>
      </c>
      <c r="F24" s="106"/>
      <c r="G24" s="106"/>
      <c r="H24" s="106"/>
    </row>
    <row r="25" customFormat="false" ht="31.5" hidden="false" customHeight="true" outlineLevel="0" collapsed="false">
      <c r="B25" s="106" t="s">
        <v>7092</v>
      </c>
      <c r="C25" s="106"/>
      <c r="D25" s="106"/>
      <c r="E25" s="106" t="s">
        <v>7093</v>
      </c>
      <c r="F25" s="106"/>
      <c r="G25" s="106"/>
      <c r="H25" s="106"/>
    </row>
    <row r="26" customFormat="false" ht="17.25" hidden="false" customHeight="true" outlineLevel="0" collapsed="false">
      <c r="B26" s="106" t="s">
        <v>7094</v>
      </c>
      <c r="C26" s="106"/>
      <c r="D26" s="106"/>
      <c r="E26" s="106"/>
      <c r="F26" s="106"/>
      <c r="G26" s="106"/>
      <c r="H26" s="106"/>
    </row>
    <row r="28" customFormat="false" ht="17.25" hidden="false" customHeight="true" outlineLevel="0" collapsed="false">
      <c r="B28" s="152" t="s">
        <v>6621</v>
      </c>
      <c r="C28" s="152" t="s">
        <v>1417</v>
      </c>
      <c r="D28" s="152" t="s">
        <v>1418</v>
      </c>
      <c r="E28" s="152" t="s">
        <v>1419</v>
      </c>
      <c r="F28" s="152"/>
    </row>
    <row r="29" customFormat="false" ht="58.5" hidden="false" customHeight="true" outlineLevel="0" collapsed="false">
      <c r="B29" s="15" t="s">
        <v>7095</v>
      </c>
      <c r="C29" s="15" t="s">
        <v>7096</v>
      </c>
      <c r="D29" s="15" t="s">
        <v>7097</v>
      </c>
      <c r="E29" s="153" t="s">
        <v>1113</v>
      </c>
      <c r="F29" s="153"/>
    </row>
    <row r="30" customFormat="false" ht="44.25" hidden="false" customHeight="true" outlineLevel="0" collapsed="false">
      <c r="B30" s="15" t="s">
        <v>7098</v>
      </c>
      <c r="C30" s="15" t="s">
        <v>7099</v>
      </c>
      <c r="D30" s="15" t="s">
        <v>7100</v>
      </c>
      <c r="E30" s="153" t="s">
        <v>6632</v>
      </c>
      <c r="F30" s="153"/>
    </row>
    <row r="31" customFormat="false" ht="30.75" hidden="false" customHeight="true" outlineLevel="0" collapsed="false">
      <c r="B31" s="15" t="s">
        <v>7101</v>
      </c>
      <c r="C31" s="15" t="s">
        <v>7102</v>
      </c>
      <c r="D31" s="15" t="s">
        <v>7103</v>
      </c>
      <c r="E31" s="153" t="s">
        <v>6632</v>
      </c>
      <c r="F31" s="153"/>
    </row>
    <row r="32" customFormat="false" ht="44.25" hidden="false" customHeight="true" outlineLevel="0" collapsed="false">
      <c r="B32" s="15" t="s">
        <v>7104</v>
      </c>
      <c r="C32" s="15" t="s">
        <v>7105</v>
      </c>
      <c r="D32" s="15" t="s">
        <v>7106</v>
      </c>
      <c r="E32" s="153" t="s">
        <v>7107</v>
      </c>
      <c r="F32" s="153"/>
    </row>
    <row r="34" customFormat="false" ht="15.75" hidden="false" customHeight="true" outlineLevel="0" collapsed="false">
      <c r="B34" s="103" t="s">
        <v>1429</v>
      </c>
      <c r="C34" s="8"/>
      <c r="D34" s="8"/>
      <c r="E34" s="8"/>
      <c r="F34" s="8"/>
      <c r="G34" s="8"/>
      <c r="H34" s="8"/>
      <c r="I34" s="8"/>
      <c r="J34" s="8"/>
      <c r="K34" s="8"/>
    </row>
    <row r="35" customFormat="false" ht="6" hidden="false" customHeight="true" outlineLevel="0" collapsed="false">
      <c r="B35" s="106" t="s">
        <v>7108</v>
      </c>
      <c r="C35" s="106"/>
      <c r="D35" s="106"/>
      <c r="E35" s="106"/>
      <c r="F35" s="106"/>
      <c r="G35" s="106"/>
      <c r="H35" s="106"/>
    </row>
    <row r="36" customFormat="false" ht="6" hidden="false" customHeight="true" outlineLevel="0" collapsed="false">
      <c r="B36" s="106"/>
      <c r="C36" s="106"/>
      <c r="D36" s="106"/>
      <c r="E36" s="106"/>
      <c r="F36" s="106"/>
      <c r="G36" s="106"/>
      <c r="H36" s="106"/>
    </row>
    <row r="37" customFormat="false" ht="6" hidden="false" customHeight="true" outlineLevel="0" collapsed="false">
      <c r="B37" s="106"/>
      <c r="C37" s="106"/>
      <c r="D37" s="106"/>
      <c r="E37" s="106"/>
      <c r="F37" s="106"/>
      <c r="G37" s="106"/>
      <c r="H37" s="106"/>
    </row>
    <row r="38" customFormat="false" ht="6" hidden="false" customHeight="true" outlineLevel="0" collapsed="false">
      <c r="B38" s="106"/>
      <c r="C38" s="106"/>
      <c r="D38" s="106"/>
      <c r="E38" s="106"/>
      <c r="F38" s="106"/>
      <c r="G38" s="106"/>
      <c r="H38" s="106"/>
    </row>
    <row r="39" customFormat="false" ht="6" hidden="false" customHeight="true" outlineLevel="0" collapsed="false">
      <c r="B39" s="106"/>
      <c r="C39" s="106"/>
      <c r="D39" s="106"/>
      <c r="E39" s="106"/>
      <c r="F39" s="106"/>
      <c r="G39" s="106"/>
      <c r="H39" s="106"/>
    </row>
    <row r="40" customFormat="false" ht="15" hidden="false" customHeight="true" outlineLevel="0" collapsed="false">
      <c r="B40" s="122"/>
    </row>
    <row r="41" customFormat="false" ht="17.25" hidden="false" customHeight="true" outlineLevel="0" collapsed="false">
      <c r="B41" s="106" t="s">
        <v>7109</v>
      </c>
      <c r="C41" s="106"/>
      <c r="D41" s="106"/>
      <c r="E41" s="106"/>
      <c r="F41" s="106"/>
      <c r="G41" s="106"/>
      <c r="H41" s="106"/>
    </row>
    <row r="42" customFormat="false" ht="17.25" hidden="false" customHeight="true" outlineLevel="0" collapsed="false">
      <c r="B42" s="106" t="s">
        <v>7110</v>
      </c>
      <c r="C42" s="106"/>
      <c r="D42" s="106"/>
      <c r="E42" s="106"/>
      <c r="F42" s="106"/>
      <c r="G42" s="106"/>
      <c r="H42" s="106"/>
    </row>
    <row r="43" customFormat="false" ht="15" hidden="false" customHeight="true" outlineLevel="0" collapsed="false">
      <c r="B43" s="122"/>
    </row>
    <row r="44" customFormat="false" ht="17.25" hidden="false" customHeight="true" outlineLevel="0" collapsed="false">
      <c r="B44" s="106" t="s">
        <v>7111</v>
      </c>
      <c r="C44" s="106"/>
      <c r="D44" s="106"/>
      <c r="E44" s="106"/>
      <c r="F44" s="106"/>
      <c r="G44" s="106"/>
      <c r="H44" s="106"/>
    </row>
    <row r="46" customFormat="false" ht="15.75" hidden="false" customHeight="true" outlineLevel="0" collapsed="false">
      <c r="B46" s="103" t="s">
        <v>1437</v>
      </c>
      <c r="C46" s="8"/>
      <c r="D46" s="8"/>
      <c r="E46" s="8"/>
      <c r="F46" s="8"/>
      <c r="G46" s="8"/>
      <c r="H46" s="8"/>
      <c r="I46" s="8"/>
      <c r="J46" s="8"/>
      <c r="K46" s="8"/>
    </row>
    <row r="47" customFormat="false" ht="16.5" hidden="false" customHeight="true" outlineLevel="0" collapsed="false">
      <c r="B47" s="152" t="s">
        <v>1438</v>
      </c>
      <c r="C47" s="152" t="s">
        <v>1439</v>
      </c>
      <c r="D47" s="152" t="s">
        <v>1440</v>
      </c>
    </row>
    <row r="48" customFormat="false" ht="30.75" hidden="false" customHeight="true" outlineLevel="0" collapsed="false">
      <c r="B48" s="15" t="s">
        <v>3677</v>
      </c>
      <c r="C48" s="15" t="s">
        <v>7112</v>
      </c>
      <c r="D48" s="15" t="s">
        <v>7113</v>
      </c>
    </row>
    <row r="49" customFormat="false" ht="30.75" hidden="false" customHeight="true" outlineLevel="0" collapsed="false">
      <c r="B49" s="15" t="s">
        <v>7114</v>
      </c>
      <c r="C49" s="15" t="s">
        <v>7115</v>
      </c>
      <c r="D49" s="15" t="s">
        <v>7116</v>
      </c>
    </row>
    <row r="50" customFormat="false" ht="30.75" hidden="false" customHeight="true" outlineLevel="0" collapsed="false">
      <c r="B50" s="15" t="s">
        <v>1839</v>
      </c>
      <c r="C50" s="15" t="s">
        <v>6647</v>
      </c>
      <c r="D50" s="15" t="s">
        <v>7117</v>
      </c>
    </row>
    <row r="51" customFormat="false" ht="16.5" hidden="false" customHeight="true" outlineLevel="0" collapsed="false">
      <c r="B51" s="15" t="s">
        <v>4079</v>
      </c>
      <c r="C51" s="15" t="s">
        <v>4080</v>
      </c>
      <c r="D51" s="15" t="s">
        <v>7118</v>
      </c>
    </row>
    <row r="53" customFormat="false" ht="15.75" hidden="false" customHeight="true" outlineLevel="0" collapsed="false">
      <c r="B53" s="103" t="s">
        <v>1454</v>
      </c>
      <c r="C53" s="8"/>
      <c r="D53" s="8"/>
      <c r="E53" s="8"/>
      <c r="F53" s="8"/>
      <c r="G53" s="8"/>
      <c r="H53" s="8"/>
      <c r="I53" s="8"/>
      <c r="J53" s="8"/>
      <c r="K53" s="8"/>
    </row>
    <row r="54" customFormat="false" ht="10.5" hidden="false" customHeight="true" outlineLevel="0" collapsed="false">
      <c r="B54" s="106" t="s">
        <v>7119</v>
      </c>
      <c r="C54" s="106"/>
      <c r="D54" s="106"/>
      <c r="E54" s="106"/>
      <c r="F54" s="106"/>
      <c r="G54" s="106"/>
      <c r="H54" s="106"/>
    </row>
    <row r="55" customFormat="false" ht="10.5" hidden="false" customHeight="true" outlineLevel="0" collapsed="false">
      <c r="B55" s="106"/>
      <c r="C55" s="106"/>
      <c r="D55" s="106"/>
      <c r="E55" s="106"/>
      <c r="F55" s="106"/>
      <c r="G55" s="106"/>
      <c r="H55" s="106"/>
    </row>
    <row r="56" customFormat="false" ht="10.5" hidden="false" customHeight="true" outlineLevel="0" collapsed="false">
      <c r="B56" s="106"/>
      <c r="C56" s="106"/>
      <c r="D56" s="106"/>
      <c r="E56" s="106"/>
      <c r="F56" s="106"/>
      <c r="G56" s="106"/>
      <c r="H56" s="106"/>
    </row>
    <row r="57" customFormat="false" ht="15" hidden="false" customHeight="true" outlineLevel="0" collapsed="false">
      <c r="B57" s="112" t="s">
        <v>85</v>
      </c>
      <c r="C57" s="154" t="s">
        <v>86</v>
      </c>
    </row>
    <row r="59" customFormat="false" ht="15" hidden="false" customHeight="true" outlineLevel="0" collapsed="false">
      <c r="B59" s="105" t="s">
        <v>6652</v>
      </c>
    </row>
    <row r="60" customFormat="false" ht="17.25" hidden="false" customHeight="true" outlineLevel="0" collapsed="false">
      <c r="B60" s="152" t="s">
        <v>6653</v>
      </c>
      <c r="C60" s="152" t="s">
        <v>6654</v>
      </c>
      <c r="D60" s="152" t="s">
        <v>6575</v>
      </c>
      <c r="E60" s="152" t="s">
        <v>6655</v>
      </c>
      <c r="F60" s="152"/>
      <c r="G60" s="152"/>
    </row>
    <row r="61" customFormat="false" ht="17.25" hidden="false" customHeight="true" outlineLevel="0" collapsed="false">
      <c r="B61" s="15" t="s">
        <v>7120</v>
      </c>
      <c r="C61" s="157" t="n">
        <v>1.2</v>
      </c>
      <c r="D61" s="15" t="s">
        <v>7121</v>
      </c>
      <c r="E61" s="15" t="s">
        <v>7122</v>
      </c>
      <c r="F61" s="15"/>
      <c r="G61" s="15"/>
    </row>
    <row r="62" customFormat="false" ht="17.25" hidden="false" customHeight="true" outlineLevel="0" collapsed="false">
      <c r="B62" s="15" t="s">
        <v>7123</v>
      </c>
      <c r="C62" s="155" t="n">
        <v>480</v>
      </c>
      <c r="D62" s="15" t="s">
        <v>6816</v>
      </c>
      <c r="E62" s="15" t="s">
        <v>7124</v>
      </c>
      <c r="F62" s="15"/>
      <c r="G62" s="15"/>
    </row>
    <row r="63" customFormat="false" ht="17.25" hidden="false" customHeight="true" outlineLevel="0" collapsed="false">
      <c r="B63" s="15" t="s">
        <v>7125</v>
      </c>
      <c r="C63" s="155" t="n">
        <v>1095</v>
      </c>
      <c r="D63" s="15" t="s">
        <v>6657</v>
      </c>
      <c r="E63" s="15" t="s">
        <v>7126</v>
      </c>
      <c r="F63" s="15"/>
      <c r="G63" s="15"/>
    </row>
    <row r="64" customFormat="false" ht="17.25" hidden="false" customHeight="true" outlineLevel="0" collapsed="false">
      <c r="B64" s="15" t="s">
        <v>7127</v>
      </c>
      <c r="C64" s="156" t="n">
        <v>9</v>
      </c>
      <c r="D64" s="15" t="s">
        <v>7128</v>
      </c>
      <c r="E64" s="15" t="s">
        <v>7129</v>
      </c>
      <c r="F64" s="15"/>
      <c r="G64" s="15"/>
    </row>
    <row r="66" customFormat="false" ht="17.25" hidden="false" customHeight="true" outlineLevel="0" collapsed="false">
      <c r="B66" s="107" t="s">
        <v>7130</v>
      </c>
      <c r="C66" s="107"/>
      <c r="D66" s="107"/>
      <c r="E66" s="107"/>
      <c r="F66" s="107"/>
      <c r="G66" s="107"/>
      <c r="H66" s="107"/>
    </row>
    <row r="67" customFormat="false" ht="30.75" hidden="false" customHeight="true" outlineLevel="0" collapsed="false">
      <c r="B67" s="152" t="s">
        <v>7131</v>
      </c>
      <c r="C67" s="152" t="s">
        <v>7132</v>
      </c>
      <c r="D67" s="152" t="s">
        <v>7133</v>
      </c>
      <c r="E67" s="152" t="s">
        <v>7134</v>
      </c>
      <c r="F67" s="152" t="s">
        <v>7135</v>
      </c>
      <c r="G67" s="152" t="s">
        <v>7136</v>
      </c>
      <c r="H67" s="152" t="s">
        <v>7137</v>
      </c>
      <c r="I67" s="152" t="s">
        <v>7138</v>
      </c>
      <c r="J67" s="152" t="s">
        <v>7139</v>
      </c>
    </row>
    <row r="68" customFormat="false" ht="16.5" hidden="false" customHeight="true" outlineLevel="0" collapsed="false">
      <c r="B68" s="15" t="s">
        <v>7140</v>
      </c>
      <c r="C68" s="177" t="s">
        <v>7141</v>
      </c>
      <c r="D68" s="177" t="s">
        <v>7142</v>
      </c>
      <c r="E68" s="155" t="n">
        <v>35</v>
      </c>
      <c r="F68" s="155" t="n">
        <v>14</v>
      </c>
      <c r="G68" s="159" t="n">
        <f aca="false">E68*F68</f>
        <v>490</v>
      </c>
      <c r="H68" s="158" t="n">
        <f aca="false">IFERROR(G68/$C$61/60,0)</f>
        <v>6.80555555555556</v>
      </c>
      <c r="I68" s="160" t="n">
        <f aca="false">IFERROR(H68/$C$62,0)</f>
        <v>0.0141782407407407</v>
      </c>
      <c r="J68" s="155" t="n">
        <v>14</v>
      </c>
    </row>
    <row r="69" customFormat="false" ht="16.5" hidden="false" customHeight="true" outlineLevel="0" collapsed="false">
      <c r="B69" s="15" t="s">
        <v>7143</v>
      </c>
      <c r="C69" s="177" t="s">
        <v>7141</v>
      </c>
      <c r="D69" s="177" t="s">
        <v>7144</v>
      </c>
      <c r="E69" s="155" t="n">
        <v>22</v>
      </c>
      <c r="F69" s="155" t="n">
        <v>18</v>
      </c>
      <c r="G69" s="159" t="n">
        <f aca="false">E69*F69</f>
        <v>396</v>
      </c>
      <c r="H69" s="158" t="n">
        <f aca="false">IFERROR(G69/$C$61/60,0)</f>
        <v>5.5</v>
      </c>
      <c r="I69" s="160" t="n">
        <f aca="false">IFERROR(H69/$C$62,0)</f>
        <v>0.0114583333333333</v>
      </c>
      <c r="J69" s="155" t="n">
        <v>9</v>
      </c>
    </row>
    <row r="70" customFormat="false" ht="16.5" hidden="false" customHeight="true" outlineLevel="0" collapsed="false">
      <c r="B70" s="15" t="s">
        <v>7145</v>
      </c>
      <c r="C70" s="177" t="s">
        <v>7146</v>
      </c>
      <c r="D70" s="177" t="s">
        <v>7147</v>
      </c>
      <c r="E70" s="155" t="n">
        <v>65</v>
      </c>
      <c r="F70" s="155" t="n">
        <v>6</v>
      </c>
      <c r="G70" s="159" t="n">
        <f aca="false">E70*F70</f>
        <v>390</v>
      </c>
      <c r="H70" s="158" t="n">
        <f aca="false">IFERROR(G70/$C$61/60,0)</f>
        <v>5.41666666666667</v>
      </c>
      <c r="I70" s="160" t="n">
        <f aca="false">IFERROR(H70/$C$62,0)</f>
        <v>0.0112847222222222</v>
      </c>
      <c r="J70" s="155" t="n">
        <v>26</v>
      </c>
    </row>
    <row r="71" customFormat="false" ht="16.5" hidden="false" customHeight="true" outlineLevel="0" collapsed="false">
      <c r="B71" s="15" t="s">
        <v>7148</v>
      </c>
      <c r="C71" s="177" t="s">
        <v>7149</v>
      </c>
      <c r="D71" s="177" t="s">
        <v>7150</v>
      </c>
      <c r="E71" s="155" t="n">
        <v>90</v>
      </c>
      <c r="F71" s="155" t="n">
        <v>8</v>
      </c>
      <c r="G71" s="159" t="n">
        <f aca="false">E71*F71</f>
        <v>720</v>
      </c>
      <c r="H71" s="158" t="n">
        <f aca="false">IFERROR(G71/$C$61/60,0)</f>
        <v>10</v>
      </c>
      <c r="I71" s="160" t="n">
        <f aca="false">IFERROR(H71/$C$62,0)</f>
        <v>0.0208333333333333</v>
      </c>
      <c r="J71" s="155" t="n">
        <v>36</v>
      </c>
    </row>
    <row r="72" customFormat="false" ht="16.5" hidden="false" customHeight="true" outlineLevel="0" collapsed="false">
      <c r="B72" s="15" t="s">
        <v>7151</v>
      </c>
      <c r="C72" s="177" t="s">
        <v>7149</v>
      </c>
      <c r="D72" s="177" t="s">
        <v>7152</v>
      </c>
      <c r="E72" s="155" t="n">
        <v>55</v>
      </c>
      <c r="F72" s="155" t="n">
        <v>10</v>
      </c>
      <c r="G72" s="159" t="n">
        <f aca="false">E72*F72</f>
        <v>550</v>
      </c>
      <c r="H72" s="158" t="n">
        <f aca="false">IFERROR(G72/$C$61/60,0)</f>
        <v>7.63888888888889</v>
      </c>
      <c r="I72" s="160" t="n">
        <f aca="false">IFERROR(H72/$C$62,0)</f>
        <v>0.0159143518518519</v>
      </c>
      <c r="J72" s="155" t="n">
        <v>22</v>
      </c>
    </row>
    <row r="73" customFormat="false" ht="16.5" hidden="false" customHeight="true" outlineLevel="0" collapsed="false">
      <c r="B73" s="15" t="s">
        <v>7153</v>
      </c>
      <c r="C73" s="177" t="s">
        <v>7154</v>
      </c>
      <c r="D73" s="177" t="s">
        <v>7155</v>
      </c>
      <c r="E73" s="155" t="n">
        <v>48</v>
      </c>
      <c r="F73" s="155" t="n">
        <v>5</v>
      </c>
      <c r="G73" s="159" t="n">
        <f aca="false">E73*F73</f>
        <v>240</v>
      </c>
      <c r="H73" s="158" t="n">
        <f aca="false">IFERROR(G73/$C$61/60,0)</f>
        <v>3.33333333333333</v>
      </c>
      <c r="I73" s="160" t="n">
        <f aca="false">IFERROR(H73/$C$62,0)</f>
        <v>0.00694444444444445</v>
      </c>
      <c r="J73" s="155" t="n">
        <v>19</v>
      </c>
    </row>
    <row r="74" customFormat="false" ht="16.5" hidden="false" customHeight="true" outlineLevel="0" collapsed="false">
      <c r="B74" s="15" t="s">
        <v>7156</v>
      </c>
      <c r="C74" s="177" t="s">
        <v>7149</v>
      </c>
      <c r="D74" s="177" t="s">
        <v>7157</v>
      </c>
      <c r="E74" s="155" t="n">
        <v>70</v>
      </c>
      <c r="F74" s="155" t="n">
        <v>12</v>
      </c>
      <c r="G74" s="159" t="n">
        <f aca="false">E74*F74</f>
        <v>840</v>
      </c>
      <c r="H74" s="158" t="n">
        <f aca="false">IFERROR(G74/$C$61/60,0)</f>
        <v>11.6666666666667</v>
      </c>
      <c r="I74" s="160" t="n">
        <f aca="false">IFERROR(H74/$C$62,0)</f>
        <v>0.0243055555555556</v>
      </c>
      <c r="J74" s="155" t="n">
        <v>28</v>
      </c>
    </row>
    <row r="75" customFormat="false" ht="16.5" hidden="false" customHeight="true" outlineLevel="0" collapsed="false">
      <c r="B75" s="15" t="s">
        <v>7158</v>
      </c>
      <c r="C75" s="177" t="s">
        <v>7149</v>
      </c>
      <c r="D75" s="177" t="s">
        <v>7159</v>
      </c>
      <c r="E75" s="155" t="n">
        <v>120</v>
      </c>
      <c r="F75" s="155" t="n">
        <v>3</v>
      </c>
      <c r="G75" s="159" t="n">
        <f aca="false">E75*F75</f>
        <v>360</v>
      </c>
      <c r="H75" s="158" t="n">
        <f aca="false">IFERROR(G75/$C$61/60,0)</f>
        <v>5</v>
      </c>
      <c r="I75" s="160" t="n">
        <f aca="false">IFERROR(H75/$C$62,0)</f>
        <v>0.0104166666666667</v>
      </c>
      <c r="J75" s="155" t="n">
        <v>48</v>
      </c>
    </row>
    <row r="77" customFormat="false" ht="17.25" hidden="false" customHeight="true" outlineLevel="0" collapsed="false">
      <c r="B77" s="107" t="s">
        <v>7160</v>
      </c>
      <c r="C77" s="107"/>
      <c r="D77" s="107"/>
      <c r="E77" s="107"/>
      <c r="F77" s="107"/>
      <c r="G77" s="107"/>
      <c r="H77" s="107"/>
    </row>
    <row r="78" customFormat="false" ht="16.5" hidden="false" customHeight="true" outlineLevel="0" collapsed="false">
      <c r="B78" s="152" t="s">
        <v>1929</v>
      </c>
      <c r="C78" s="152" t="s">
        <v>7161</v>
      </c>
      <c r="D78" s="152" t="s">
        <v>7162</v>
      </c>
      <c r="E78" s="152" t="s">
        <v>7163</v>
      </c>
      <c r="F78" s="152" t="s">
        <v>6575</v>
      </c>
    </row>
    <row r="79" customFormat="false" ht="16.5" hidden="false" customHeight="true" outlineLevel="0" collapsed="false">
      <c r="B79" s="15" t="s">
        <v>7164</v>
      </c>
      <c r="C79" s="159" t="n">
        <f aca="false">SUM(G68:G75)</f>
        <v>3986</v>
      </c>
      <c r="D79" s="159" t="n">
        <f aca="false">SUMPRODUCT(J68:J75,F68:F75)</f>
        <v>1597</v>
      </c>
      <c r="E79" s="159" t="n">
        <f aca="false">C79-D79</f>
        <v>2389</v>
      </c>
      <c r="F79" s="15" t="s">
        <v>7165</v>
      </c>
    </row>
    <row r="80" customFormat="false" ht="16.5" hidden="false" customHeight="true" outlineLevel="0" collapsed="false">
      <c r="B80" s="15" t="s">
        <v>7166</v>
      </c>
      <c r="C80" s="159" t="n">
        <f aca="false">C79*$C$63/1000</f>
        <v>4364.67</v>
      </c>
      <c r="D80" s="159" t="n">
        <f aca="false">D79*$C$63/1000</f>
        <v>1748.715</v>
      </c>
      <c r="E80" s="159" t="n">
        <f aca="false">C80-D80</f>
        <v>2615.955</v>
      </c>
      <c r="F80" s="15" t="s">
        <v>7167</v>
      </c>
    </row>
    <row r="81" customFormat="false" ht="16.5" hidden="false" customHeight="true" outlineLevel="0" collapsed="false">
      <c r="B81" s="15" t="s">
        <v>7168</v>
      </c>
      <c r="C81" s="158" t="n">
        <f aca="false">IFERROR(C79/$C$61/60,0)</f>
        <v>55.3611111111111</v>
      </c>
      <c r="D81" s="158" t="n">
        <f aca="false">IFERROR(D79/$C$61/60,0)</f>
        <v>22.1805555555556</v>
      </c>
      <c r="E81" s="158" t="n">
        <f aca="false">C81-D81</f>
        <v>33.1805555555556</v>
      </c>
      <c r="F81" s="15" t="s">
        <v>6816</v>
      </c>
    </row>
    <row r="82" customFormat="false" ht="16.5" hidden="false" customHeight="true" outlineLevel="0" collapsed="false">
      <c r="B82" s="15" t="s">
        <v>7169</v>
      </c>
      <c r="C82" s="160" t="n">
        <f aca="false">IFERROR(C81/$C$62,0)</f>
        <v>0.115335648148148</v>
      </c>
      <c r="D82" s="160" t="n">
        <f aca="false">IFERROR(D81/$C$62,0)</f>
        <v>0.0462094907407407</v>
      </c>
      <c r="E82" s="160" t="n">
        <f aca="false">C82-D82</f>
        <v>0.0691261574074074</v>
      </c>
      <c r="F82" s="15"/>
    </row>
    <row r="83" customFormat="false" ht="16.5" hidden="false" customHeight="true" outlineLevel="0" collapsed="false">
      <c r="B83" s="15" t="s">
        <v>7170</v>
      </c>
      <c r="C83" s="159" t="n">
        <f aca="false">IFERROR(C81/60*$C$63*$C$64,0)</f>
        <v>9093.0625</v>
      </c>
      <c r="D83" s="159" t="n">
        <f aca="false">IFERROR(D81/60*$C$63*$C$64,0)</f>
        <v>3643.15625</v>
      </c>
      <c r="E83" s="159" t="n">
        <f aca="false">C83-D83</f>
        <v>5449.90625</v>
      </c>
      <c r="F83" s="15" t="s">
        <v>7171</v>
      </c>
    </row>
    <row r="85" customFormat="false" ht="15.75" hidden="false" customHeight="true" outlineLevel="0" collapsed="false">
      <c r="B85" s="103" t="s">
        <v>1493</v>
      </c>
      <c r="C85" s="8"/>
      <c r="D85" s="8"/>
      <c r="E85" s="8"/>
      <c r="F85" s="8"/>
      <c r="G85" s="8"/>
      <c r="H85" s="8"/>
      <c r="I85" s="8"/>
      <c r="J85" s="8"/>
      <c r="K85" s="8"/>
    </row>
    <row r="86" customFormat="false" ht="49.5" hidden="false" customHeight="true" outlineLevel="0" collapsed="false">
      <c r="B86" s="105" t="s">
        <v>1494</v>
      </c>
      <c r="C86" s="168" t="str">
        <f aca="false">"One operator walks "&amp;TEXT(C79,"#,##0")&amp;" m per shift ("&amp;TEXT(C80,"#,##0")&amp;" km/year), which is "&amp;TEXT(C82,"0.0%")&amp;" of the shift and "&amp;TEXT(C83,"#,##0")&amp;" USD/year of paid walking. The proposed layout saves "&amp;TEXT(D82*0+C82-D82,"0.0%")&amp;" of the shift, worth "&amp;TEXT(E83,"#,##0")&amp;" USD/year. "&amp;IF(C82&gt;0.1,"Above 10% of the shift is spent walking: the layout, not the operator, is the problem.","Walking is not the dominant loss here — check waiting and changeover instead.")</f>
        <v>One operator walks 3,986 m per shift (4,365 km/year), which is 11.5% of the shift and 9,093 USD/year of paid walking. The proposed layout saves 6.9% of the shift, worth 5,450 USD/year. Above 10% of the shift is spent walking: the layout, not the operator, is the problem.</v>
      </c>
      <c r="D86" s="168"/>
      <c r="E86" s="168"/>
      <c r="F86" s="168"/>
      <c r="G86" s="168"/>
    </row>
    <row r="88" customFormat="false" ht="16.5" hidden="false" customHeight="true" outlineLevel="0" collapsed="false">
      <c r="B88" s="152" t="s">
        <v>1495</v>
      </c>
      <c r="C88" s="152" t="s">
        <v>1496</v>
      </c>
      <c r="D88" s="152" t="s">
        <v>1497</v>
      </c>
    </row>
    <row r="89" customFormat="false" ht="30.75" hidden="false" customHeight="true" outlineLevel="0" collapsed="false">
      <c r="B89" s="15" t="s">
        <v>7172</v>
      </c>
      <c r="C89" s="15" t="s">
        <v>7173</v>
      </c>
      <c r="D89" s="15" t="s">
        <v>7174</v>
      </c>
    </row>
    <row r="90" customFormat="false" ht="44.25" hidden="false" customHeight="true" outlineLevel="0" collapsed="false">
      <c r="B90" s="15" t="s">
        <v>7175</v>
      </c>
      <c r="C90" s="15" t="s">
        <v>7176</v>
      </c>
      <c r="D90" s="15" t="s">
        <v>7177</v>
      </c>
    </row>
    <row r="91" customFormat="false" ht="30.75" hidden="false" customHeight="true" outlineLevel="0" collapsed="false">
      <c r="B91" s="15" t="s">
        <v>7178</v>
      </c>
      <c r="C91" s="15" t="s">
        <v>7179</v>
      </c>
      <c r="D91" s="15" t="s">
        <v>7180</v>
      </c>
    </row>
    <row r="92" customFormat="false" ht="44.25" hidden="false" customHeight="true" outlineLevel="0" collapsed="false">
      <c r="B92" s="15" t="s">
        <v>7181</v>
      </c>
      <c r="C92" s="15" t="s">
        <v>7182</v>
      </c>
      <c r="D92" s="15" t="s">
        <v>7183</v>
      </c>
    </row>
    <row r="94" customFormat="false" ht="15" hidden="false" customHeight="true" outlineLevel="0" collapsed="false">
      <c r="B94" s="105" t="s">
        <v>1507</v>
      </c>
    </row>
    <row r="95" customFormat="false" ht="17.25" hidden="false" customHeight="true" outlineLevel="0" collapsed="false">
      <c r="B95" s="106" t="s">
        <v>7184</v>
      </c>
      <c r="C95" s="106"/>
      <c r="D95" s="106"/>
      <c r="E95" s="106"/>
      <c r="F95" s="106"/>
      <c r="G95" s="106"/>
      <c r="H95" s="106"/>
    </row>
    <row r="96" customFormat="false" ht="17.25" hidden="false" customHeight="true" outlineLevel="0" collapsed="false">
      <c r="B96" s="106" t="s">
        <v>7185</v>
      </c>
      <c r="C96" s="106"/>
      <c r="D96" s="106"/>
      <c r="E96" s="106"/>
      <c r="F96" s="106"/>
      <c r="G96" s="106"/>
      <c r="H96" s="106"/>
    </row>
    <row r="97" customFormat="false" ht="17.25" hidden="false" customHeight="true" outlineLevel="0" collapsed="false">
      <c r="B97" s="106" t="s">
        <v>7186</v>
      </c>
      <c r="C97" s="106"/>
      <c r="D97" s="106"/>
      <c r="E97" s="106"/>
      <c r="F97" s="106"/>
      <c r="G97" s="106"/>
      <c r="H97" s="106"/>
    </row>
    <row r="98" customFormat="false" ht="17.25" hidden="false" customHeight="true" outlineLevel="0" collapsed="false">
      <c r="B98" s="106" t="s">
        <v>7187</v>
      </c>
      <c r="C98" s="106"/>
      <c r="D98" s="106"/>
      <c r="E98" s="106"/>
      <c r="F98" s="106"/>
      <c r="G98" s="106"/>
      <c r="H98" s="106"/>
    </row>
    <row r="99" customFormat="false" ht="17.25" hidden="false" customHeight="true" outlineLevel="0" collapsed="false">
      <c r="B99" s="106" t="s">
        <v>7188</v>
      </c>
      <c r="C99" s="106"/>
      <c r="D99" s="106"/>
      <c r="E99" s="106"/>
      <c r="F99" s="106"/>
      <c r="G99" s="106"/>
      <c r="H99" s="106"/>
    </row>
    <row r="101" customFormat="false" ht="15.75" hidden="false" customHeight="true" outlineLevel="0" collapsed="false">
      <c r="B101" s="103" t="s">
        <v>1513</v>
      </c>
      <c r="C101" s="8"/>
      <c r="D101" s="8"/>
      <c r="E101" s="8"/>
      <c r="F101" s="8"/>
      <c r="G101" s="8"/>
      <c r="H101" s="8"/>
      <c r="I101" s="8"/>
      <c r="J101" s="8"/>
      <c r="K101" s="8"/>
    </row>
    <row r="102" customFormat="false" ht="17.25" hidden="false" customHeight="true" outlineLevel="0" collapsed="false">
      <c r="B102" s="106" t="s">
        <v>6712</v>
      </c>
      <c r="C102" s="106"/>
      <c r="D102" s="106"/>
      <c r="E102" s="106"/>
      <c r="N102" s="169" t="s">
        <v>1515</v>
      </c>
    </row>
    <row r="103" customFormat="false" ht="44.25" hidden="false" customHeight="true" outlineLevel="0" collapsed="false">
      <c r="B103" s="106" t="s">
        <v>7189</v>
      </c>
      <c r="C103" s="106"/>
      <c r="D103" s="106"/>
      <c r="E103" s="106"/>
      <c r="N103" s="120" t="s">
        <v>7190</v>
      </c>
    </row>
    <row r="104" customFormat="false" ht="44.25" hidden="false" customHeight="true" outlineLevel="0" collapsed="false">
      <c r="B104" s="106" t="s">
        <v>7191</v>
      </c>
      <c r="C104" s="106"/>
      <c r="D104" s="106"/>
      <c r="E104" s="106"/>
      <c r="N104" s="120" t="s">
        <v>7192</v>
      </c>
    </row>
    <row r="105" customFormat="false" ht="30.75" hidden="false" customHeight="true" outlineLevel="0" collapsed="false">
      <c r="B105" s="106" t="s">
        <v>7193</v>
      </c>
      <c r="C105" s="106"/>
      <c r="D105" s="106"/>
      <c r="E105" s="106"/>
      <c r="N105" s="120" t="s">
        <v>7194</v>
      </c>
    </row>
    <row r="107" customFormat="false" ht="15.75" hidden="false" customHeight="true" outlineLevel="0" collapsed="false">
      <c r="B107" s="103" t="s">
        <v>1522</v>
      </c>
      <c r="C107" s="8"/>
      <c r="D107" s="8"/>
      <c r="E107" s="8"/>
      <c r="F107" s="8"/>
      <c r="G107" s="8"/>
      <c r="H107" s="8"/>
      <c r="I107" s="8"/>
      <c r="J107" s="8"/>
      <c r="K107" s="8"/>
    </row>
    <row r="108" customFormat="false" ht="30.75" hidden="false" customHeight="true" outlineLevel="0" collapsed="false">
      <c r="B108" s="152" t="s">
        <v>1523</v>
      </c>
      <c r="C108" s="152" t="s">
        <v>1524</v>
      </c>
      <c r="D108" s="152" t="s">
        <v>6719</v>
      </c>
    </row>
    <row r="109" customFormat="false" ht="44.25" hidden="false" customHeight="true" outlineLevel="0" collapsed="false">
      <c r="B109" s="170" t="s">
        <v>6840</v>
      </c>
      <c r="C109" s="170" t="s">
        <v>1221</v>
      </c>
      <c r="D109" s="170" t="s">
        <v>6744</v>
      </c>
    </row>
  </sheetData>
  <mergeCells count="45">
    <mergeCell ref="B2:J2"/>
    <mergeCell ref="D3:H3"/>
    <mergeCell ref="C6:E6"/>
    <mergeCell ref="C7:E7"/>
    <mergeCell ref="C8:E8"/>
    <mergeCell ref="B11:H12"/>
    <mergeCell ref="B13:H15"/>
    <mergeCell ref="B16:H17"/>
    <mergeCell ref="B18:H19"/>
    <mergeCell ref="B22:D22"/>
    <mergeCell ref="E22:H22"/>
    <mergeCell ref="B23:D23"/>
    <mergeCell ref="E23:H23"/>
    <mergeCell ref="B24:D24"/>
    <mergeCell ref="E24:H24"/>
    <mergeCell ref="B25:D25"/>
    <mergeCell ref="E25:H25"/>
    <mergeCell ref="B26:H26"/>
    <mergeCell ref="E28:F28"/>
    <mergeCell ref="E29:F29"/>
    <mergeCell ref="E30:F30"/>
    <mergeCell ref="E31:F31"/>
    <mergeCell ref="E32:F32"/>
    <mergeCell ref="B35:H39"/>
    <mergeCell ref="B41:H41"/>
    <mergeCell ref="B42:H42"/>
    <mergeCell ref="B44:H44"/>
    <mergeCell ref="B54:H56"/>
    <mergeCell ref="E60:G60"/>
    <mergeCell ref="E61:G61"/>
    <mergeCell ref="E62:G62"/>
    <mergeCell ref="E63:G63"/>
    <mergeCell ref="E64:G64"/>
    <mergeCell ref="B66:H66"/>
    <mergeCell ref="B77:H77"/>
    <mergeCell ref="C86:G86"/>
    <mergeCell ref="B95:H95"/>
    <mergeCell ref="B96:H96"/>
    <mergeCell ref="B97:H97"/>
    <mergeCell ref="B98:H98"/>
    <mergeCell ref="B99:H99"/>
    <mergeCell ref="B102:E102"/>
    <mergeCell ref="B103:E103"/>
    <mergeCell ref="B104:E104"/>
    <mergeCell ref="B105:E105"/>
  </mergeCells>
  <hyperlinks>
    <hyperlink ref="B3" location="'N-03 Index DMAIC'!A1" display="← Back to Index"/>
    <hyperlink ref="E29" location="'L-22 Gemba Walk'!A1" display="L-22  Gemba Walk"/>
    <hyperlink ref="E30" location="'H-05 Check Sheets'!A1" display="H-05  Check Sheets"/>
    <hyperlink ref="E31" location="'H-05 Check Sheets'!A1" display="H-05  Check Sheets"/>
    <hyperlink ref="E32" location="'G-06 Change Management'!A1" display="G-06  Change Management"/>
    <hyperlink ref="B109" location="'L-01 Eight Wastes'!A1" display="L-01  The Eight Wastes"/>
    <hyperlink ref="C109" location="'L-12 5S'!A1" display="L-12  5S and Workplace Organisation"/>
    <hyperlink ref="D109" location="'L-14 Standard Work'!A1" display="L-14  Standard Wor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3"/>
    <col collapsed="false" customWidth="true" hidden="false" outlineLevel="0" max="4" min="4" style="1" width="18"/>
    <col collapsed="false" customWidth="true" hidden="false" outlineLevel="0" max="5" min="5" style="1" width="46"/>
    <col collapsed="false" customWidth="true" hidden="false" outlineLevel="0" max="6" min="6" style="1" width="13"/>
    <col collapsed="false" customWidth="true" hidden="false" outlineLevel="0" max="8" min="7" style="1" width="14"/>
    <col collapsed="false" customWidth="true" hidden="false" outlineLevel="0" max="9" min="9" style="1" width="34"/>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7195</v>
      </c>
      <c r="C2" s="148"/>
      <c r="D2" s="148"/>
      <c r="E2" s="148"/>
      <c r="F2" s="148"/>
      <c r="G2" s="148"/>
      <c r="H2" s="148"/>
      <c r="I2" s="148"/>
      <c r="J2" s="148"/>
      <c r="K2" s="149" t="s">
        <v>2864</v>
      </c>
    </row>
    <row r="3" customFormat="false" ht="42" hidden="false" customHeight="true" outlineLevel="0" collapsed="false">
      <c r="B3" s="150" t="s">
        <v>3</v>
      </c>
      <c r="D3" s="151" t="s">
        <v>7196</v>
      </c>
      <c r="E3" s="151"/>
      <c r="F3" s="151"/>
      <c r="G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7197</v>
      </c>
      <c r="D6" s="106"/>
      <c r="E6" s="106"/>
      <c r="F6" s="106"/>
      <c r="G6" s="106"/>
    </row>
    <row r="7" customFormat="false" ht="31.5" hidden="false" customHeight="true" outlineLevel="0" collapsed="false">
      <c r="B7" s="105" t="s">
        <v>1394</v>
      </c>
      <c r="C7" s="106" t="s">
        <v>7198</v>
      </c>
      <c r="D7" s="106"/>
      <c r="E7" s="106"/>
      <c r="F7" s="106"/>
      <c r="G7" s="106"/>
    </row>
    <row r="8" customFormat="false" ht="17.25" hidden="false" customHeight="true" outlineLevel="0" collapsed="false">
      <c r="B8" s="105" t="s">
        <v>1396</v>
      </c>
      <c r="C8" s="106" t="s">
        <v>7199</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5" hidden="false" customHeight="true" outlineLevel="0" collapsed="false">
      <c r="B11" s="106" t="s">
        <v>7200</v>
      </c>
      <c r="C11" s="106"/>
      <c r="D11" s="106"/>
      <c r="E11" s="106"/>
      <c r="F11" s="106"/>
      <c r="G11" s="106"/>
    </row>
    <row r="12" customFormat="false" ht="15" hidden="false" customHeight="true" outlineLevel="0" collapsed="false">
      <c r="B12" s="106"/>
      <c r="C12" s="106"/>
      <c r="D12" s="106"/>
      <c r="E12" s="106"/>
      <c r="F12" s="106"/>
      <c r="G12" s="106"/>
    </row>
    <row r="13" customFormat="false" ht="15" hidden="false" customHeight="true" outlineLevel="0" collapsed="false">
      <c r="B13" s="106"/>
      <c r="C13" s="106"/>
      <c r="D13" s="106"/>
      <c r="E13" s="106"/>
      <c r="F13" s="106"/>
      <c r="G13" s="106"/>
    </row>
    <row r="14" customFormat="false" ht="17.25" hidden="false" customHeight="true" outlineLevel="0" collapsed="false">
      <c r="B14" s="106" t="s">
        <v>7201</v>
      </c>
      <c r="C14" s="106"/>
      <c r="D14" s="106"/>
      <c r="E14" s="106"/>
      <c r="F14" s="106"/>
      <c r="G14" s="106"/>
    </row>
    <row r="15" customFormat="false" ht="10.5" hidden="false" customHeight="true" outlineLevel="0" collapsed="false">
      <c r="B15" s="106" t="s">
        <v>7202</v>
      </c>
      <c r="C15" s="106"/>
      <c r="D15" s="106"/>
      <c r="E15" s="106"/>
      <c r="F15" s="106"/>
      <c r="G15" s="106"/>
    </row>
    <row r="16" customFormat="false" ht="10.5" hidden="false" customHeight="true" outlineLevel="0" collapsed="false">
      <c r="B16" s="106"/>
      <c r="C16" s="106"/>
      <c r="D16" s="106"/>
      <c r="E16" s="106"/>
      <c r="F16" s="106"/>
      <c r="G16" s="106"/>
    </row>
    <row r="17" customFormat="false" ht="10.5" hidden="false" customHeight="true" outlineLevel="0" collapsed="false">
      <c r="B17" s="106"/>
      <c r="C17" s="106"/>
      <c r="D17" s="106"/>
      <c r="E17" s="106"/>
      <c r="F17" s="106"/>
      <c r="G17" s="106"/>
    </row>
    <row r="18" customFormat="false" ht="10.5" hidden="false" customHeight="true" outlineLevel="0" collapsed="false">
      <c r="B18" s="106" t="s">
        <v>7203</v>
      </c>
      <c r="C18" s="106"/>
      <c r="D18" s="106"/>
      <c r="E18" s="106"/>
      <c r="F18" s="106"/>
      <c r="G18" s="106"/>
    </row>
    <row r="19" customFormat="false" ht="10.5" hidden="false" customHeight="true" outlineLevel="0" collapsed="false">
      <c r="B19" s="106"/>
      <c r="C19" s="106"/>
      <c r="D19" s="106"/>
      <c r="E19" s="106"/>
      <c r="F19" s="106"/>
      <c r="G19" s="106"/>
    </row>
    <row r="20" customFormat="false" ht="10.5" hidden="false" customHeight="true" outlineLevel="0" collapsed="false">
      <c r="B20" s="106"/>
      <c r="C20" s="106"/>
      <c r="D20" s="106"/>
      <c r="E20" s="106"/>
      <c r="F20" s="106"/>
      <c r="G20" s="106"/>
    </row>
    <row r="21" customFormat="false" ht="8.25" hidden="false" customHeight="true" outlineLevel="0" collapsed="false">
      <c r="B21" s="106" t="s">
        <v>7204</v>
      </c>
      <c r="C21" s="106"/>
      <c r="D21" s="106"/>
      <c r="E21" s="106"/>
      <c r="F21" s="106"/>
      <c r="G21" s="106"/>
    </row>
    <row r="22" customFormat="false" ht="8.25" hidden="false" customHeight="true" outlineLevel="0" collapsed="false">
      <c r="B22" s="106"/>
      <c r="C22" s="106"/>
      <c r="D22" s="106"/>
      <c r="E22" s="106"/>
      <c r="F22" s="106"/>
      <c r="G22" s="106"/>
    </row>
    <row r="24" customFormat="false" ht="15.75" hidden="false" customHeight="true" outlineLevel="0" collapsed="false">
      <c r="B24" s="103" t="s">
        <v>1406</v>
      </c>
      <c r="C24" s="8"/>
      <c r="D24" s="8"/>
      <c r="E24" s="8"/>
      <c r="F24" s="8"/>
      <c r="G24" s="8"/>
      <c r="H24" s="8"/>
      <c r="I24" s="8"/>
      <c r="J24" s="8"/>
      <c r="K24" s="8"/>
    </row>
    <row r="25" customFormat="false" ht="17.25" hidden="false" customHeight="true" outlineLevel="0" collapsed="false">
      <c r="B25" s="107" t="s">
        <v>1407</v>
      </c>
      <c r="C25" s="107"/>
      <c r="D25" s="107"/>
      <c r="E25" s="107" t="s">
        <v>1408</v>
      </c>
      <c r="F25" s="107"/>
    </row>
    <row r="26" customFormat="false" ht="31.5" hidden="false" customHeight="true" outlineLevel="0" collapsed="false">
      <c r="B26" s="106" t="s">
        <v>7205</v>
      </c>
      <c r="C26" s="106"/>
      <c r="D26" s="106"/>
      <c r="E26" s="106" t="s">
        <v>7206</v>
      </c>
      <c r="F26" s="106"/>
    </row>
    <row r="27" customFormat="false" ht="31.5" hidden="false" customHeight="true" outlineLevel="0" collapsed="false">
      <c r="B27" s="106" t="s">
        <v>7207</v>
      </c>
      <c r="C27" s="106"/>
      <c r="D27" s="106"/>
      <c r="E27" s="106" t="s">
        <v>7208</v>
      </c>
      <c r="F27" s="106"/>
    </row>
    <row r="28" customFormat="false" ht="31.5" hidden="false" customHeight="true" outlineLevel="0" collapsed="false">
      <c r="B28" s="106" t="s">
        <v>7209</v>
      </c>
      <c r="C28" s="106"/>
      <c r="D28" s="106"/>
      <c r="E28" s="106" t="s">
        <v>7210</v>
      </c>
      <c r="F28" s="106"/>
    </row>
    <row r="29" customFormat="false" ht="17.25" hidden="false" customHeight="true" outlineLevel="0" collapsed="false">
      <c r="B29" s="106" t="s">
        <v>7211</v>
      </c>
      <c r="C29" s="106"/>
      <c r="D29" s="106"/>
      <c r="E29" s="106"/>
      <c r="F29" s="106"/>
      <c r="G29" s="106"/>
    </row>
    <row r="31" customFormat="false" ht="30.75" hidden="false" customHeight="true" outlineLevel="0" collapsed="false">
      <c r="B31" s="152" t="s">
        <v>6621</v>
      </c>
      <c r="C31" s="152" t="s">
        <v>1417</v>
      </c>
      <c r="D31" s="152" t="s">
        <v>1418</v>
      </c>
      <c r="E31" s="152" t="s">
        <v>1419</v>
      </c>
    </row>
    <row r="32" customFormat="false" ht="58.5" hidden="false" customHeight="true" outlineLevel="0" collapsed="false">
      <c r="B32" s="15" t="s">
        <v>7212</v>
      </c>
      <c r="C32" s="15" t="s">
        <v>7213</v>
      </c>
      <c r="D32" s="15" t="s">
        <v>7214</v>
      </c>
      <c r="E32" s="153" t="s">
        <v>6744</v>
      </c>
    </row>
    <row r="33" customFormat="false" ht="58.5" hidden="false" customHeight="true" outlineLevel="0" collapsed="false">
      <c r="B33" s="15" t="s">
        <v>7215</v>
      </c>
      <c r="C33" s="15" t="s">
        <v>7216</v>
      </c>
      <c r="D33" s="15" t="s">
        <v>7217</v>
      </c>
      <c r="E33" s="153" t="s">
        <v>7218</v>
      </c>
    </row>
    <row r="34" customFormat="false" ht="86.25" hidden="false" customHeight="true" outlineLevel="0" collapsed="false">
      <c r="B34" s="15" t="s">
        <v>7219</v>
      </c>
      <c r="C34" s="15" t="s">
        <v>7220</v>
      </c>
      <c r="D34" s="15" t="s">
        <v>7221</v>
      </c>
      <c r="E34" s="153" t="s">
        <v>1078</v>
      </c>
    </row>
    <row r="35" customFormat="false" ht="86.25" hidden="false" customHeight="true" outlineLevel="0" collapsed="false">
      <c r="B35" s="15" t="s">
        <v>7222</v>
      </c>
      <c r="C35" s="15" t="s">
        <v>7223</v>
      </c>
      <c r="D35" s="15" t="s">
        <v>7224</v>
      </c>
      <c r="E35" s="153" t="s">
        <v>1023</v>
      </c>
    </row>
    <row r="37" customFormat="false" ht="15.75" hidden="false" customHeight="true" outlineLevel="0" collapsed="false">
      <c r="B37" s="103" t="s">
        <v>1429</v>
      </c>
      <c r="C37" s="8"/>
      <c r="D37" s="8"/>
      <c r="E37" s="8"/>
      <c r="F37" s="8"/>
      <c r="G37" s="8"/>
      <c r="H37" s="8"/>
      <c r="I37" s="8"/>
      <c r="J37" s="8"/>
      <c r="K37" s="8"/>
    </row>
    <row r="38" customFormat="false" ht="17.25" hidden="false" customHeight="true" outlineLevel="0" collapsed="false">
      <c r="B38" s="106" t="s">
        <v>7225</v>
      </c>
      <c r="C38" s="106"/>
      <c r="D38" s="106"/>
      <c r="E38" s="106"/>
      <c r="F38" s="106"/>
      <c r="G38" s="106"/>
    </row>
    <row r="39" customFormat="false" ht="15" hidden="false" customHeight="true" outlineLevel="0" collapsed="false">
      <c r="B39" s="122"/>
    </row>
    <row r="40" customFormat="false" ht="8.25" hidden="false" customHeight="true" outlineLevel="0" collapsed="false">
      <c r="B40" s="106" t="s">
        <v>7226</v>
      </c>
      <c r="C40" s="106"/>
      <c r="D40" s="106"/>
      <c r="E40" s="106"/>
      <c r="F40" s="106"/>
      <c r="G40" s="106"/>
    </row>
    <row r="41" customFormat="false" ht="8.25" hidden="false" customHeight="true" outlineLevel="0" collapsed="false">
      <c r="B41" s="106"/>
      <c r="C41" s="106"/>
      <c r="D41" s="106"/>
      <c r="E41" s="106"/>
      <c r="F41" s="106"/>
      <c r="G41" s="106"/>
    </row>
    <row r="42" customFormat="false" ht="17.25" hidden="false" customHeight="true" outlineLevel="0" collapsed="false">
      <c r="B42" s="106" t="s">
        <v>7227</v>
      </c>
      <c r="C42" s="106"/>
      <c r="D42" s="106"/>
      <c r="E42" s="106"/>
      <c r="F42" s="106"/>
      <c r="G42" s="106"/>
    </row>
    <row r="43" customFormat="false" ht="15" hidden="false" customHeight="true" outlineLevel="0" collapsed="false">
      <c r="B43" s="122"/>
    </row>
    <row r="44" customFormat="false" ht="16.5" hidden="false" customHeight="true" outlineLevel="0" collapsed="false">
      <c r="B44" s="122" t="s">
        <v>7228</v>
      </c>
    </row>
    <row r="45" customFormat="false" ht="17.25" hidden="false" customHeight="true" outlineLevel="0" collapsed="false">
      <c r="B45" s="106" t="s">
        <v>7229</v>
      </c>
      <c r="C45" s="106"/>
      <c r="D45" s="106"/>
      <c r="E45" s="106"/>
      <c r="F45" s="106"/>
      <c r="G45" s="106"/>
    </row>
    <row r="46" customFormat="false" ht="17.25" hidden="false" customHeight="true" outlineLevel="0" collapsed="false">
      <c r="B46" s="106" t="s">
        <v>7230</v>
      </c>
      <c r="C46" s="106"/>
      <c r="D46" s="106"/>
      <c r="E46" s="106"/>
      <c r="F46" s="106"/>
      <c r="G46" s="106"/>
    </row>
    <row r="47" customFormat="false" ht="17.25" hidden="false" customHeight="true" outlineLevel="0" collapsed="false">
      <c r="B47" s="106" t="s">
        <v>7231</v>
      </c>
      <c r="C47" s="106"/>
      <c r="D47" s="106"/>
      <c r="E47" s="106"/>
      <c r="F47" s="106"/>
      <c r="G47" s="106"/>
    </row>
    <row r="48" customFormat="false" ht="17.25" hidden="false" customHeight="true" outlineLevel="0" collapsed="false">
      <c r="B48" s="106" t="s">
        <v>7232</v>
      </c>
      <c r="C48" s="106"/>
      <c r="D48" s="106"/>
      <c r="E48" s="106"/>
      <c r="F48" s="106"/>
      <c r="G48" s="106"/>
    </row>
    <row r="50" customFormat="false" ht="15.75" hidden="false" customHeight="true" outlineLevel="0" collapsed="false">
      <c r="B50" s="103" t="s">
        <v>1437</v>
      </c>
      <c r="C50" s="8"/>
      <c r="D50" s="8"/>
      <c r="E50" s="8"/>
      <c r="F50" s="8"/>
      <c r="G50" s="8"/>
      <c r="H50" s="8"/>
      <c r="I50" s="8"/>
      <c r="J50" s="8"/>
      <c r="K50" s="8"/>
    </row>
    <row r="51" customFormat="false" ht="17.25" hidden="false" customHeight="true" outlineLevel="0" collapsed="false">
      <c r="B51" s="152" t="s">
        <v>1438</v>
      </c>
      <c r="C51" s="152" t="s">
        <v>1439</v>
      </c>
      <c r="D51" s="152" t="s">
        <v>1440</v>
      </c>
      <c r="E51" s="152"/>
      <c r="F51" s="152"/>
    </row>
    <row r="52" customFormat="false" ht="30.75" hidden="false" customHeight="true" outlineLevel="0" collapsed="false">
      <c r="B52" s="15" t="s">
        <v>2127</v>
      </c>
      <c r="C52" s="15" t="s">
        <v>7233</v>
      </c>
      <c r="D52" s="15" t="s">
        <v>7234</v>
      </c>
      <c r="E52" s="15"/>
      <c r="F52" s="15"/>
    </row>
    <row r="53" customFormat="false" ht="17.25" hidden="false" customHeight="true" outlineLevel="0" collapsed="false">
      <c r="B53" s="15" t="s">
        <v>4079</v>
      </c>
      <c r="C53" s="15" t="s">
        <v>4080</v>
      </c>
      <c r="D53" s="15" t="s">
        <v>7235</v>
      </c>
      <c r="E53" s="15"/>
      <c r="F53" s="15"/>
    </row>
    <row r="54" customFormat="false" ht="30.75" hidden="false" customHeight="true" outlineLevel="0" collapsed="false">
      <c r="B54" s="15" t="s">
        <v>1839</v>
      </c>
      <c r="C54" s="15" t="s">
        <v>6647</v>
      </c>
      <c r="D54" s="15" t="s">
        <v>7236</v>
      </c>
      <c r="E54" s="15"/>
      <c r="F54" s="15"/>
    </row>
    <row r="55" customFormat="false" ht="17.25" hidden="false" customHeight="true" outlineLevel="0" collapsed="false">
      <c r="B55" s="15" t="s">
        <v>7114</v>
      </c>
      <c r="C55" s="15" t="s">
        <v>7237</v>
      </c>
      <c r="D55" s="15" t="s">
        <v>7238</v>
      </c>
      <c r="E55" s="15"/>
      <c r="F55" s="15"/>
    </row>
    <row r="57" customFormat="false" ht="15.75" hidden="false" customHeight="true" outlineLevel="0" collapsed="false">
      <c r="B57" s="103" t="s">
        <v>1454</v>
      </c>
      <c r="C57" s="8"/>
      <c r="D57" s="8"/>
      <c r="E57" s="8"/>
      <c r="F57" s="8"/>
      <c r="G57" s="8"/>
      <c r="H57" s="8"/>
      <c r="I57" s="8"/>
      <c r="J57" s="8"/>
      <c r="K57" s="8"/>
    </row>
    <row r="58" customFormat="false" ht="15.75" hidden="false" customHeight="true" outlineLevel="0" collapsed="false">
      <c r="B58" s="106" t="s">
        <v>7239</v>
      </c>
      <c r="C58" s="106"/>
      <c r="D58" s="106"/>
      <c r="E58" s="106"/>
      <c r="F58" s="106"/>
      <c r="G58" s="106"/>
    </row>
    <row r="59" customFormat="false" ht="15.75" hidden="false" customHeight="true" outlineLevel="0" collapsed="false">
      <c r="B59" s="106"/>
      <c r="C59" s="106"/>
      <c r="D59" s="106"/>
      <c r="E59" s="106"/>
      <c r="F59" s="106"/>
      <c r="G59" s="106"/>
    </row>
    <row r="60" customFormat="false" ht="17.25" hidden="false" customHeight="true" outlineLevel="0" collapsed="false">
      <c r="B60" s="106" t="s">
        <v>7240</v>
      </c>
      <c r="C60" s="106"/>
      <c r="D60" s="106"/>
      <c r="E60" s="106"/>
      <c r="F60" s="106"/>
      <c r="G60" s="106"/>
    </row>
    <row r="61" customFormat="false" ht="17.25" hidden="false" customHeight="true" outlineLevel="0" collapsed="false">
      <c r="B61" s="112" t="s">
        <v>85</v>
      </c>
      <c r="C61" s="113" t="s">
        <v>86</v>
      </c>
      <c r="D61" s="113"/>
      <c r="E61" s="113"/>
    </row>
    <row r="63" customFormat="false" ht="17.25" hidden="false" customHeight="true" outlineLevel="0" collapsed="false">
      <c r="B63" s="107" t="s">
        <v>7241</v>
      </c>
      <c r="C63" s="107"/>
      <c r="D63" s="107"/>
      <c r="E63" s="107"/>
      <c r="F63" s="107"/>
      <c r="G63" s="107"/>
    </row>
    <row r="64" customFormat="false" ht="30.75" hidden="false" customHeight="true" outlineLevel="0" collapsed="false">
      <c r="B64" s="152" t="s">
        <v>7242</v>
      </c>
      <c r="C64" s="152" t="s">
        <v>7243</v>
      </c>
      <c r="D64" s="152" t="s">
        <v>7244</v>
      </c>
      <c r="E64" s="152"/>
    </row>
    <row r="65" customFormat="false" ht="30.75" hidden="false" customHeight="true" outlineLevel="0" collapsed="false">
      <c r="B65" s="15" t="s">
        <v>7245</v>
      </c>
      <c r="C65" s="15" t="s">
        <v>7246</v>
      </c>
      <c r="D65" s="15" t="s">
        <v>7247</v>
      </c>
      <c r="E65" s="15"/>
    </row>
    <row r="66" customFormat="false" ht="30.75" hidden="false" customHeight="true" outlineLevel="0" collapsed="false">
      <c r="B66" s="15" t="s">
        <v>7248</v>
      </c>
      <c r="C66" s="15" t="s">
        <v>7249</v>
      </c>
      <c r="D66" s="15" t="s">
        <v>7247</v>
      </c>
      <c r="E66" s="15"/>
    </row>
    <row r="67" customFormat="false" ht="30.75" hidden="false" customHeight="true" outlineLevel="0" collapsed="false">
      <c r="B67" s="15" t="s">
        <v>7250</v>
      </c>
      <c r="C67" s="15" t="s">
        <v>7251</v>
      </c>
      <c r="D67" s="15" t="s">
        <v>7252</v>
      </c>
      <c r="E67" s="15"/>
    </row>
    <row r="68" customFormat="false" ht="44.25" hidden="false" customHeight="true" outlineLevel="0" collapsed="false">
      <c r="B68" s="15" t="s">
        <v>7253</v>
      </c>
      <c r="C68" s="15" t="s">
        <v>7254</v>
      </c>
      <c r="D68" s="15" t="s">
        <v>7255</v>
      </c>
      <c r="E68" s="15"/>
    </row>
    <row r="70" customFormat="false" ht="17.25" hidden="false" customHeight="true" outlineLevel="0" collapsed="false">
      <c r="B70" s="107" t="s">
        <v>7256</v>
      </c>
      <c r="C70" s="107"/>
      <c r="D70" s="107"/>
      <c r="E70" s="107"/>
      <c r="F70" s="107"/>
      <c r="G70" s="107"/>
    </row>
    <row r="71" customFormat="false" ht="30.75" hidden="false" customHeight="true" outlineLevel="0" collapsed="false">
      <c r="B71" s="152" t="s">
        <v>7006</v>
      </c>
      <c r="C71" s="152" t="s">
        <v>7257</v>
      </c>
      <c r="D71" s="152" t="s">
        <v>7258</v>
      </c>
      <c r="E71" s="152" t="s">
        <v>7259</v>
      </c>
      <c r="F71" s="152" t="s">
        <v>7260</v>
      </c>
      <c r="G71" s="152" t="s">
        <v>7261</v>
      </c>
      <c r="H71" s="152" t="s">
        <v>7262</v>
      </c>
      <c r="I71" s="152" t="s">
        <v>7263</v>
      </c>
    </row>
    <row r="72" customFormat="false" ht="16.5" hidden="false" customHeight="true" outlineLevel="0" collapsed="false">
      <c r="B72" s="15" t="s">
        <v>7264</v>
      </c>
      <c r="C72" s="157" t="n">
        <v>18</v>
      </c>
      <c r="D72" s="177" t="s">
        <v>7019</v>
      </c>
      <c r="E72" s="15" t="s">
        <v>7265</v>
      </c>
      <c r="F72" s="158" t="n">
        <f aca="false">IF(D72="VA",C72,0)</f>
        <v>0</v>
      </c>
      <c r="G72" s="158" t="n">
        <f aca="false">IF(D72="BVA",C72,0)</f>
        <v>0</v>
      </c>
      <c r="H72" s="158" t="n">
        <f aca="false">IF(D72="NVA",C72,0)</f>
        <v>18</v>
      </c>
      <c r="I72" s="177" t="s">
        <v>7266</v>
      </c>
    </row>
    <row r="73" customFormat="false" ht="30.75" hidden="false" customHeight="true" outlineLevel="0" collapsed="false">
      <c r="B73" s="15" t="s">
        <v>7267</v>
      </c>
      <c r="C73" s="157" t="n">
        <v>12</v>
      </c>
      <c r="D73" s="177" t="s">
        <v>7016</v>
      </c>
      <c r="E73" s="15" t="s">
        <v>7268</v>
      </c>
      <c r="F73" s="158" t="n">
        <f aca="false">IF(D73="VA",C73,0)</f>
        <v>0</v>
      </c>
      <c r="G73" s="158" t="n">
        <f aca="false">IF(D73="BVA",C73,0)</f>
        <v>12</v>
      </c>
      <c r="H73" s="158" t="n">
        <f aca="false">IF(D73="NVA",C73,0)</f>
        <v>0</v>
      </c>
      <c r="I73" s="177" t="s">
        <v>7269</v>
      </c>
    </row>
    <row r="74" customFormat="false" ht="16.5" hidden="false" customHeight="true" outlineLevel="0" collapsed="false">
      <c r="B74" s="15" t="s">
        <v>7270</v>
      </c>
      <c r="C74" s="157" t="n">
        <v>35</v>
      </c>
      <c r="D74" s="177" t="s">
        <v>7024</v>
      </c>
      <c r="E74" s="15" t="s">
        <v>7271</v>
      </c>
      <c r="F74" s="158" t="n">
        <f aca="false">IF(D74="VA",C74,0)</f>
        <v>35</v>
      </c>
      <c r="G74" s="158" t="n">
        <f aca="false">IF(D74="BVA",C74,0)</f>
        <v>0</v>
      </c>
      <c r="H74" s="158" t="n">
        <f aca="false">IF(D74="NVA",C74,0)</f>
        <v>0</v>
      </c>
      <c r="I74" s="177" t="s">
        <v>7272</v>
      </c>
    </row>
    <row r="75" customFormat="false" ht="16.5" hidden="false" customHeight="true" outlineLevel="0" collapsed="false">
      <c r="B75" s="15" t="s">
        <v>7273</v>
      </c>
      <c r="C75" s="157" t="n">
        <v>16</v>
      </c>
      <c r="D75" s="177" t="s">
        <v>7024</v>
      </c>
      <c r="E75" s="15" t="s">
        <v>7274</v>
      </c>
      <c r="F75" s="158" t="n">
        <f aca="false">IF(D75="VA",C75,0)</f>
        <v>16</v>
      </c>
      <c r="G75" s="158" t="n">
        <f aca="false">IF(D75="BVA",C75,0)</f>
        <v>0</v>
      </c>
      <c r="H75" s="158" t="n">
        <f aca="false">IF(D75="NVA",C75,0)</f>
        <v>0</v>
      </c>
      <c r="I75" s="177" t="s">
        <v>7275</v>
      </c>
    </row>
    <row r="76" customFormat="false" ht="30.75" hidden="false" customHeight="true" outlineLevel="0" collapsed="false">
      <c r="B76" s="15" t="s">
        <v>7276</v>
      </c>
      <c r="C76" s="157" t="n">
        <v>7</v>
      </c>
      <c r="D76" s="177" t="s">
        <v>7019</v>
      </c>
      <c r="E76" s="15" t="s">
        <v>7277</v>
      </c>
      <c r="F76" s="158" t="n">
        <f aca="false">IF(D76="VA",C76,0)</f>
        <v>0</v>
      </c>
      <c r="G76" s="158" t="n">
        <f aca="false">IF(D76="BVA",C76,0)</f>
        <v>0</v>
      </c>
      <c r="H76" s="158" t="n">
        <f aca="false">IF(D76="NVA",C76,0)</f>
        <v>7</v>
      </c>
      <c r="I76" s="177" t="s">
        <v>7278</v>
      </c>
    </row>
    <row r="77" customFormat="false" ht="16.5" hidden="false" customHeight="true" outlineLevel="0" collapsed="false">
      <c r="B77" s="15" t="s">
        <v>7279</v>
      </c>
      <c r="C77" s="157" t="n">
        <v>22</v>
      </c>
      <c r="D77" s="177" t="s">
        <v>7024</v>
      </c>
      <c r="E77" s="15" t="s">
        <v>7274</v>
      </c>
      <c r="F77" s="158" t="n">
        <f aca="false">IF(D77="VA",C77,0)</f>
        <v>22</v>
      </c>
      <c r="G77" s="158" t="n">
        <f aca="false">IF(D77="BVA",C77,0)</f>
        <v>0</v>
      </c>
      <c r="H77" s="158" t="n">
        <f aca="false">IF(D77="NVA",C77,0)</f>
        <v>0</v>
      </c>
      <c r="I77" s="177" t="s">
        <v>7280</v>
      </c>
    </row>
    <row r="78" customFormat="false" ht="30.75" hidden="false" customHeight="true" outlineLevel="0" collapsed="false">
      <c r="B78" s="15" t="s">
        <v>7281</v>
      </c>
      <c r="C78" s="157" t="n">
        <v>14</v>
      </c>
      <c r="D78" s="177" t="s">
        <v>7019</v>
      </c>
      <c r="E78" s="15" t="s">
        <v>7282</v>
      </c>
      <c r="F78" s="158" t="n">
        <f aca="false">IF(D78="VA",C78,0)</f>
        <v>0</v>
      </c>
      <c r="G78" s="158" t="n">
        <f aca="false">IF(D78="BVA",C78,0)</f>
        <v>0</v>
      </c>
      <c r="H78" s="158" t="n">
        <f aca="false">IF(D78="NVA",C78,0)</f>
        <v>14</v>
      </c>
      <c r="I78" s="177" t="s">
        <v>7283</v>
      </c>
    </row>
    <row r="79" customFormat="false" ht="16.5" hidden="false" customHeight="true" outlineLevel="0" collapsed="false">
      <c r="B79" s="15" t="s">
        <v>7284</v>
      </c>
      <c r="C79" s="157" t="n">
        <v>15</v>
      </c>
      <c r="D79" s="177" t="s">
        <v>7024</v>
      </c>
      <c r="E79" s="15" t="s">
        <v>7285</v>
      </c>
      <c r="F79" s="158" t="n">
        <f aca="false">IF(D79="VA",C79,0)</f>
        <v>15</v>
      </c>
      <c r="G79" s="158" t="n">
        <f aca="false">IF(D79="BVA",C79,0)</f>
        <v>0</v>
      </c>
      <c r="H79" s="158" t="n">
        <f aca="false">IF(D79="NVA",C79,0)</f>
        <v>0</v>
      </c>
      <c r="I79" s="177" t="s">
        <v>7286</v>
      </c>
    </row>
    <row r="80" customFormat="false" ht="16.5" hidden="false" customHeight="true" outlineLevel="0" collapsed="false">
      <c r="B80" s="15" t="s">
        <v>7287</v>
      </c>
      <c r="C80" s="157" t="n">
        <v>20</v>
      </c>
      <c r="D80" s="177" t="s">
        <v>7016</v>
      </c>
      <c r="E80" s="15" t="s">
        <v>7288</v>
      </c>
      <c r="F80" s="158" t="n">
        <f aca="false">IF(D80="VA",C80,0)</f>
        <v>0</v>
      </c>
      <c r="G80" s="158" t="n">
        <f aca="false">IF(D80="BVA",C80,0)</f>
        <v>20</v>
      </c>
      <c r="H80" s="158" t="n">
        <f aca="false">IF(D80="NVA",C80,0)</f>
        <v>0</v>
      </c>
      <c r="I80" s="177" t="s">
        <v>7289</v>
      </c>
    </row>
    <row r="81" customFormat="false" ht="30.75" hidden="false" customHeight="true" outlineLevel="0" collapsed="false">
      <c r="B81" s="15" t="s">
        <v>7290</v>
      </c>
      <c r="C81" s="157" t="n">
        <v>14</v>
      </c>
      <c r="D81" s="177" t="s">
        <v>7019</v>
      </c>
      <c r="E81" s="15" t="s">
        <v>7291</v>
      </c>
      <c r="F81" s="158" t="n">
        <f aca="false">IF(D81="VA",C81,0)</f>
        <v>0</v>
      </c>
      <c r="G81" s="158" t="n">
        <f aca="false">IF(D81="BVA",C81,0)</f>
        <v>0</v>
      </c>
      <c r="H81" s="158" t="n">
        <f aca="false">IF(D81="NVA",C81,0)</f>
        <v>14</v>
      </c>
      <c r="I81" s="177" t="s">
        <v>7292</v>
      </c>
    </row>
    <row r="82" customFormat="false" ht="30.75" hidden="false" customHeight="true" outlineLevel="0" collapsed="false">
      <c r="B82" s="15" t="s">
        <v>7293</v>
      </c>
      <c r="C82" s="157" t="n">
        <v>9</v>
      </c>
      <c r="D82" s="177" t="s">
        <v>7019</v>
      </c>
      <c r="E82" s="15" t="s">
        <v>7294</v>
      </c>
      <c r="F82" s="158" t="n">
        <f aca="false">IF(D82="VA",C82,0)</f>
        <v>0</v>
      </c>
      <c r="G82" s="158" t="n">
        <f aca="false">IF(D82="BVA",C82,0)</f>
        <v>0</v>
      </c>
      <c r="H82" s="158" t="n">
        <f aca="false">IF(D82="NVA",C82,0)</f>
        <v>9</v>
      </c>
      <c r="I82" s="177" t="s">
        <v>7269</v>
      </c>
    </row>
    <row r="83" customFormat="false" ht="16.5" hidden="false" customHeight="true" outlineLevel="0" collapsed="false">
      <c r="B83" s="15" t="s">
        <v>7295</v>
      </c>
      <c r="C83" s="157" t="n">
        <v>6</v>
      </c>
      <c r="D83" s="177" t="s">
        <v>7016</v>
      </c>
      <c r="E83" s="15" t="s">
        <v>7288</v>
      </c>
      <c r="F83" s="158" t="n">
        <f aca="false">IF(D83="VA",C83,0)</f>
        <v>0</v>
      </c>
      <c r="G83" s="158" t="n">
        <f aca="false">IF(D83="BVA",C83,0)</f>
        <v>6</v>
      </c>
      <c r="H83" s="158" t="n">
        <f aca="false">IF(D83="NVA",C83,0)</f>
        <v>0</v>
      </c>
      <c r="I83" s="177" t="s">
        <v>7296</v>
      </c>
    </row>
    <row r="85" customFormat="false" ht="16.5" hidden="false" customHeight="true" outlineLevel="0" collapsed="false">
      <c r="B85" s="152" t="s">
        <v>7297</v>
      </c>
      <c r="C85" s="152" t="s">
        <v>7257</v>
      </c>
      <c r="D85" s="152" t="s">
        <v>7298</v>
      </c>
      <c r="E85" s="152" t="s">
        <v>7299</v>
      </c>
    </row>
    <row r="86" customFormat="false" ht="30.75" hidden="false" customHeight="true" outlineLevel="0" collapsed="false">
      <c r="B86" s="15" t="s">
        <v>7300</v>
      </c>
      <c r="C86" s="158" t="n">
        <f aca="false">SUM(F72:F83)</f>
        <v>88</v>
      </c>
      <c r="D86" s="160" t="n">
        <f aca="false">IFERROR(C86/SUM($C$72:$C$83),0)</f>
        <v>0.468085106382979</v>
      </c>
      <c r="E86" s="15" t="s">
        <v>7301</v>
      </c>
    </row>
    <row r="87" customFormat="false" ht="30.75" hidden="false" customHeight="true" outlineLevel="0" collapsed="false">
      <c r="B87" s="15" t="s">
        <v>7302</v>
      </c>
      <c r="C87" s="158" t="n">
        <f aca="false">SUM(G72:G83)</f>
        <v>38</v>
      </c>
      <c r="D87" s="160" t="n">
        <f aca="false">IFERROR(C87/SUM($C$72:$C$83),0)</f>
        <v>0.202127659574468</v>
      </c>
      <c r="E87" s="15" t="s">
        <v>7303</v>
      </c>
    </row>
    <row r="88" customFormat="false" ht="16.5" hidden="false" customHeight="true" outlineLevel="0" collapsed="false">
      <c r="B88" s="15" t="s">
        <v>7304</v>
      </c>
      <c r="C88" s="158" t="n">
        <f aca="false">SUM(H72:H83)</f>
        <v>62</v>
      </c>
      <c r="D88" s="160" t="n">
        <f aca="false">IFERROR(C88/SUM($C$72:$C$83),0)</f>
        <v>0.329787234042553</v>
      </c>
      <c r="E88" s="15" t="s">
        <v>7305</v>
      </c>
    </row>
    <row r="89" customFormat="false" ht="16.5" hidden="false" customHeight="true" outlineLevel="0" collapsed="false">
      <c r="B89" s="15" t="s">
        <v>48</v>
      </c>
      <c r="C89" s="158" t="n">
        <f aca="false">SUM(C86:C88)</f>
        <v>188</v>
      </c>
      <c r="D89" s="160" t="n">
        <f aca="false">IFERROR(SUM(D86:D88),0)</f>
        <v>1</v>
      </c>
      <c r="E89" s="15"/>
    </row>
    <row r="90" customFormat="false" ht="16.5" hidden="false" customHeight="true" outlineLevel="0" collapsed="false">
      <c r="B90" s="15" t="s">
        <v>6818</v>
      </c>
      <c r="C90" s="160" t="n">
        <f aca="false">IFERROR(C86/C89,0)</f>
        <v>0.468085106382979</v>
      </c>
      <c r="D90" s="15"/>
      <c r="E90" s="15" t="s">
        <v>7306</v>
      </c>
    </row>
    <row r="91" customFormat="false" ht="30.75" hidden="false" customHeight="true" outlineLevel="0" collapsed="false">
      <c r="B91" s="15" t="s">
        <v>7307</v>
      </c>
      <c r="C91" s="158" t="n">
        <f aca="false">C88</f>
        <v>62</v>
      </c>
      <c r="D91" s="160" t="n">
        <f aca="false">IFERROR(C88/C89,0)</f>
        <v>0.329787234042553</v>
      </c>
      <c r="E91" s="15" t="s">
        <v>7308</v>
      </c>
    </row>
    <row r="93" customFormat="false" ht="15.75" hidden="false" customHeight="true" outlineLevel="0" collapsed="false">
      <c r="B93" s="103" t="s">
        <v>1493</v>
      </c>
      <c r="C93" s="8"/>
      <c r="D93" s="8"/>
      <c r="E93" s="8"/>
      <c r="F93" s="8"/>
      <c r="G93" s="8"/>
      <c r="H93" s="8"/>
      <c r="I93" s="8"/>
      <c r="J93" s="8"/>
      <c r="K93" s="8"/>
    </row>
    <row r="94" customFormat="false" ht="49.5" hidden="false" customHeight="true" outlineLevel="0" collapsed="false">
      <c r="B94" s="105" t="s">
        <v>1494</v>
      </c>
      <c r="C94" s="168" t="str">
        <f aca="false">"Of "&amp;TEXT(C89,"0")&amp;" min, "&amp;TEXT(C86,"0")&amp;" min are value-added, "&amp;TEXT(C87,"0")&amp;" min business-value-added and "&amp;TEXT(C88,"0")&amp;" min pure waste (PCE "&amp;TEXT(C90,"0.0%")&amp;"). "&amp;"Removing the NVA alone releases "&amp;TEXT(C88,"0")&amp;" min, "&amp;TEXT(D91,"0.0%")&amp;" of the total. "&amp;IF(D88&gt;0.3,"Waste exceeds 30% of the process: run a Kaizen event on this process now (L-21).","Waste is under 30%: streamline the BVA steps and standardise the VA steps (L-14).")</f>
        <v>Of 188 min, 88 min are value-added, 38 min business-value-added and 62 min pure waste (PCE 46.8%). Removing the NVA alone releases 62 min, 33.0% of the total. Waste exceeds 30% of the process: run a Kaizen event on this process now (L-21).</v>
      </c>
      <c r="D94" s="168"/>
      <c r="E94" s="168"/>
      <c r="F94" s="168"/>
      <c r="G94" s="168"/>
    </row>
    <row r="96" customFormat="false" ht="17.25" hidden="false" customHeight="true" outlineLevel="0" collapsed="false">
      <c r="B96" s="152" t="s">
        <v>1495</v>
      </c>
      <c r="C96" s="152" t="s">
        <v>1496</v>
      </c>
      <c r="D96" s="152" t="s">
        <v>1497</v>
      </c>
      <c r="E96" s="152"/>
      <c r="F96" s="152"/>
    </row>
    <row r="97" customFormat="false" ht="30.75" hidden="false" customHeight="true" outlineLevel="0" collapsed="false">
      <c r="B97" s="15" t="s">
        <v>7309</v>
      </c>
      <c r="C97" s="15" t="s">
        <v>7310</v>
      </c>
      <c r="D97" s="15" t="s">
        <v>7311</v>
      </c>
      <c r="E97" s="15"/>
      <c r="F97" s="15"/>
    </row>
    <row r="98" customFormat="false" ht="44.25" hidden="false" customHeight="true" outlineLevel="0" collapsed="false">
      <c r="B98" s="15" t="s">
        <v>7312</v>
      </c>
      <c r="C98" s="15" t="s">
        <v>7313</v>
      </c>
      <c r="D98" s="15" t="s">
        <v>7314</v>
      </c>
      <c r="E98" s="15"/>
      <c r="F98" s="15"/>
    </row>
    <row r="99" customFormat="false" ht="17.25" hidden="false" customHeight="true" outlineLevel="0" collapsed="false">
      <c r="B99" s="15" t="s">
        <v>7315</v>
      </c>
      <c r="C99" s="15" t="s">
        <v>7316</v>
      </c>
      <c r="D99" s="15" t="s">
        <v>7317</v>
      </c>
      <c r="E99" s="15"/>
      <c r="F99" s="15"/>
    </row>
    <row r="100" customFormat="false" ht="17.25" hidden="false" customHeight="true" outlineLevel="0" collapsed="false">
      <c r="B100" s="15" t="s">
        <v>7318</v>
      </c>
      <c r="C100" s="15" t="s">
        <v>7319</v>
      </c>
      <c r="D100" s="15" t="s">
        <v>7320</v>
      </c>
      <c r="E100" s="15"/>
      <c r="F100" s="15"/>
    </row>
    <row r="102" customFormat="false" ht="15" hidden="false" customHeight="true" outlineLevel="0" collapsed="false">
      <c r="B102" s="105" t="s">
        <v>1507</v>
      </c>
    </row>
    <row r="103" customFormat="false" ht="17.25" hidden="false" customHeight="true" outlineLevel="0" collapsed="false">
      <c r="B103" s="106" t="s">
        <v>7321</v>
      </c>
      <c r="C103" s="106"/>
      <c r="D103" s="106"/>
      <c r="E103" s="106"/>
      <c r="F103" s="106"/>
      <c r="G103" s="106"/>
    </row>
    <row r="104" customFormat="false" ht="17.25" hidden="false" customHeight="true" outlineLevel="0" collapsed="false">
      <c r="B104" s="106" t="s">
        <v>7322</v>
      </c>
      <c r="C104" s="106"/>
      <c r="D104" s="106"/>
      <c r="E104" s="106"/>
      <c r="F104" s="106"/>
      <c r="G104" s="106"/>
    </row>
    <row r="105" customFormat="false" ht="17.25" hidden="false" customHeight="true" outlineLevel="0" collapsed="false">
      <c r="B105" s="106" t="s">
        <v>7323</v>
      </c>
      <c r="C105" s="106"/>
      <c r="D105" s="106"/>
      <c r="E105" s="106"/>
      <c r="F105" s="106"/>
      <c r="G105" s="106"/>
    </row>
    <row r="106" customFormat="false" ht="17.25" hidden="false" customHeight="true" outlineLevel="0" collapsed="false">
      <c r="B106" s="106" t="s">
        <v>7324</v>
      </c>
      <c r="C106" s="106"/>
      <c r="D106" s="106"/>
      <c r="E106" s="106"/>
      <c r="F106" s="106"/>
      <c r="G106" s="106"/>
    </row>
    <row r="107" customFormat="false" ht="17.25" hidden="false" customHeight="true" outlineLevel="0" collapsed="false">
      <c r="B107" s="106" t="s">
        <v>7325</v>
      </c>
      <c r="C107" s="106"/>
      <c r="D107" s="106"/>
      <c r="E107" s="106"/>
      <c r="F107" s="106"/>
      <c r="G107" s="106"/>
    </row>
    <row r="109" customFormat="false" ht="15.75" hidden="false" customHeight="true" outlineLevel="0" collapsed="false">
      <c r="B109" s="103" t="s">
        <v>1513</v>
      </c>
      <c r="C109" s="8"/>
      <c r="D109" s="8"/>
      <c r="E109" s="8"/>
      <c r="F109" s="8"/>
      <c r="G109" s="8"/>
      <c r="H109" s="8"/>
      <c r="I109" s="8"/>
      <c r="J109" s="8"/>
      <c r="K109" s="8"/>
    </row>
    <row r="110" customFormat="false" ht="17.25" hidden="false" customHeight="true" outlineLevel="0" collapsed="false">
      <c r="B110" s="106" t="s">
        <v>6712</v>
      </c>
      <c r="C110" s="106"/>
      <c r="D110" s="106"/>
      <c r="E110" s="106"/>
      <c r="N110" s="169" t="s">
        <v>1515</v>
      </c>
    </row>
    <row r="111" customFormat="false" ht="44.25" hidden="false" customHeight="true" outlineLevel="0" collapsed="false">
      <c r="B111" s="106" t="s">
        <v>7326</v>
      </c>
      <c r="C111" s="106"/>
      <c r="D111" s="106"/>
      <c r="E111" s="106"/>
      <c r="N111" s="120" t="s">
        <v>7327</v>
      </c>
    </row>
    <row r="112" customFormat="false" ht="44.25" hidden="false" customHeight="true" outlineLevel="0" collapsed="false">
      <c r="B112" s="106" t="s">
        <v>7328</v>
      </c>
      <c r="C112" s="106"/>
      <c r="D112" s="106"/>
      <c r="E112" s="106"/>
      <c r="N112" s="120" t="s">
        <v>7329</v>
      </c>
    </row>
    <row r="113" customFormat="false" ht="30.75" hidden="false" customHeight="true" outlineLevel="0" collapsed="false">
      <c r="B113" s="106" t="s">
        <v>7330</v>
      </c>
      <c r="C113" s="106"/>
      <c r="D113" s="106"/>
      <c r="E113" s="106"/>
      <c r="N113" s="120" t="s">
        <v>7331</v>
      </c>
    </row>
    <row r="115" customFormat="false" ht="15.75" hidden="false" customHeight="true" outlineLevel="0" collapsed="false">
      <c r="B115" s="103" t="s">
        <v>1522</v>
      </c>
      <c r="C115" s="8"/>
      <c r="D115" s="8"/>
      <c r="E115" s="8"/>
      <c r="F115" s="8"/>
      <c r="G115" s="8"/>
      <c r="H115" s="8"/>
      <c r="I115" s="8"/>
      <c r="J115" s="8"/>
      <c r="K115" s="8"/>
    </row>
    <row r="116" customFormat="false" ht="17.25" hidden="false" customHeight="true" outlineLevel="0" collapsed="false">
      <c r="B116" s="152" t="s">
        <v>1523</v>
      </c>
      <c r="C116" s="152" t="s">
        <v>1524</v>
      </c>
      <c r="D116" s="152" t="s">
        <v>6719</v>
      </c>
      <c r="E116" s="152"/>
    </row>
    <row r="117" customFormat="false" ht="44.25" hidden="false" customHeight="true" outlineLevel="0" collapsed="false">
      <c r="B117" s="170" t="s">
        <v>7332</v>
      </c>
      <c r="C117" s="170" t="s">
        <v>1109</v>
      </c>
      <c r="D117" s="171" t="s">
        <v>7218</v>
      </c>
      <c r="E117" s="171"/>
    </row>
  </sheetData>
  <mergeCells count="58">
    <mergeCell ref="B2:J2"/>
    <mergeCell ref="D3:G3"/>
    <mergeCell ref="C6:G6"/>
    <mergeCell ref="C7:G7"/>
    <mergeCell ref="C8:G8"/>
    <mergeCell ref="B11:G13"/>
    <mergeCell ref="B14:G14"/>
    <mergeCell ref="B15:G17"/>
    <mergeCell ref="B18:G20"/>
    <mergeCell ref="B21:G22"/>
    <mergeCell ref="B25:D25"/>
    <mergeCell ref="E25:F25"/>
    <mergeCell ref="B26:D26"/>
    <mergeCell ref="E26:F26"/>
    <mergeCell ref="B27:D27"/>
    <mergeCell ref="E27:F27"/>
    <mergeCell ref="B28:D28"/>
    <mergeCell ref="E28:F28"/>
    <mergeCell ref="B29:G29"/>
    <mergeCell ref="B38:G38"/>
    <mergeCell ref="B40:G41"/>
    <mergeCell ref="B42:G42"/>
    <mergeCell ref="B45:G45"/>
    <mergeCell ref="B46:G46"/>
    <mergeCell ref="B47:G47"/>
    <mergeCell ref="B48:G48"/>
    <mergeCell ref="D51:F51"/>
    <mergeCell ref="D52:F52"/>
    <mergeCell ref="D53:F53"/>
    <mergeCell ref="D54:F54"/>
    <mergeCell ref="D55:F55"/>
    <mergeCell ref="B58:G59"/>
    <mergeCell ref="B60:G60"/>
    <mergeCell ref="C61:E61"/>
    <mergeCell ref="B63:G63"/>
    <mergeCell ref="D64:E64"/>
    <mergeCell ref="D65:E65"/>
    <mergeCell ref="D66:E66"/>
    <mergeCell ref="D67:E67"/>
    <mergeCell ref="D68:E68"/>
    <mergeCell ref="B70:G70"/>
    <mergeCell ref="C94:G94"/>
    <mergeCell ref="D96:F96"/>
    <mergeCell ref="D97:F97"/>
    <mergeCell ref="D98:F98"/>
    <mergeCell ref="D99:F99"/>
    <mergeCell ref="D100:F100"/>
    <mergeCell ref="B103:G103"/>
    <mergeCell ref="B104:G104"/>
    <mergeCell ref="B105:G105"/>
    <mergeCell ref="B106:G106"/>
    <mergeCell ref="B107:G107"/>
    <mergeCell ref="B110:E110"/>
    <mergeCell ref="B111:E111"/>
    <mergeCell ref="B112:E112"/>
    <mergeCell ref="B113:E113"/>
    <mergeCell ref="D116:E116"/>
    <mergeCell ref="D117:E117"/>
  </mergeCells>
  <hyperlinks>
    <hyperlink ref="B3" location="'N-03 Index DMAIC'!A1" display="← Back to Index"/>
    <hyperlink ref="E32" location="'L-14 Standard Work'!A1" display="L-14  Standard Work"/>
    <hyperlink ref="E33" location="'L-21 Kaizen Event'!A1" display="L-21  Kaizen Event"/>
    <hyperlink ref="E34" location="'H-11 5 Whys'!A1" display="H-11  5 Whys"/>
    <hyperlink ref="E35" location="'H-02 SIPOC'!A1" display="H-02  SIPOC"/>
    <hyperlink ref="B117" location="'L-04 Process Mapping'!A1" display="L-04  Process Mapping"/>
    <hyperlink ref="C117" location="'L-15 SMED'!A1" display="L-15  SMED and Quick Changeover"/>
    <hyperlink ref="D117" location="'L-21 Kaizen Event'!A1" display="L-21  Kaizen Even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5"/>
    <col collapsed="false" customWidth="true" hidden="false" outlineLevel="0" max="4" min="4" style="1" width="14"/>
    <col collapsed="false" customWidth="true" hidden="false" outlineLevel="0" max="5" min="5" style="1" width="17"/>
    <col collapsed="false" customWidth="true" hidden="false" outlineLevel="0" max="6" min="6" style="1" width="16"/>
    <col collapsed="false" customWidth="true" hidden="false" outlineLevel="0" max="7" min="7" style="1" width="24"/>
    <col collapsed="false" customWidth="true" hidden="false" outlineLevel="0" max="8" min="8" style="1" width="16"/>
    <col collapsed="false" customWidth="true" hidden="false" outlineLevel="0" max="10" min="9"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7333</v>
      </c>
      <c r="C2" s="148"/>
      <c r="D2" s="148"/>
      <c r="E2" s="148"/>
      <c r="F2" s="148"/>
      <c r="G2" s="148"/>
      <c r="H2" s="148"/>
      <c r="I2" s="148"/>
      <c r="J2" s="148"/>
      <c r="K2" s="172" t="s">
        <v>1389</v>
      </c>
    </row>
    <row r="3" customFormat="false" ht="42" hidden="false" customHeight="true" outlineLevel="0" collapsed="false">
      <c r="B3" s="150" t="s">
        <v>3</v>
      </c>
      <c r="D3" s="151" t="s">
        <v>7334</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7335</v>
      </c>
      <c r="D6" s="106"/>
      <c r="E6" s="106"/>
      <c r="F6" s="106"/>
      <c r="G6" s="106"/>
    </row>
    <row r="7" customFormat="false" ht="31.5" hidden="false" customHeight="true" outlineLevel="0" collapsed="false">
      <c r="B7" s="105" t="s">
        <v>1394</v>
      </c>
      <c r="C7" s="106" t="s">
        <v>7336</v>
      </c>
      <c r="D7" s="106"/>
      <c r="E7" s="106"/>
      <c r="F7" s="106"/>
      <c r="G7" s="106"/>
    </row>
    <row r="8" customFormat="false" ht="31.5" hidden="false" customHeight="true" outlineLevel="0" collapsed="false">
      <c r="B8" s="105" t="s">
        <v>1396</v>
      </c>
      <c r="C8" s="106" t="s">
        <v>7337</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7.25" hidden="false" customHeight="true" outlineLevel="0" collapsed="false">
      <c r="B11" s="106" t="s">
        <v>7338</v>
      </c>
      <c r="C11" s="106"/>
      <c r="D11" s="106"/>
      <c r="E11" s="106"/>
      <c r="F11" s="106"/>
      <c r="G11" s="106"/>
      <c r="H11" s="106"/>
      <c r="I11" s="106"/>
    </row>
    <row r="12" customFormat="false" ht="10.5" hidden="false" customHeight="true" outlineLevel="0" collapsed="false">
      <c r="B12" s="106" t="s">
        <v>7339</v>
      </c>
      <c r="C12" s="106"/>
      <c r="D12" s="106"/>
      <c r="E12" s="106"/>
      <c r="F12" s="106"/>
      <c r="G12" s="106"/>
      <c r="H12" s="106"/>
      <c r="I12" s="106"/>
    </row>
    <row r="13" customFormat="false" ht="10.5" hidden="false" customHeight="true" outlineLevel="0" collapsed="false">
      <c r="B13" s="106"/>
      <c r="C13" s="106"/>
      <c r="D13" s="106"/>
      <c r="E13" s="106"/>
      <c r="F13" s="106"/>
      <c r="G13" s="106"/>
      <c r="H13" s="106"/>
      <c r="I13" s="106"/>
    </row>
    <row r="14" customFormat="false" ht="10.5" hidden="false" customHeight="true" outlineLevel="0" collapsed="false">
      <c r="B14" s="106"/>
      <c r="C14" s="106"/>
      <c r="D14" s="106"/>
      <c r="E14" s="106"/>
      <c r="F14" s="106"/>
      <c r="G14" s="106"/>
      <c r="H14" s="106"/>
      <c r="I14" s="106"/>
    </row>
    <row r="15" customFormat="false" ht="10.5" hidden="false" customHeight="true" outlineLevel="0" collapsed="false">
      <c r="B15" s="106" t="s">
        <v>7340</v>
      </c>
      <c r="C15" s="106"/>
      <c r="D15" s="106"/>
      <c r="E15" s="106"/>
      <c r="F15" s="106"/>
      <c r="G15" s="106"/>
      <c r="H15" s="106"/>
      <c r="I15" s="106"/>
    </row>
    <row r="16" customFormat="false" ht="10.5" hidden="false" customHeight="true" outlineLevel="0" collapsed="false">
      <c r="B16" s="106"/>
      <c r="C16" s="106"/>
      <c r="D16" s="106"/>
      <c r="E16" s="106"/>
      <c r="F16" s="106"/>
      <c r="G16" s="106"/>
      <c r="H16" s="106"/>
      <c r="I16" s="106"/>
    </row>
    <row r="17" customFormat="false" ht="10.5" hidden="false" customHeight="true" outlineLevel="0" collapsed="false">
      <c r="B17" s="106"/>
      <c r="C17" s="106"/>
      <c r="D17" s="106"/>
      <c r="E17" s="106"/>
      <c r="F17" s="106"/>
      <c r="G17" s="106"/>
      <c r="H17" s="106"/>
      <c r="I17" s="106"/>
    </row>
    <row r="18" customFormat="false" ht="15.75" hidden="false" customHeight="true" outlineLevel="0" collapsed="false">
      <c r="B18" s="106" t="s">
        <v>7341</v>
      </c>
      <c r="C18" s="106"/>
      <c r="D18" s="106"/>
      <c r="E18" s="106"/>
      <c r="F18" s="106"/>
      <c r="G18" s="106"/>
      <c r="H18" s="106"/>
      <c r="I18" s="106"/>
    </row>
    <row r="19" customFormat="false" ht="15.75" hidden="false" customHeight="true" outlineLevel="0" collapsed="false">
      <c r="B19" s="106"/>
      <c r="C19" s="106"/>
      <c r="D19" s="106"/>
      <c r="E19" s="106"/>
      <c r="F19" s="106"/>
      <c r="G19" s="106"/>
      <c r="H19" s="106"/>
      <c r="I19" s="106"/>
    </row>
    <row r="20" customFormat="false" ht="10.5" hidden="false" customHeight="true" outlineLevel="0" collapsed="false">
      <c r="B20" s="106" t="s">
        <v>7342</v>
      </c>
      <c r="C20" s="106"/>
      <c r="D20" s="106"/>
      <c r="E20" s="106"/>
      <c r="F20" s="106"/>
      <c r="G20" s="106"/>
      <c r="H20" s="106"/>
      <c r="I20" s="106"/>
    </row>
    <row r="21" customFormat="false" ht="10.5" hidden="false" customHeight="true" outlineLevel="0" collapsed="false">
      <c r="B21" s="106"/>
      <c r="C21" s="106"/>
      <c r="D21" s="106"/>
      <c r="E21" s="106"/>
      <c r="F21" s="106"/>
      <c r="G21" s="106"/>
      <c r="H21" s="106"/>
      <c r="I21" s="106"/>
    </row>
    <row r="22" customFormat="false" ht="10.5" hidden="false" customHeight="true" outlineLevel="0" collapsed="false">
      <c r="B22" s="106"/>
      <c r="C22" s="106"/>
      <c r="D22" s="106"/>
      <c r="E22" s="106"/>
      <c r="F22" s="106"/>
      <c r="G22" s="106"/>
      <c r="H22" s="106"/>
      <c r="I22" s="106"/>
    </row>
    <row r="24" customFormat="false" ht="15.75" hidden="false" customHeight="true" outlineLevel="0" collapsed="false">
      <c r="B24" s="103" t="s">
        <v>1406</v>
      </c>
      <c r="C24" s="8"/>
      <c r="D24" s="8"/>
      <c r="E24" s="8"/>
      <c r="F24" s="8"/>
      <c r="G24" s="8"/>
      <c r="H24" s="8"/>
      <c r="I24" s="8"/>
      <c r="J24" s="8"/>
      <c r="K24" s="8"/>
    </row>
    <row r="25" customFormat="false" ht="17.25" hidden="false" customHeight="true" outlineLevel="0" collapsed="false">
      <c r="B25" s="107" t="s">
        <v>1407</v>
      </c>
      <c r="C25" s="107"/>
      <c r="D25" s="107"/>
      <c r="E25" s="107" t="s">
        <v>1408</v>
      </c>
      <c r="F25" s="107"/>
      <c r="G25" s="107"/>
      <c r="H25" s="107"/>
      <c r="I25" s="107"/>
    </row>
    <row r="26" customFormat="false" ht="17.25" hidden="false" customHeight="true" outlineLevel="0" collapsed="false">
      <c r="B26" s="106" t="s">
        <v>7343</v>
      </c>
      <c r="C26" s="106"/>
      <c r="D26" s="106"/>
      <c r="E26" s="106" t="s">
        <v>7344</v>
      </c>
      <c r="F26" s="106"/>
      <c r="G26" s="106"/>
      <c r="H26" s="106"/>
      <c r="I26" s="106"/>
    </row>
    <row r="27" customFormat="false" ht="31.5" hidden="false" customHeight="true" outlineLevel="0" collapsed="false">
      <c r="B27" s="106" t="s">
        <v>7345</v>
      </c>
      <c r="C27" s="106"/>
      <c r="D27" s="106"/>
      <c r="E27" s="106" t="s">
        <v>7346</v>
      </c>
      <c r="F27" s="106"/>
      <c r="G27" s="106"/>
      <c r="H27" s="106"/>
      <c r="I27" s="106"/>
    </row>
    <row r="28" customFormat="false" ht="31.5" hidden="false" customHeight="true" outlineLevel="0" collapsed="false">
      <c r="B28" s="106" t="s">
        <v>7347</v>
      </c>
      <c r="C28" s="106"/>
      <c r="D28" s="106"/>
      <c r="E28" s="106" t="s">
        <v>7348</v>
      </c>
      <c r="F28" s="106"/>
      <c r="G28" s="106"/>
      <c r="H28" s="106"/>
      <c r="I28" s="106"/>
    </row>
    <row r="29" customFormat="false" ht="17.25" hidden="false" customHeight="true" outlineLevel="0" collapsed="false">
      <c r="B29" s="106" t="s">
        <v>7349</v>
      </c>
      <c r="C29" s="106"/>
      <c r="D29" s="106"/>
      <c r="E29" s="106"/>
      <c r="F29" s="106"/>
      <c r="G29" s="106"/>
      <c r="H29" s="106"/>
      <c r="I29" s="106"/>
    </row>
    <row r="31" customFormat="false" ht="30.75" hidden="false" customHeight="true" outlineLevel="0" collapsed="false">
      <c r="B31" s="152" t="s">
        <v>6621</v>
      </c>
      <c r="C31" s="152" t="s">
        <v>1417</v>
      </c>
      <c r="D31" s="152" t="s">
        <v>1418</v>
      </c>
      <c r="E31" s="152" t="s">
        <v>1419</v>
      </c>
      <c r="F31" s="152"/>
      <c r="G31" s="152"/>
    </row>
    <row r="32" customFormat="false" ht="99.75" hidden="false" customHeight="true" outlineLevel="0" collapsed="false">
      <c r="B32" s="15" t="s">
        <v>7350</v>
      </c>
      <c r="C32" s="15" t="s">
        <v>7351</v>
      </c>
      <c r="D32" s="15" t="s">
        <v>7352</v>
      </c>
      <c r="E32" s="153" t="s">
        <v>1089</v>
      </c>
      <c r="F32" s="153"/>
      <c r="G32" s="153"/>
    </row>
    <row r="33" customFormat="false" ht="86.25" hidden="false" customHeight="true" outlineLevel="0" collapsed="false">
      <c r="B33" s="15" t="s">
        <v>7353</v>
      </c>
      <c r="C33" s="15" t="s">
        <v>7354</v>
      </c>
      <c r="D33" s="15" t="s">
        <v>7355</v>
      </c>
      <c r="E33" s="153" t="s">
        <v>6740</v>
      </c>
      <c r="F33" s="153"/>
      <c r="G33" s="153"/>
    </row>
    <row r="34" customFormat="false" ht="58.5" hidden="false" customHeight="true" outlineLevel="0" collapsed="false">
      <c r="B34" s="15" t="s">
        <v>7356</v>
      </c>
      <c r="C34" s="15" t="s">
        <v>7357</v>
      </c>
      <c r="D34" s="15" t="s">
        <v>7358</v>
      </c>
      <c r="E34" s="153" t="s">
        <v>6744</v>
      </c>
      <c r="F34" s="153"/>
      <c r="G34" s="153"/>
    </row>
    <row r="35" customFormat="false" ht="72" hidden="false" customHeight="true" outlineLevel="0" collapsed="false">
      <c r="B35" s="15" t="s">
        <v>7359</v>
      </c>
      <c r="C35" s="15" t="s">
        <v>7360</v>
      </c>
      <c r="D35" s="15" t="s">
        <v>7361</v>
      </c>
      <c r="E35" s="153" t="s">
        <v>1089</v>
      </c>
      <c r="F35" s="153"/>
      <c r="G35" s="153"/>
    </row>
    <row r="37" customFormat="false" ht="15.75" hidden="false" customHeight="true" outlineLevel="0" collapsed="false">
      <c r="B37" s="103" t="s">
        <v>1429</v>
      </c>
      <c r="C37" s="8"/>
      <c r="D37" s="8"/>
      <c r="E37" s="8"/>
      <c r="F37" s="8"/>
      <c r="G37" s="8"/>
      <c r="H37" s="8"/>
      <c r="I37" s="8"/>
      <c r="J37" s="8"/>
      <c r="K37" s="8"/>
    </row>
    <row r="38" customFormat="false" ht="10.5" hidden="false" customHeight="true" outlineLevel="0" collapsed="false">
      <c r="B38" s="106" t="s">
        <v>7362</v>
      </c>
      <c r="C38" s="106"/>
      <c r="D38" s="106"/>
      <c r="E38" s="106"/>
      <c r="F38" s="106"/>
      <c r="G38" s="106"/>
      <c r="H38" s="106"/>
      <c r="I38" s="106"/>
    </row>
    <row r="39" customFormat="false" ht="10.5" hidden="false" customHeight="true" outlineLevel="0" collapsed="false">
      <c r="B39" s="106"/>
      <c r="C39" s="106"/>
      <c r="D39" s="106"/>
      <c r="E39" s="106"/>
      <c r="F39" s="106"/>
      <c r="G39" s="106"/>
      <c r="H39" s="106"/>
      <c r="I39" s="106"/>
    </row>
    <row r="40" customFormat="false" ht="10.5" hidden="false" customHeight="true" outlineLevel="0" collapsed="false">
      <c r="B40" s="106"/>
      <c r="C40" s="106"/>
      <c r="D40" s="106"/>
      <c r="E40" s="106"/>
      <c r="F40" s="106"/>
      <c r="G40" s="106"/>
      <c r="H40" s="106"/>
      <c r="I40" s="106"/>
    </row>
    <row r="41" customFormat="false" ht="15" hidden="false" customHeight="true" outlineLevel="0" collapsed="false">
      <c r="B41" s="122"/>
    </row>
    <row r="42" customFormat="false" ht="10.5" hidden="false" customHeight="true" outlineLevel="0" collapsed="false">
      <c r="B42" s="106" t="s">
        <v>7363</v>
      </c>
      <c r="C42" s="106"/>
      <c r="D42" s="106"/>
      <c r="E42" s="106"/>
      <c r="F42" s="106"/>
      <c r="G42" s="106"/>
      <c r="H42" s="106"/>
      <c r="I42" s="106"/>
    </row>
    <row r="43" customFormat="false" ht="10.5" hidden="false" customHeight="true" outlineLevel="0" collapsed="false">
      <c r="B43" s="106"/>
      <c r="C43" s="106"/>
      <c r="D43" s="106"/>
      <c r="E43" s="106"/>
      <c r="F43" s="106"/>
      <c r="G43" s="106"/>
      <c r="H43" s="106"/>
      <c r="I43" s="106"/>
    </row>
    <row r="44" customFormat="false" ht="10.5" hidden="false" customHeight="true" outlineLevel="0" collapsed="false">
      <c r="B44" s="106"/>
      <c r="C44" s="106"/>
      <c r="D44" s="106"/>
      <c r="E44" s="106"/>
      <c r="F44" s="106"/>
      <c r="G44" s="106"/>
      <c r="H44" s="106"/>
      <c r="I44" s="106"/>
    </row>
    <row r="45" customFormat="false" ht="15" hidden="false" customHeight="true" outlineLevel="0" collapsed="false">
      <c r="B45" s="122"/>
    </row>
    <row r="46" customFormat="false" ht="17.25" hidden="false" customHeight="true" outlineLevel="0" collapsed="false">
      <c r="B46" s="106" t="s">
        <v>7364</v>
      </c>
      <c r="C46" s="106"/>
      <c r="D46" s="106"/>
      <c r="E46" s="106"/>
      <c r="F46" s="106"/>
      <c r="G46" s="106"/>
      <c r="H46" s="106"/>
      <c r="I46" s="106"/>
    </row>
    <row r="47" customFormat="false" ht="15" hidden="false" customHeight="true" outlineLevel="0" collapsed="false">
      <c r="B47" s="122"/>
    </row>
    <row r="48" customFormat="false" ht="8.25" hidden="false" customHeight="true" outlineLevel="0" collapsed="false">
      <c r="B48" s="106" t="s">
        <v>7365</v>
      </c>
      <c r="C48" s="106"/>
      <c r="D48" s="106"/>
      <c r="E48" s="106"/>
      <c r="F48" s="106"/>
      <c r="G48" s="106"/>
      <c r="H48" s="106"/>
      <c r="I48" s="106"/>
    </row>
    <row r="49" customFormat="false" ht="8.25" hidden="false" customHeight="true" outlineLevel="0" collapsed="false">
      <c r="B49" s="106"/>
      <c r="C49" s="106"/>
      <c r="D49" s="106"/>
      <c r="E49" s="106"/>
      <c r="F49" s="106"/>
      <c r="G49" s="106"/>
      <c r="H49" s="106"/>
      <c r="I49" s="106"/>
    </row>
    <row r="51" customFormat="false" ht="15.75" hidden="false" customHeight="true" outlineLevel="0" collapsed="false">
      <c r="B51" s="103" t="s">
        <v>1437</v>
      </c>
      <c r="C51" s="8"/>
      <c r="D51" s="8"/>
      <c r="E51" s="8"/>
      <c r="F51" s="8"/>
      <c r="G51" s="8"/>
      <c r="H51" s="8"/>
      <c r="I51" s="8"/>
      <c r="J51" s="8"/>
      <c r="K51" s="8"/>
    </row>
    <row r="52" customFormat="false" ht="17.25" hidden="false" customHeight="true" outlineLevel="0" collapsed="false">
      <c r="B52" s="152" t="s">
        <v>1438</v>
      </c>
      <c r="C52" s="152" t="s">
        <v>1439</v>
      </c>
      <c r="D52" s="152" t="s">
        <v>1440</v>
      </c>
      <c r="E52" s="152"/>
      <c r="F52" s="152"/>
      <c r="G52" s="152"/>
    </row>
    <row r="53" customFormat="false" ht="17.25" hidden="false" customHeight="true" outlineLevel="0" collapsed="false">
      <c r="B53" s="15" t="s">
        <v>2588</v>
      </c>
      <c r="C53" s="15" t="s">
        <v>2589</v>
      </c>
      <c r="D53" s="15" t="s">
        <v>7366</v>
      </c>
      <c r="E53" s="15"/>
      <c r="F53" s="15"/>
      <c r="G53" s="15"/>
    </row>
    <row r="54" customFormat="false" ht="44.25" hidden="false" customHeight="true" outlineLevel="0" collapsed="false">
      <c r="B54" s="15" t="s">
        <v>6644</v>
      </c>
      <c r="C54" s="15" t="s">
        <v>7367</v>
      </c>
      <c r="D54" s="15" t="s">
        <v>7368</v>
      </c>
      <c r="E54" s="15"/>
      <c r="F54" s="15"/>
      <c r="G54" s="15"/>
    </row>
    <row r="55" customFormat="false" ht="58.5" hidden="false" customHeight="true" outlineLevel="0" collapsed="false">
      <c r="B55" s="15" t="s">
        <v>3248</v>
      </c>
      <c r="C55" s="15" t="s">
        <v>7369</v>
      </c>
      <c r="D55" s="15" t="s">
        <v>7370</v>
      </c>
      <c r="E55" s="15"/>
      <c r="F55" s="15"/>
      <c r="G55" s="15"/>
    </row>
    <row r="56" customFormat="false" ht="17.25" hidden="false" customHeight="true" outlineLevel="0" collapsed="false">
      <c r="B56" s="15" t="s">
        <v>1839</v>
      </c>
      <c r="C56" s="15" t="s">
        <v>6647</v>
      </c>
      <c r="D56" s="15" t="s">
        <v>7371</v>
      </c>
      <c r="E56" s="15"/>
      <c r="F56" s="15"/>
      <c r="G56" s="15"/>
    </row>
    <row r="57" customFormat="false" ht="17.25" hidden="false" customHeight="true" outlineLevel="0" collapsed="false">
      <c r="B57" s="15" t="s">
        <v>7114</v>
      </c>
      <c r="C57" s="15" t="s">
        <v>7372</v>
      </c>
      <c r="D57" s="15" t="s">
        <v>7373</v>
      </c>
      <c r="E57" s="15"/>
      <c r="F57" s="15"/>
      <c r="G57" s="15"/>
    </row>
    <row r="59" customFormat="false" ht="15.75" hidden="false" customHeight="true" outlineLevel="0" collapsed="false">
      <c r="B59" s="103" t="s">
        <v>1454</v>
      </c>
      <c r="C59" s="8"/>
      <c r="D59" s="8"/>
      <c r="E59" s="8"/>
      <c r="F59" s="8"/>
      <c r="G59" s="8"/>
      <c r="H59" s="8"/>
      <c r="I59" s="8"/>
      <c r="J59" s="8"/>
      <c r="K59" s="8"/>
    </row>
    <row r="60" customFormat="false" ht="10.5" hidden="false" customHeight="true" outlineLevel="0" collapsed="false">
      <c r="B60" s="106" t="s">
        <v>7374</v>
      </c>
      <c r="C60" s="106"/>
      <c r="D60" s="106"/>
      <c r="E60" s="106"/>
      <c r="F60" s="106"/>
      <c r="G60" s="106"/>
      <c r="H60" s="106"/>
      <c r="I60" s="106"/>
    </row>
    <row r="61" customFormat="false" ht="10.5" hidden="false" customHeight="true" outlineLevel="0" collapsed="false">
      <c r="B61" s="106"/>
      <c r="C61" s="106"/>
      <c r="D61" s="106"/>
      <c r="E61" s="106"/>
      <c r="F61" s="106"/>
      <c r="G61" s="106"/>
      <c r="H61" s="106"/>
      <c r="I61" s="106"/>
    </row>
    <row r="62" customFormat="false" ht="10.5" hidden="false" customHeight="true" outlineLevel="0" collapsed="false">
      <c r="B62" s="106"/>
      <c r="C62" s="106"/>
      <c r="D62" s="106"/>
      <c r="E62" s="106"/>
      <c r="F62" s="106"/>
      <c r="G62" s="106"/>
      <c r="H62" s="106"/>
      <c r="I62" s="106"/>
    </row>
    <row r="63" customFormat="false" ht="17.25" hidden="false" customHeight="true" outlineLevel="0" collapsed="false">
      <c r="B63" s="112" t="s">
        <v>85</v>
      </c>
      <c r="C63" s="113" t="s">
        <v>86</v>
      </c>
      <c r="D63" s="113"/>
      <c r="E63" s="113"/>
    </row>
    <row r="65" customFormat="false" ht="17.25" hidden="false" customHeight="true" outlineLevel="0" collapsed="false">
      <c r="B65" s="107" t="s">
        <v>7375</v>
      </c>
      <c r="C65" s="107"/>
      <c r="D65" s="107"/>
      <c r="E65" s="107"/>
      <c r="F65" s="107"/>
      <c r="G65" s="107"/>
      <c r="H65" s="107"/>
      <c r="I65" s="107"/>
    </row>
    <row r="66" customFormat="false" ht="17.25" hidden="false" customHeight="true" outlineLevel="0" collapsed="false">
      <c r="B66" s="152" t="s">
        <v>7376</v>
      </c>
      <c r="C66" s="152" t="s">
        <v>6654</v>
      </c>
      <c r="D66" s="152" t="s">
        <v>6575</v>
      </c>
      <c r="E66" s="152" t="s">
        <v>6655</v>
      </c>
      <c r="F66" s="152"/>
      <c r="G66" s="152"/>
    </row>
    <row r="67" customFormat="false" ht="17.25" hidden="false" customHeight="true" outlineLevel="0" collapsed="false">
      <c r="B67" s="15" t="s">
        <v>7123</v>
      </c>
      <c r="C67" s="155" t="n">
        <v>480</v>
      </c>
      <c r="D67" s="15" t="s">
        <v>6816</v>
      </c>
      <c r="E67" s="15" t="s">
        <v>7377</v>
      </c>
      <c r="F67" s="15"/>
      <c r="G67" s="15"/>
    </row>
    <row r="68" customFormat="false" ht="17.25" hidden="false" customHeight="true" outlineLevel="0" collapsed="false">
      <c r="B68" s="15" t="s">
        <v>7378</v>
      </c>
      <c r="C68" s="155" t="n">
        <v>45</v>
      </c>
      <c r="D68" s="15" t="s">
        <v>6816</v>
      </c>
      <c r="E68" s="15" t="s">
        <v>7379</v>
      </c>
      <c r="F68" s="15"/>
      <c r="G68" s="15"/>
    </row>
    <row r="69" customFormat="false" ht="17.25" hidden="false" customHeight="true" outlineLevel="0" collapsed="false">
      <c r="B69" s="15" t="s">
        <v>7380</v>
      </c>
      <c r="C69" s="155" t="n">
        <v>55</v>
      </c>
      <c r="D69" s="15" t="s">
        <v>6816</v>
      </c>
      <c r="E69" s="15" t="s">
        <v>7381</v>
      </c>
      <c r="F69" s="15"/>
      <c r="G69" s="15"/>
    </row>
    <row r="70" customFormat="false" ht="17.25" hidden="false" customHeight="true" outlineLevel="0" collapsed="false">
      <c r="B70" s="15" t="s">
        <v>7382</v>
      </c>
      <c r="C70" s="161" t="n">
        <f aca="false">C67-C68-C69</f>
        <v>380</v>
      </c>
      <c r="D70" s="15" t="s">
        <v>6816</v>
      </c>
      <c r="E70" s="15" t="s">
        <v>7383</v>
      </c>
      <c r="F70" s="15"/>
      <c r="G70" s="15"/>
    </row>
    <row r="71" customFormat="false" ht="17.25" hidden="false" customHeight="true" outlineLevel="0" collapsed="false">
      <c r="B71" s="15" t="s">
        <v>7384</v>
      </c>
      <c r="C71" s="173" t="n">
        <v>100000</v>
      </c>
      <c r="D71" s="15" t="s">
        <v>6798</v>
      </c>
      <c r="E71" s="15" t="s">
        <v>7385</v>
      </c>
      <c r="F71" s="15"/>
      <c r="G71" s="15"/>
    </row>
    <row r="72" customFormat="false" ht="17.25" hidden="false" customHeight="true" outlineLevel="0" collapsed="false">
      <c r="B72" s="15" t="s">
        <v>7386</v>
      </c>
      <c r="C72" s="176" t="n">
        <f aca="false">IFERROR(C70*60/C71,0)</f>
        <v>0.228</v>
      </c>
      <c r="D72" s="15" t="s">
        <v>6774</v>
      </c>
      <c r="E72" s="15" t="s">
        <v>7387</v>
      </c>
      <c r="F72" s="15"/>
      <c r="G72" s="15"/>
    </row>
    <row r="73" customFormat="false" ht="17.25" hidden="false" customHeight="true" outlineLevel="0" collapsed="false">
      <c r="B73" s="15" t="s">
        <v>7388</v>
      </c>
      <c r="C73" s="159" t="n">
        <f aca="false">IFERROR(3600/C72,0)</f>
        <v>15789.4736842105</v>
      </c>
      <c r="D73" s="15" t="s">
        <v>7389</v>
      </c>
      <c r="E73" s="15" t="s">
        <v>7390</v>
      </c>
      <c r="F73" s="15"/>
      <c r="G73" s="15"/>
    </row>
    <row r="75" customFormat="false" ht="17.25" hidden="false" customHeight="true" outlineLevel="0" collapsed="false">
      <c r="B75" s="107" t="s">
        <v>7391</v>
      </c>
      <c r="C75" s="107"/>
      <c r="D75" s="107"/>
      <c r="E75" s="107"/>
      <c r="F75" s="107"/>
      <c r="G75" s="107"/>
      <c r="H75" s="107"/>
      <c r="I75" s="107"/>
    </row>
    <row r="76" customFormat="false" ht="44.25" hidden="false" customHeight="true" outlineLevel="0" collapsed="false">
      <c r="B76" s="152" t="s">
        <v>7392</v>
      </c>
      <c r="C76" s="152" t="s">
        <v>7393</v>
      </c>
      <c r="D76" s="152" t="s">
        <v>6780</v>
      </c>
      <c r="E76" s="152" t="s">
        <v>7394</v>
      </c>
      <c r="F76" s="152" t="s">
        <v>7395</v>
      </c>
      <c r="G76" s="152" t="s">
        <v>6916</v>
      </c>
      <c r="H76" s="152" t="s">
        <v>7396</v>
      </c>
      <c r="I76" s="152"/>
    </row>
    <row r="77" customFormat="false" ht="17.25" hidden="false" customHeight="true" outlineLevel="0" collapsed="false">
      <c r="B77" s="15" t="s">
        <v>7397</v>
      </c>
      <c r="C77" s="181" t="n">
        <v>0.18</v>
      </c>
      <c r="D77" s="175" t="n">
        <v>0.94</v>
      </c>
      <c r="E77" s="176" t="n">
        <f aca="false">IFERROR(C77/D77,0)</f>
        <v>0.191489361702128</v>
      </c>
      <c r="F77" s="160" t="n">
        <f aca="false">IFERROR(E77/$C$72,0)</f>
        <v>0.83986562150056</v>
      </c>
      <c r="G77" s="167" t="str">
        <f aca="false">IF(E77&gt;$C$72,"OVER TAKT — constraint",IF(E77&gt;0.9*$C$72,"Close to takt — watch","OK"))</f>
        <v>OK</v>
      </c>
      <c r="H77" s="176" t="n">
        <f aca="false">IFERROR($C$72-E77,0)</f>
        <v>0.0365106382978724</v>
      </c>
      <c r="I77" s="176"/>
    </row>
    <row r="78" customFormat="false" ht="17.25" hidden="false" customHeight="true" outlineLevel="0" collapsed="false">
      <c r="B78" s="15" t="s">
        <v>7398</v>
      </c>
      <c r="C78" s="181" t="n">
        <v>0.2</v>
      </c>
      <c r="D78" s="175" t="n">
        <v>0.91</v>
      </c>
      <c r="E78" s="176" t="n">
        <f aca="false">IFERROR(C78/D78,0)</f>
        <v>0.21978021978022</v>
      </c>
      <c r="F78" s="160" t="n">
        <f aca="false">IFERROR(E78/$C$72,0)</f>
        <v>0.963948332369385</v>
      </c>
      <c r="G78" s="167" t="str">
        <f aca="false">IF(E78&gt;$C$72,"OVER TAKT — constraint",IF(E78&gt;0.9*$C$72,"Close to takt — watch","OK"))</f>
        <v>Close to takt — watch</v>
      </c>
      <c r="H78" s="176" t="n">
        <f aca="false">IFERROR($C$72-E78,0)</f>
        <v>0.00821978021978023</v>
      </c>
      <c r="I78" s="176"/>
    </row>
    <row r="79" customFormat="false" ht="17.25" hidden="false" customHeight="true" outlineLevel="0" collapsed="false">
      <c r="B79" s="15" t="s">
        <v>7399</v>
      </c>
      <c r="C79" s="181" t="n">
        <v>0.19</v>
      </c>
      <c r="D79" s="175" t="n">
        <v>0.96</v>
      </c>
      <c r="E79" s="176" t="n">
        <f aca="false">IFERROR(C79/D79,0)</f>
        <v>0.197916666666667</v>
      </c>
      <c r="F79" s="160" t="n">
        <f aca="false">IFERROR(E79/$C$72,0)</f>
        <v>0.868055555555556</v>
      </c>
      <c r="G79" s="167" t="str">
        <f aca="false">IF(E79&gt;$C$72,"OVER TAKT — constraint",IF(E79&gt;0.9*$C$72,"Close to takt — watch","OK"))</f>
        <v>OK</v>
      </c>
      <c r="H79" s="176" t="n">
        <f aca="false">IFERROR($C$72-E79,0)</f>
        <v>0.0300833333333333</v>
      </c>
      <c r="I79" s="176"/>
    </row>
    <row r="80" customFormat="false" ht="17.25" hidden="false" customHeight="true" outlineLevel="0" collapsed="false">
      <c r="B80" s="15" t="s">
        <v>7400</v>
      </c>
      <c r="C80" s="181" t="n">
        <v>0.2</v>
      </c>
      <c r="D80" s="175" t="n">
        <v>0.93</v>
      </c>
      <c r="E80" s="176" t="n">
        <f aca="false">IFERROR(C80/D80,0)</f>
        <v>0.21505376344086</v>
      </c>
      <c r="F80" s="160" t="n">
        <f aca="false">IFERROR(E80/$C$72,0)</f>
        <v>0.943218260705527</v>
      </c>
      <c r="G80" s="167" t="str">
        <f aca="false">IF(E80&gt;$C$72,"OVER TAKT — constraint",IF(E80&gt;0.9*$C$72,"Close to takt — watch","OK"))</f>
        <v>Close to takt — watch</v>
      </c>
      <c r="H80" s="176" t="n">
        <f aca="false">IFERROR($C$72-E80,0)</f>
        <v>0.0129462365591398</v>
      </c>
      <c r="I80" s="176"/>
    </row>
    <row r="81" customFormat="false" ht="17.25" hidden="false" customHeight="true" outlineLevel="0" collapsed="false">
      <c r="B81" s="15" t="s">
        <v>7401</v>
      </c>
      <c r="C81" s="181" t="n">
        <v>0.05</v>
      </c>
      <c r="D81" s="175" t="n">
        <v>0.98</v>
      </c>
      <c r="E81" s="176" t="n">
        <f aca="false">IFERROR(C81/D81,0)</f>
        <v>0.0510204081632653</v>
      </c>
      <c r="F81" s="160" t="n">
        <f aca="false">IFERROR(E81/$C$72,0)</f>
        <v>0.223773720014322</v>
      </c>
      <c r="G81" s="167" t="str">
        <f aca="false">IF(E81&gt;$C$72,"OVER TAKT — constraint",IF(E81&gt;0.9*$C$72,"Close to takt — watch","OK"))</f>
        <v>OK</v>
      </c>
      <c r="H81" s="176" t="n">
        <f aca="false">IFERROR($C$72-E81,0)</f>
        <v>0.176979591836735</v>
      </c>
      <c r="I81" s="176"/>
    </row>
    <row r="82" customFormat="false" ht="17.25" hidden="false" customHeight="true" outlineLevel="0" collapsed="false">
      <c r="B82" s="15" t="s">
        <v>7402</v>
      </c>
      <c r="C82" s="181" t="n">
        <v>0.22</v>
      </c>
      <c r="D82" s="175" t="n">
        <v>0.95</v>
      </c>
      <c r="E82" s="176" t="n">
        <f aca="false">IFERROR(C82/D82,0)</f>
        <v>0.231578947368421</v>
      </c>
      <c r="F82" s="160" t="n">
        <f aca="false">IFERROR(E82/$C$72,0)</f>
        <v>1.01569713758079</v>
      </c>
      <c r="G82" s="167" t="str">
        <f aca="false">IF(E82&gt;$C$72,"OVER TAKT — constraint",IF(E82&gt;0.9*$C$72,"Close to takt — watch","OK"))</f>
        <v>OVER TAKT — constraint</v>
      </c>
      <c r="H82" s="176" t="n">
        <f aca="false">IFERROR($C$72-E82,0)</f>
        <v>-0.00357894736842104</v>
      </c>
      <c r="I82" s="176"/>
    </row>
    <row r="83" customFormat="false" ht="17.25" hidden="false" customHeight="true" outlineLevel="0" collapsed="false">
      <c r="B83" s="15" t="s">
        <v>7403</v>
      </c>
      <c r="C83" s="181" t="n">
        <v>0.25</v>
      </c>
      <c r="D83" s="175" t="n">
        <v>0.96</v>
      </c>
      <c r="E83" s="176" t="n">
        <f aca="false">IFERROR(C83/D83,0)</f>
        <v>0.260416666666667</v>
      </c>
      <c r="F83" s="160" t="n">
        <f aca="false">IFERROR(E83/$C$72,0)</f>
        <v>1.1421783625731</v>
      </c>
      <c r="G83" s="167" t="str">
        <f aca="false">IF(E83&gt;$C$72,"OVER TAKT — constraint",IF(E83&gt;0.9*$C$72,"Close to takt — watch","OK"))</f>
        <v>OVER TAKT — constraint</v>
      </c>
      <c r="H83" s="176" t="n">
        <f aca="false">IFERROR($C$72-E83,0)</f>
        <v>-0.0324166666666667</v>
      </c>
      <c r="I83" s="176"/>
    </row>
    <row r="84" customFormat="false" ht="17.25" hidden="false" customHeight="true" outlineLevel="0" collapsed="false">
      <c r="B84" s="15" t="s">
        <v>7404</v>
      </c>
      <c r="C84" s="181" t="n">
        <v>0.15</v>
      </c>
      <c r="D84" s="175" t="n">
        <v>0.97</v>
      </c>
      <c r="E84" s="176" t="n">
        <f aca="false">IFERROR(C84/D84,0)</f>
        <v>0.154639175257732</v>
      </c>
      <c r="F84" s="160" t="n">
        <f aca="false">IFERROR(E84/$C$72,0)</f>
        <v>0.678241996744438</v>
      </c>
      <c r="G84" s="167" t="str">
        <f aca="false">IF(E84&gt;$C$72,"OVER TAKT — constraint",IF(E84&gt;0.9*$C$72,"Close to takt — watch","OK"))</f>
        <v>OK</v>
      </c>
      <c r="H84" s="176" t="n">
        <f aca="false">IFERROR($C$72-E84,0)</f>
        <v>0.073360824742268</v>
      </c>
      <c r="I84" s="176"/>
    </row>
    <row r="86" customFormat="false" ht="17.25" hidden="false" customHeight="true" outlineLevel="0" collapsed="false">
      <c r="B86" s="107" t="s">
        <v>7405</v>
      </c>
      <c r="C86" s="107"/>
      <c r="D86" s="107"/>
      <c r="E86" s="107"/>
      <c r="F86" s="107"/>
      <c r="G86" s="107"/>
      <c r="H86" s="107"/>
      <c r="I86" s="107"/>
    </row>
    <row r="87" customFormat="false" ht="17.25" hidden="false" customHeight="true" outlineLevel="0" collapsed="false">
      <c r="B87" s="152" t="s">
        <v>1929</v>
      </c>
      <c r="C87" s="152" t="s">
        <v>6654</v>
      </c>
      <c r="D87" s="152" t="s">
        <v>6575</v>
      </c>
      <c r="E87" s="152" t="s">
        <v>6796</v>
      </c>
      <c r="F87" s="152"/>
      <c r="G87" s="152"/>
    </row>
    <row r="88" customFormat="false" ht="17.25" hidden="false" customHeight="true" outlineLevel="0" collapsed="false">
      <c r="B88" s="15" t="s">
        <v>7406</v>
      </c>
      <c r="C88" s="176" t="n">
        <f aca="false">MAX(E77:E84)</f>
        <v>0.260416666666667</v>
      </c>
      <c r="D88" s="15" t="s">
        <v>6774</v>
      </c>
      <c r="E88" s="15" t="s">
        <v>7407</v>
      </c>
      <c r="F88" s="15"/>
      <c r="G88" s="15"/>
    </row>
    <row r="89" customFormat="false" ht="30.75" hidden="false" customHeight="true" outlineLevel="0" collapsed="false">
      <c r="B89" s="15" t="s">
        <v>7408</v>
      </c>
      <c r="C89" s="167" t="str">
        <f aca="false">INDEX(B77:B84,MATCH(MAX(E77:E84),E77:E84,0))</f>
        <v>Palletiser (Innopal)</v>
      </c>
      <c r="D89" s="15"/>
      <c r="E89" s="15" t="s">
        <v>7409</v>
      </c>
      <c r="F89" s="15"/>
      <c r="G89" s="15"/>
    </row>
    <row r="90" customFormat="false" ht="17.25" hidden="false" customHeight="true" outlineLevel="0" collapsed="false">
      <c r="B90" s="15" t="s">
        <v>7410</v>
      </c>
      <c r="C90" s="159" t="n">
        <f aca="false">IFERROR(3600/C88,0)</f>
        <v>13824</v>
      </c>
      <c r="D90" s="15" t="s">
        <v>7389</v>
      </c>
      <c r="E90" s="15" t="s">
        <v>7411</v>
      </c>
      <c r="F90" s="15"/>
      <c r="G90" s="15"/>
    </row>
    <row r="91" customFormat="false" ht="17.25" hidden="false" customHeight="true" outlineLevel="0" collapsed="false">
      <c r="B91" s="15" t="s">
        <v>7412</v>
      </c>
      <c r="C91" s="159" t="n">
        <f aca="false">IFERROR(3600/$C$72,0)</f>
        <v>15789.4736842105</v>
      </c>
      <c r="D91" s="15" t="s">
        <v>7389</v>
      </c>
      <c r="E91" s="15" t="s">
        <v>7413</v>
      </c>
      <c r="F91" s="15"/>
      <c r="G91" s="15"/>
    </row>
    <row r="92" customFormat="false" ht="17.25" hidden="false" customHeight="true" outlineLevel="0" collapsed="false">
      <c r="B92" s="15" t="s">
        <v>7414</v>
      </c>
      <c r="C92" s="160" t="n">
        <f aca="false">IFERROR(C90/C91-1,0)</f>
        <v>-0.12448</v>
      </c>
      <c r="D92" s="15"/>
      <c r="E92" s="15" t="s">
        <v>7415</v>
      </c>
      <c r="F92" s="15"/>
      <c r="G92" s="15"/>
    </row>
    <row r="93" customFormat="false" ht="17.25" hidden="false" customHeight="true" outlineLevel="0" collapsed="false">
      <c r="B93" s="15" t="s">
        <v>7416</v>
      </c>
      <c r="C93" s="173" t="n">
        <v>60000</v>
      </c>
      <c r="D93" s="15" t="s">
        <v>6798</v>
      </c>
      <c r="E93" s="15" t="s">
        <v>7417</v>
      </c>
      <c r="F93" s="15"/>
      <c r="G93" s="15"/>
    </row>
    <row r="94" customFormat="false" ht="17.25" hidden="false" customHeight="true" outlineLevel="0" collapsed="false">
      <c r="B94" s="15" t="s">
        <v>7418</v>
      </c>
      <c r="C94" s="158" t="n">
        <f aca="false">IFERROR(C93*C88/60,0)</f>
        <v>260.416666666667</v>
      </c>
      <c r="D94" s="15" t="s">
        <v>6816</v>
      </c>
      <c r="E94" s="15" t="s">
        <v>7419</v>
      </c>
      <c r="F94" s="15"/>
      <c r="G94" s="15"/>
    </row>
    <row r="95" customFormat="false" ht="17.25" hidden="false" customHeight="true" outlineLevel="0" collapsed="false">
      <c r="B95" s="15" t="s">
        <v>7420</v>
      </c>
      <c r="C95" s="155" t="n">
        <v>180</v>
      </c>
      <c r="D95" s="15" t="s">
        <v>6816</v>
      </c>
      <c r="E95" s="15" t="s">
        <v>7421</v>
      </c>
      <c r="F95" s="15"/>
      <c r="G95" s="15"/>
    </row>
    <row r="96" customFormat="false" ht="17.25" hidden="false" customHeight="true" outlineLevel="0" collapsed="false">
      <c r="B96" s="15" t="s">
        <v>7422</v>
      </c>
      <c r="C96" s="158" t="n">
        <f aca="false">C94+C95</f>
        <v>440.416666666667</v>
      </c>
      <c r="D96" s="15" t="s">
        <v>6816</v>
      </c>
      <c r="E96" s="15" t="s">
        <v>7423</v>
      </c>
      <c r="F96" s="15"/>
      <c r="G96" s="15"/>
    </row>
    <row r="98" customFormat="false" ht="15.75" hidden="false" customHeight="true" outlineLevel="0" collapsed="false">
      <c r="B98" s="103" t="s">
        <v>1493</v>
      </c>
      <c r="C98" s="8"/>
      <c r="D98" s="8"/>
      <c r="E98" s="8"/>
      <c r="F98" s="8"/>
      <c r="G98" s="8"/>
      <c r="H98" s="8"/>
      <c r="I98" s="8"/>
      <c r="J98" s="8"/>
      <c r="K98" s="8"/>
    </row>
    <row r="99" customFormat="false" ht="65.25" hidden="false" customHeight="true" outlineLevel="0" collapsed="false">
      <c r="B99" s="105" t="s">
        <v>1494</v>
      </c>
      <c r="C99" s="168" t="str">
        <f aca="false">"Takt is "&amp;TEXT($C$72,"0.000")&amp;" s/bottle ("&amp;TEXT($C$73,"#,##0")&amp;" bottles/h). The constraint is "&amp;INDEX(B77:B84,MATCH(MAX(E77:E84),E77:E84,0))&amp;" at "&amp;TEXT(MAX(E77:E84),"0.000")&amp;" s effective. "&amp;IF(MAX(E77:E84)&gt;$C$72,"That station is ABOVE takt, so the line physically cannot meet demand: attack it with TOC (L-09), SMED (L-15) or TPM (L-16) before anything else.","Every station is below takt, so demand is achievable — the gap to plan is losses, not capacity. Go to OEE (L-11).")</f>
        <v>Takt is 0.228 s/bottle (15,789 bottles/h). The constraint is Palletiser (Innopal) at 0.260 s effective. That station is ABOVE takt, so the line physically cannot meet demand: attack it with TOC (L-09), SMED (L-15) or TPM (L-16) before anything else.</v>
      </c>
      <c r="D99" s="168"/>
      <c r="E99" s="168"/>
      <c r="F99" s="168"/>
      <c r="G99" s="168"/>
    </row>
    <row r="101" customFormat="false" ht="17.25" hidden="false" customHeight="true" outlineLevel="0" collapsed="false">
      <c r="B101" s="152" t="s">
        <v>1495</v>
      </c>
      <c r="C101" s="152" t="s">
        <v>1496</v>
      </c>
      <c r="D101" s="152" t="s">
        <v>1497</v>
      </c>
      <c r="E101" s="152"/>
      <c r="F101" s="152"/>
      <c r="G101" s="152"/>
      <c r="H101" s="152"/>
    </row>
    <row r="102" customFormat="false" ht="44.25" hidden="false" customHeight="true" outlineLevel="0" collapsed="false">
      <c r="B102" s="15" t="s">
        <v>7424</v>
      </c>
      <c r="C102" s="15" t="s">
        <v>7425</v>
      </c>
      <c r="D102" s="15" t="s">
        <v>7426</v>
      </c>
      <c r="E102" s="15"/>
      <c r="F102" s="15"/>
      <c r="G102" s="15"/>
      <c r="H102" s="15"/>
    </row>
    <row r="103" customFormat="false" ht="31.5" hidden="false" customHeight="true" outlineLevel="0" collapsed="false">
      <c r="B103" s="15" t="s">
        <v>7414</v>
      </c>
      <c r="C103" s="15" t="s">
        <v>7427</v>
      </c>
      <c r="D103" s="15" t="s">
        <v>7428</v>
      </c>
      <c r="E103" s="15"/>
      <c r="F103" s="15"/>
      <c r="G103" s="15"/>
      <c r="H103" s="15"/>
    </row>
    <row r="104" customFormat="false" ht="30.75" hidden="false" customHeight="true" outlineLevel="0" collapsed="false">
      <c r="B104" s="15" t="s">
        <v>7429</v>
      </c>
      <c r="C104" s="15" t="s">
        <v>7430</v>
      </c>
      <c r="D104" s="15" t="s">
        <v>7431</v>
      </c>
      <c r="E104" s="15"/>
      <c r="F104" s="15"/>
      <c r="G104" s="15"/>
      <c r="H104" s="15"/>
    </row>
    <row r="105" customFormat="false" ht="17.25" hidden="false" customHeight="true" outlineLevel="0" collapsed="false">
      <c r="B105" s="15" t="s">
        <v>7432</v>
      </c>
      <c r="C105" s="15" t="s">
        <v>7433</v>
      </c>
      <c r="D105" s="15" t="s">
        <v>7434</v>
      </c>
      <c r="E105" s="15"/>
      <c r="F105" s="15"/>
      <c r="G105" s="15"/>
      <c r="H105" s="15"/>
    </row>
    <row r="107" customFormat="false" ht="15" hidden="false" customHeight="true" outlineLevel="0" collapsed="false">
      <c r="B107" s="105" t="s">
        <v>1507</v>
      </c>
    </row>
    <row r="108" customFormat="false" ht="17.25" hidden="false" customHeight="true" outlineLevel="0" collapsed="false">
      <c r="B108" s="106" t="s">
        <v>7435</v>
      </c>
      <c r="C108" s="106"/>
      <c r="D108" s="106"/>
      <c r="E108" s="106"/>
      <c r="F108" s="106"/>
      <c r="G108" s="106"/>
      <c r="H108" s="106"/>
      <c r="I108" s="106"/>
    </row>
    <row r="109" customFormat="false" ht="17.25" hidden="false" customHeight="true" outlineLevel="0" collapsed="false">
      <c r="B109" s="106" t="s">
        <v>7436</v>
      </c>
      <c r="C109" s="106"/>
      <c r="D109" s="106"/>
      <c r="E109" s="106"/>
      <c r="F109" s="106"/>
      <c r="G109" s="106"/>
      <c r="H109" s="106"/>
      <c r="I109" s="106"/>
    </row>
    <row r="110" customFormat="false" ht="17.25" hidden="false" customHeight="true" outlineLevel="0" collapsed="false">
      <c r="B110" s="106" t="s">
        <v>7437</v>
      </c>
      <c r="C110" s="106"/>
      <c r="D110" s="106"/>
      <c r="E110" s="106"/>
      <c r="F110" s="106"/>
      <c r="G110" s="106"/>
      <c r="H110" s="106"/>
      <c r="I110" s="106"/>
    </row>
    <row r="111" customFormat="false" ht="17.25" hidden="false" customHeight="true" outlineLevel="0" collapsed="false">
      <c r="B111" s="106" t="s">
        <v>7438</v>
      </c>
      <c r="C111" s="106"/>
      <c r="D111" s="106"/>
      <c r="E111" s="106"/>
      <c r="F111" s="106"/>
      <c r="G111" s="106"/>
      <c r="H111" s="106"/>
      <c r="I111" s="106"/>
    </row>
    <row r="112" customFormat="false" ht="17.25" hidden="false" customHeight="true" outlineLevel="0" collapsed="false">
      <c r="B112" s="106" t="s">
        <v>7439</v>
      </c>
      <c r="C112" s="106"/>
      <c r="D112" s="106"/>
      <c r="E112" s="106"/>
      <c r="F112" s="106"/>
      <c r="G112" s="106"/>
      <c r="H112" s="106"/>
      <c r="I112" s="106"/>
    </row>
    <row r="114" customFormat="false" ht="15.75" hidden="false" customHeight="true" outlineLevel="0" collapsed="false">
      <c r="B114" s="103" t="s">
        <v>1513</v>
      </c>
      <c r="C114" s="8"/>
      <c r="D114" s="8"/>
      <c r="E114" s="8"/>
      <c r="F114" s="8"/>
      <c r="G114" s="8"/>
      <c r="H114" s="8"/>
      <c r="I114" s="8"/>
      <c r="J114" s="8"/>
      <c r="K114" s="8"/>
    </row>
    <row r="115" customFormat="false" ht="31.5" hidden="false" customHeight="true" outlineLevel="0" collapsed="false">
      <c r="B115" s="106" t="s">
        <v>6712</v>
      </c>
      <c r="C115" s="106"/>
      <c r="D115" s="106"/>
      <c r="E115" s="106"/>
      <c r="F115" s="106"/>
      <c r="N115" s="169" t="s">
        <v>1515</v>
      </c>
    </row>
    <row r="116" customFormat="false" ht="44.25" hidden="false" customHeight="true" outlineLevel="0" collapsed="false">
      <c r="B116" s="106" t="s">
        <v>7440</v>
      </c>
      <c r="C116" s="106"/>
      <c r="D116" s="106"/>
      <c r="E116" s="106"/>
      <c r="F116" s="106"/>
      <c r="N116" s="120" t="s">
        <v>7441</v>
      </c>
    </row>
    <row r="117" customFormat="false" ht="44.25" hidden="false" customHeight="true" outlineLevel="0" collapsed="false">
      <c r="B117" s="106" t="s">
        <v>7442</v>
      </c>
      <c r="C117" s="106"/>
      <c r="D117" s="106"/>
      <c r="E117" s="106"/>
      <c r="F117" s="106"/>
      <c r="N117" s="120" t="s">
        <v>7443</v>
      </c>
    </row>
    <row r="118" customFormat="false" ht="44.25" hidden="false" customHeight="true" outlineLevel="0" collapsed="false">
      <c r="B118" s="106" t="s">
        <v>7444</v>
      </c>
      <c r="C118" s="106"/>
      <c r="D118" s="106"/>
      <c r="E118" s="106"/>
      <c r="F118" s="106"/>
      <c r="N118" s="120" t="s">
        <v>7445</v>
      </c>
    </row>
    <row r="120" customFormat="false" ht="15.75" hidden="false" customHeight="true" outlineLevel="0" collapsed="false">
      <c r="B120" s="103" t="s">
        <v>1522</v>
      </c>
      <c r="C120" s="8"/>
      <c r="D120" s="8"/>
      <c r="E120" s="8"/>
      <c r="F120" s="8"/>
      <c r="G120" s="8"/>
      <c r="H120" s="8"/>
      <c r="I120" s="8"/>
      <c r="J120" s="8"/>
      <c r="K120" s="8"/>
    </row>
    <row r="121" customFormat="false" ht="17.25" hidden="false" customHeight="true" outlineLevel="0" collapsed="false">
      <c r="B121" s="152" t="s">
        <v>1523</v>
      </c>
      <c r="C121" s="152" t="s">
        <v>1524</v>
      </c>
      <c r="D121" s="152" t="s">
        <v>6719</v>
      </c>
      <c r="E121" s="152"/>
      <c r="F121" s="152"/>
    </row>
    <row r="122" customFormat="false" ht="30.75" hidden="false" customHeight="true" outlineLevel="0" collapsed="false">
      <c r="B122" s="170" t="s">
        <v>6862</v>
      </c>
      <c r="C122" s="170" t="s">
        <v>6748</v>
      </c>
      <c r="D122" s="171" t="s">
        <v>1153</v>
      </c>
      <c r="E122" s="171"/>
      <c r="F122" s="171"/>
    </row>
  </sheetData>
  <mergeCells count="83">
    <mergeCell ref="B2:J2"/>
    <mergeCell ref="D3:H3"/>
    <mergeCell ref="C6:G6"/>
    <mergeCell ref="C7:G7"/>
    <mergeCell ref="C8:G8"/>
    <mergeCell ref="B11:I11"/>
    <mergeCell ref="B12:I14"/>
    <mergeCell ref="B15:I17"/>
    <mergeCell ref="B18:I19"/>
    <mergeCell ref="B20:I22"/>
    <mergeCell ref="B25:D25"/>
    <mergeCell ref="E25:I25"/>
    <mergeCell ref="B26:D26"/>
    <mergeCell ref="E26:I26"/>
    <mergeCell ref="B27:D27"/>
    <mergeCell ref="E27:I27"/>
    <mergeCell ref="B28:D28"/>
    <mergeCell ref="E28:I28"/>
    <mergeCell ref="B29:I29"/>
    <mergeCell ref="E31:G31"/>
    <mergeCell ref="E32:G32"/>
    <mergeCell ref="E33:G33"/>
    <mergeCell ref="E34:G34"/>
    <mergeCell ref="E35:G35"/>
    <mergeCell ref="B38:I40"/>
    <mergeCell ref="B42:I44"/>
    <mergeCell ref="B46:I46"/>
    <mergeCell ref="B48:I49"/>
    <mergeCell ref="D52:G52"/>
    <mergeCell ref="D53:G53"/>
    <mergeCell ref="D54:G54"/>
    <mergeCell ref="D55:G55"/>
    <mergeCell ref="D56:G56"/>
    <mergeCell ref="D57:G57"/>
    <mergeCell ref="B60:I62"/>
    <mergeCell ref="C63:E63"/>
    <mergeCell ref="B65:I65"/>
    <mergeCell ref="E66:G66"/>
    <mergeCell ref="E67:G67"/>
    <mergeCell ref="E68:G68"/>
    <mergeCell ref="E69:G69"/>
    <mergeCell ref="E70:G70"/>
    <mergeCell ref="E71:G71"/>
    <mergeCell ref="E72:G72"/>
    <mergeCell ref="E73:G73"/>
    <mergeCell ref="B75:I75"/>
    <mergeCell ref="H76:I76"/>
    <mergeCell ref="H77:I77"/>
    <mergeCell ref="H78:I78"/>
    <mergeCell ref="H79:I79"/>
    <mergeCell ref="H80:I80"/>
    <mergeCell ref="H81:I81"/>
    <mergeCell ref="H82:I82"/>
    <mergeCell ref="H83:I83"/>
    <mergeCell ref="H84:I84"/>
    <mergeCell ref="B86:I86"/>
    <mergeCell ref="E87:G87"/>
    <mergeCell ref="E88:G88"/>
    <mergeCell ref="E89:G89"/>
    <mergeCell ref="E90:G90"/>
    <mergeCell ref="E91:G91"/>
    <mergeCell ref="E92:G92"/>
    <mergeCell ref="E93:G93"/>
    <mergeCell ref="E94:G94"/>
    <mergeCell ref="E95:G95"/>
    <mergeCell ref="E96:G96"/>
    <mergeCell ref="C99:G99"/>
    <mergeCell ref="D101:H101"/>
    <mergeCell ref="D102:H102"/>
    <mergeCell ref="D103:H103"/>
    <mergeCell ref="D104:H104"/>
    <mergeCell ref="D105:H105"/>
    <mergeCell ref="B108:I108"/>
    <mergeCell ref="B109:I109"/>
    <mergeCell ref="B110:I110"/>
    <mergeCell ref="B111:I111"/>
    <mergeCell ref="B112:I112"/>
    <mergeCell ref="B115:F115"/>
    <mergeCell ref="B116:F116"/>
    <mergeCell ref="B117:F117"/>
    <mergeCell ref="B118:F118"/>
    <mergeCell ref="D121:F121"/>
    <mergeCell ref="D122:F122"/>
  </mergeCells>
  <hyperlinks>
    <hyperlink ref="B3" location="'N-03 Index DMAIC'!A1" display="← Back to Index"/>
    <hyperlink ref="E32" location="'L-11 OEE'!A1" display="L-11  Overall Equipment Effectiveness"/>
    <hyperlink ref="E33" location="'L-20 Heijunka'!A1" display="L-20  Heijunka (Level Loading)"/>
    <hyperlink ref="E34" location="'L-14 Standard Work'!A1" display="L-14  Standard Work"/>
    <hyperlink ref="E35" location="'L-11 OEE'!A1" display="L-11  Overall Equipment Effectiveness"/>
    <hyperlink ref="B122" location="'L-02 VSM Current State'!A1" display="L-02  VSM Current State"/>
    <hyperlink ref="C122" location="'L-08 Littles Law and WIP'!A1" display="L-08  Little's Law and WIP"/>
    <hyperlink ref="D122" location="'L-10 Line Balancing'!A1" display="L-10  Line Balancing and Yamazumi"/>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6"/>
    <col collapsed="false" customWidth="true" hidden="false" outlineLevel="0" max="4" min="4" style="1" width="20"/>
    <col collapsed="false" customWidth="true" hidden="false" outlineLevel="0" max="5" min="5" style="1" width="16"/>
    <col collapsed="false" customWidth="true" hidden="false" outlineLevel="0" max="6" min="6" style="1" width="42"/>
    <col collapsed="false" customWidth="true" hidden="false" outlineLevel="0" max="10" min="7"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7446</v>
      </c>
      <c r="C2" s="148"/>
      <c r="D2" s="148"/>
      <c r="E2" s="148"/>
      <c r="F2" s="148"/>
      <c r="G2" s="148"/>
      <c r="H2" s="148"/>
      <c r="I2" s="148"/>
      <c r="J2" s="148"/>
      <c r="K2" s="149" t="s">
        <v>2864</v>
      </c>
    </row>
    <row r="3" customFormat="false" ht="42" hidden="false" customHeight="true" outlineLevel="0" collapsed="false">
      <c r="B3" s="150" t="s">
        <v>3</v>
      </c>
      <c r="D3" s="151" t="s">
        <v>7447</v>
      </c>
      <c r="E3" s="151"/>
      <c r="F3" s="151"/>
      <c r="G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7448</v>
      </c>
      <c r="D6" s="106"/>
      <c r="E6" s="106"/>
      <c r="F6" s="106"/>
      <c r="G6" s="106"/>
    </row>
    <row r="7" customFormat="false" ht="31.5" hidden="false" customHeight="true" outlineLevel="0" collapsed="false">
      <c r="B7" s="105" t="s">
        <v>1394</v>
      </c>
      <c r="C7" s="106" t="s">
        <v>7449</v>
      </c>
      <c r="D7" s="106"/>
      <c r="E7" s="106"/>
      <c r="F7" s="106"/>
      <c r="G7" s="106"/>
    </row>
    <row r="8" customFormat="false" ht="17.25" hidden="false" customHeight="true" outlineLevel="0" collapsed="false">
      <c r="B8" s="105" t="s">
        <v>1396</v>
      </c>
      <c r="C8" s="106" t="s">
        <v>7450</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7451</v>
      </c>
      <c r="C11" s="106"/>
      <c r="D11" s="106"/>
      <c r="E11" s="106"/>
      <c r="F11" s="106"/>
      <c r="G11" s="106"/>
    </row>
    <row r="12" customFormat="false" ht="10.5" hidden="false" customHeight="true" outlineLevel="0" collapsed="false">
      <c r="B12" s="106"/>
      <c r="C12" s="106"/>
      <c r="D12" s="106"/>
      <c r="E12" s="106"/>
      <c r="F12" s="106"/>
      <c r="G12" s="106"/>
    </row>
    <row r="13" customFormat="false" ht="10.5" hidden="false" customHeight="true" outlineLevel="0" collapsed="false">
      <c r="B13" s="106"/>
      <c r="C13" s="106"/>
      <c r="D13" s="106"/>
      <c r="E13" s="106"/>
      <c r="F13" s="106"/>
      <c r="G13" s="106"/>
    </row>
    <row r="14" customFormat="false" ht="10.5" hidden="false" customHeight="true" outlineLevel="0" collapsed="false">
      <c r="B14" s="106" t="s">
        <v>7452</v>
      </c>
      <c r="C14" s="106"/>
      <c r="D14" s="106"/>
      <c r="E14" s="106"/>
      <c r="F14" s="106"/>
      <c r="G14" s="106"/>
    </row>
    <row r="15" customFormat="false" ht="10.5" hidden="false" customHeight="true" outlineLevel="0" collapsed="false">
      <c r="B15" s="106"/>
      <c r="C15" s="106"/>
      <c r="D15" s="106"/>
      <c r="E15" s="106"/>
      <c r="F15" s="106"/>
      <c r="G15" s="106"/>
    </row>
    <row r="16" customFormat="false" ht="10.5" hidden="false" customHeight="true" outlineLevel="0" collapsed="false">
      <c r="B16" s="106"/>
      <c r="C16" s="106"/>
      <c r="D16" s="106"/>
      <c r="E16" s="106"/>
      <c r="F16" s="106"/>
      <c r="G16" s="106"/>
    </row>
    <row r="17" customFormat="false" ht="11.25" hidden="false" customHeight="true" outlineLevel="0" collapsed="false">
      <c r="B17" s="106" t="s">
        <v>7453</v>
      </c>
      <c r="C17" s="106"/>
      <c r="D17" s="106"/>
      <c r="E17" s="106"/>
      <c r="F17" s="106"/>
      <c r="G17" s="106"/>
    </row>
    <row r="18" customFormat="false" ht="11.25" hidden="false" customHeight="true" outlineLevel="0" collapsed="false">
      <c r="B18" s="106"/>
      <c r="C18" s="106"/>
      <c r="D18" s="106"/>
      <c r="E18" s="106"/>
      <c r="F18" s="106"/>
      <c r="G18" s="106"/>
    </row>
    <row r="19" customFormat="false" ht="11.25" hidden="false" customHeight="true" outlineLevel="0" collapsed="false">
      <c r="B19" s="106"/>
      <c r="C19" s="106"/>
      <c r="D19" s="106"/>
      <c r="E19" s="106"/>
      <c r="F19" s="106"/>
      <c r="G19" s="106"/>
    </row>
    <row r="20" customFormat="false" ht="11.25" hidden="false" customHeight="true" outlineLevel="0" collapsed="false">
      <c r="B20" s="106"/>
      <c r="C20" s="106"/>
      <c r="D20" s="106"/>
      <c r="E20" s="106"/>
      <c r="F20" s="106"/>
      <c r="G20" s="106"/>
    </row>
    <row r="21" customFormat="false" ht="15.75" hidden="false" customHeight="true" outlineLevel="0" collapsed="false">
      <c r="B21" s="106" t="s">
        <v>7454</v>
      </c>
      <c r="C21" s="106"/>
      <c r="D21" s="106"/>
      <c r="E21" s="106"/>
      <c r="F21" s="106"/>
      <c r="G21" s="106"/>
    </row>
    <row r="22" customFormat="false" ht="15.75" hidden="false" customHeight="true" outlineLevel="0" collapsed="false">
      <c r="B22" s="106"/>
      <c r="C22" s="106"/>
      <c r="D22" s="106"/>
      <c r="E22" s="106"/>
      <c r="F22" s="106"/>
      <c r="G22" s="106"/>
    </row>
    <row r="24" customFormat="false" ht="15.75" hidden="false" customHeight="true" outlineLevel="0" collapsed="false">
      <c r="B24" s="103" t="s">
        <v>1406</v>
      </c>
      <c r="C24" s="8"/>
      <c r="D24" s="8"/>
      <c r="E24" s="8"/>
      <c r="F24" s="8"/>
      <c r="G24" s="8"/>
      <c r="H24" s="8"/>
      <c r="I24" s="8"/>
      <c r="J24" s="8"/>
      <c r="K24" s="8"/>
    </row>
    <row r="25" customFormat="false" ht="17.25" hidden="false" customHeight="true" outlineLevel="0" collapsed="false">
      <c r="B25" s="107" t="s">
        <v>1407</v>
      </c>
      <c r="C25" s="107"/>
      <c r="D25" s="107"/>
      <c r="E25" s="107" t="s">
        <v>1408</v>
      </c>
      <c r="F25" s="107"/>
      <c r="G25" s="107"/>
    </row>
    <row r="26" customFormat="false" ht="31.5" hidden="false" customHeight="true" outlineLevel="0" collapsed="false">
      <c r="B26" s="106" t="s">
        <v>7455</v>
      </c>
      <c r="C26" s="106"/>
      <c r="D26" s="106"/>
      <c r="E26" s="106" t="s">
        <v>7456</v>
      </c>
      <c r="F26" s="106"/>
      <c r="G26" s="106"/>
    </row>
    <row r="27" customFormat="false" ht="31.5" hidden="false" customHeight="true" outlineLevel="0" collapsed="false">
      <c r="B27" s="106" t="s">
        <v>7457</v>
      </c>
      <c r="C27" s="106"/>
      <c r="D27" s="106"/>
      <c r="E27" s="106" t="s">
        <v>7458</v>
      </c>
      <c r="F27" s="106"/>
      <c r="G27" s="106"/>
    </row>
    <row r="28" customFormat="false" ht="31.5" hidden="false" customHeight="true" outlineLevel="0" collapsed="false">
      <c r="B28" s="106" t="s">
        <v>7459</v>
      </c>
      <c r="C28" s="106"/>
      <c r="D28" s="106"/>
      <c r="E28" s="106" t="s">
        <v>7460</v>
      </c>
      <c r="F28" s="106"/>
      <c r="G28" s="106"/>
    </row>
    <row r="29" customFormat="false" ht="17.25" hidden="false" customHeight="true" outlineLevel="0" collapsed="false">
      <c r="B29" s="106" t="s">
        <v>7461</v>
      </c>
      <c r="C29" s="106"/>
      <c r="D29" s="106"/>
      <c r="E29" s="106"/>
      <c r="F29" s="106"/>
      <c r="G29" s="106"/>
    </row>
    <row r="31" customFormat="false" ht="30.75" hidden="false" customHeight="true" outlineLevel="0" collapsed="false">
      <c r="B31" s="152" t="s">
        <v>6621</v>
      </c>
      <c r="C31" s="152" t="s">
        <v>1417</v>
      </c>
      <c r="D31" s="152" t="s">
        <v>1418</v>
      </c>
      <c r="E31" s="152" t="s">
        <v>1419</v>
      </c>
      <c r="F31" s="152"/>
    </row>
    <row r="32" customFormat="false" ht="72" hidden="false" customHeight="true" outlineLevel="0" collapsed="false">
      <c r="B32" s="15" t="s">
        <v>7462</v>
      </c>
      <c r="C32" s="15" t="s">
        <v>7463</v>
      </c>
      <c r="D32" s="15" t="s">
        <v>7464</v>
      </c>
      <c r="E32" s="153" t="s">
        <v>7465</v>
      </c>
      <c r="F32" s="153"/>
    </row>
    <row r="33" customFormat="false" ht="72" hidden="false" customHeight="true" outlineLevel="0" collapsed="false">
      <c r="B33" s="15" t="s">
        <v>7466</v>
      </c>
      <c r="C33" s="15" t="s">
        <v>7467</v>
      </c>
      <c r="D33" s="15" t="s">
        <v>7468</v>
      </c>
      <c r="E33" s="153" t="s">
        <v>6862</v>
      </c>
      <c r="F33" s="153"/>
    </row>
    <row r="34" customFormat="false" ht="72" hidden="false" customHeight="true" outlineLevel="0" collapsed="false">
      <c r="B34" s="15" t="s">
        <v>7469</v>
      </c>
      <c r="C34" s="15" t="s">
        <v>7470</v>
      </c>
      <c r="D34" s="15" t="s">
        <v>7471</v>
      </c>
      <c r="E34" s="153" t="s">
        <v>1089</v>
      </c>
      <c r="F34" s="153"/>
    </row>
    <row r="35" customFormat="false" ht="72" hidden="false" customHeight="true" outlineLevel="0" collapsed="false">
      <c r="B35" s="15" t="s">
        <v>7472</v>
      </c>
      <c r="C35" s="15" t="s">
        <v>7473</v>
      </c>
      <c r="D35" s="15" t="s">
        <v>7474</v>
      </c>
      <c r="E35" s="153" t="s">
        <v>6632</v>
      </c>
      <c r="F35" s="153"/>
    </row>
    <row r="37" customFormat="false" ht="15.75" hidden="false" customHeight="true" outlineLevel="0" collapsed="false">
      <c r="B37" s="103" t="s">
        <v>1429</v>
      </c>
      <c r="C37" s="8"/>
      <c r="D37" s="8"/>
      <c r="E37" s="8"/>
      <c r="F37" s="8"/>
      <c r="G37" s="8"/>
      <c r="H37" s="8"/>
      <c r="I37" s="8"/>
      <c r="J37" s="8"/>
      <c r="K37" s="8"/>
    </row>
    <row r="38" customFormat="false" ht="16.5" hidden="false" customHeight="true" outlineLevel="0" collapsed="false">
      <c r="B38" s="122" t="s">
        <v>7475</v>
      </c>
    </row>
    <row r="39" customFormat="false" ht="17.25" hidden="false" customHeight="true" outlineLevel="0" collapsed="false">
      <c r="B39" s="106" t="s">
        <v>7476</v>
      </c>
      <c r="C39" s="106"/>
      <c r="D39" s="106"/>
      <c r="E39" s="106"/>
      <c r="F39" s="106"/>
      <c r="G39" s="106"/>
    </row>
    <row r="40" customFormat="false" ht="15" hidden="false" customHeight="true" outlineLevel="0" collapsed="false">
      <c r="B40" s="122"/>
    </row>
    <row r="41" customFormat="false" ht="17.25" hidden="false" customHeight="true" outlineLevel="0" collapsed="false">
      <c r="B41" s="106" t="s">
        <v>7477</v>
      </c>
      <c r="C41" s="106"/>
      <c r="D41" s="106"/>
      <c r="E41" s="106"/>
      <c r="F41" s="106"/>
      <c r="G41" s="106"/>
    </row>
    <row r="42" customFormat="false" ht="17.25" hidden="false" customHeight="true" outlineLevel="0" collapsed="false">
      <c r="B42" s="106" t="s">
        <v>7478</v>
      </c>
      <c r="C42" s="106"/>
      <c r="D42" s="106"/>
      <c r="E42" s="106"/>
      <c r="F42" s="106"/>
      <c r="G42" s="106"/>
    </row>
    <row r="43" customFormat="false" ht="17.25" hidden="false" customHeight="true" outlineLevel="0" collapsed="false">
      <c r="B43" s="106" t="s">
        <v>7479</v>
      </c>
      <c r="C43" s="106"/>
      <c r="D43" s="106"/>
      <c r="E43" s="106"/>
      <c r="F43" s="106"/>
      <c r="G43" s="106"/>
    </row>
    <row r="44" customFormat="false" ht="15" hidden="false" customHeight="true" outlineLevel="0" collapsed="false">
      <c r="B44" s="122"/>
    </row>
    <row r="45" customFormat="false" ht="17.25" hidden="false" customHeight="true" outlineLevel="0" collapsed="false">
      <c r="B45" s="106" t="s">
        <v>7480</v>
      </c>
      <c r="C45" s="106"/>
      <c r="D45" s="106"/>
      <c r="E45" s="106"/>
      <c r="F45" s="106"/>
      <c r="G45" s="106"/>
    </row>
    <row r="46" customFormat="false" ht="15" hidden="false" customHeight="true" outlineLevel="0" collapsed="false">
      <c r="B46" s="122"/>
    </row>
    <row r="47" customFormat="false" ht="17.25" hidden="false" customHeight="true" outlineLevel="0" collapsed="false">
      <c r="B47" s="106" t="s">
        <v>7481</v>
      </c>
      <c r="C47" s="106"/>
      <c r="D47" s="106"/>
      <c r="E47" s="106"/>
      <c r="F47" s="106"/>
      <c r="G47" s="106"/>
    </row>
    <row r="48" customFormat="false" ht="17.25" hidden="false" customHeight="true" outlineLevel="0" collapsed="false">
      <c r="B48" s="106" t="s">
        <v>7482</v>
      </c>
      <c r="C48" s="106"/>
      <c r="D48" s="106"/>
      <c r="E48" s="106"/>
      <c r="F48" s="106"/>
      <c r="G48" s="106"/>
    </row>
    <row r="50" customFormat="false" ht="15.75" hidden="false" customHeight="true" outlineLevel="0" collapsed="false">
      <c r="B50" s="103" t="s">
        <v>1437</v>
      </c>
      <c r="C50" s="8"/>
      <c r="D50" s="8"/>
      <c r="E50" s="8"/>
      <c r="F50" s="8"/>
      <c r="G50" s="8"/>
      <c r="H50" s="8"/>
      <c r="I50" s="8"/>
      <c r="J50" s="8"/>
      <c r="K50" s="8"/>
    </row>
    <row r="51" customFormat="false" ht="17.25" hidden="false" customHeight="true" outlineLevel="0" collapsed="false">
      <c r="B51" s="152" t="s">
        <v>1438</v>
      </c>
      <c r="C51" s="152" t="s">
        <v>1439</v>
      </c>
      <c r="D51" s="152" t="s">
        <v>1440</v>
      </c>
      <c r="E51" s="152"/>
    </row>
    <row r="52" customFormat="false" ht="31.5" hidden="false" customHeight="true" outlineLevel="0" collapsed="false">
      <c r="B52" s="15" t="s">
        <v>7483</v>
      </c>
      <c r="C52" s="15" t="s">
        <v>7484</v>
      </c>
      <c r="D52" s="15" t="s">
        <v>7485</v>
      </c>
      <c r="E52" s="15"/>
    </row>
    <row r="53" customFormat="false" ht="17.25" hidden="false" customHeight="true" outlineLevel="0" collapsed="false">
      <c r="B53" s="15" t="s">
        <v>1839</v>
      </c>
      <c r="C53" s="15" t="s">
        <v>6647</v>
      </c>
      <c r="D53" s="15" t="s">
        <v>7486</v>
      </c>
      <c r="E53" s="15"/>
    </row>
    <row r="54" customFormat="false" ht="44.25" hidden="false" customHeight="true" outlineLevel="0" collapsed="false">
      <c r="B54" s="15" t="s">
        <v>7487</v>
      </c>
      <c r="C54" s="15" t="s">
        <v>7488</v>
      </c>
      <c r="D54" s="15" t="s">
        <v>7489</v>
      </c>
      <c r="E54" s="15"/>
    </row>
    <row r="55" customFormat="false" ht="58.5" hidden="false" customHeight="true" outlineLevel="0" collapsed="false">
      <c r="B55" s="15" t="s">
        <v>3248</v>
      </c>
      <c r="C55" s="15" t="s">
        <v>7490</v>
      </c>
      <c r="D55" s="15" t="s">
        <v>7491</v>
      </c>
      <c r="E55" s="15"/>
    </row>
    <row r="57" customFormat="false" ht="15.75" hidden="false" customHeight="true" outlineLevel="0" collapsed="false">
      <c r="B57" s="103" t="s">
        <v>1454</v>
      </c>
      <c r="C57" s="8"/>
      <c r="D57" s="8"/>
      <c r="E57" s="8"/>
      <c r="F57" s="8"/>
      <c r="G57" s="8"/>
      <c r="H57" s="8"/>
      <c r="I57" s="8"/>
      <c r="J57" s="8"/>
      <c r="K57" s="8"/>
    </row>
    <row r="58" customFormat="false" ht="10.5" hidden="false" customHeight="true" outlineLevel="0" collapsed="false">
      <c r="B58" s="106" t="s">
        <v>7492</v>
      </c>
      <c r="C58" s="106"/>
      <c r="D58" s="106"/>
      <c r="E58" s="106"/>
      <c r="F58" s="106"/>
      <c r="G58" s="106"/>
    </row>
    <row r="59" customFormat="false" ht="10.5" hidden="false" customHeight="true" outlineLevel="0" collapsed="false">
      <c r="B59" s="106"/>
      <c r="C59" s="106"/>
      <c r="D59" s="106"/>
      <c r="E59" s="106"/>
      <c r="F59" s="106"/>
      <c r="G59" s="106"/>
    </row>
    <row r="60" customFormat="false" ht="10.5" hidden="false" customHeight="true" outlineLevel="0" collapsed="false">
      <c r="B60" s="106"/>
      <c r="C60" s="106"/>
      <c r="D60" s="106"/>
      <c r="E60" s="106"/>
      <c r="F60" s="106"/>
      <c r="G60" s="106"/>
    </row>
    <row r="61" customFormat="false" ht="17.25" hidden="false" customHeight="true" outlineLevel="0" collapsed="false">
      <c r="B61" s="112" t="s">
        <v>85</v>
      </c>
      <c r="C61" s="113" t="s">
        <v>86</v>
      </c>
      <c r="D61" s="113"/>
    </row>
    <row r="63" customFormat="false" ht="17.25" hidden="false" customHeight="true" outlineLevel="0" collapsed="false">
      <c r="B63" s="107" t="s">
        <v>7493</v>
      </c>
      <c r="C63" s="107"/>
      <c r="D63" s="107"/>
      <c r="E63" s="107"/>
      <c r="F63" s="107"/>
      <c r="G63" s="107"/>
    </row>
    <row r="64" customFormat="false" ht="17.25" hidden="false" customHeight="true" outlineLevel="0" collapsed="false">
      <c r="B64" s="152" t="s">
        <v>3526</v>
      </c>
      <c r="C64" s="152" t="s">
        <v>6654</v>
      </c>
      <c r="D64" s="152" t="s">
        <v>6575</v>
      </c>
      <c r="E64" s="152" t="s">
        <v>6655</v>
      </c>
      <c r="F64" s="152"/>
    </row>
    <row r="65" customFormat="false" ht="17.25" hidden="false" customHeight="true" outlineLevel="0" collapsed="false">
      <c r="B65" s="15" t="s">
        <v>7494</v>
      </c>
      <c r="C65" s="173" t="n">
        <v>45000</v>
      </c>
      <c r="D65" s="15" t="s">
        <v>6798</v>
      </c>
      <c r="E65" s="15" t="s">
        <v>7495</v>
      </c>
      <c r="F65" s="15"/>
    </row>
    <row r="66" customFormat="false" ht="17.25" hidden="false" customHeight="true" outlineLevel="0" collapsed="false">
      <c r="B66" s="15" t="s">
        <v>7496</v>
      </c>
      <c r="C66" s="173" t="n">
        <v>16400</v>
      </c>
      <c r="D66" s="15" t="s">
        <v>7389</v>
      </c>
      <c r="E66" s="15" t="s">
        <v>7497</v>
      </c>
      <c r="F66" s="15"/>
    </row>
    <row r="67" customFormat="false" ht="17.25" hidden="false" customHeight="true" outlineLevel="0" collapsed="false">
      <c r="B67" s="15" t="s">
        <v>7498</v>
      </c>
      <c r="C67" s="174" t="n">
        <f aca="false">IFERROR(C65/C66,0)</f>
        <v>2.74390243902439</v>
      </c>
      <c r="D67" s="15" t="s">
        <v>7499</v>
      </c>
      <c r="E67" s="15" t="s">
        <v>7500</v>
      </c>
      <c r="F67" s="15"/>
    </row>
    <row r="68" customFormat="false" ht="17.25" hidden="false" customHeight="true" outlineLevel="0" collapsed="false">
      <c r="B68" s="15" t="s">
        <v>7501</v>
      </c>
      <c r="C68" s="161" t="n">
        <f aca="false">C67*60</f>
        <v>164.634146341463</v>
      </c>
      <c r="D68" s="15" t="s">
        <v>6816</v>
      </c>
      <c r="E68" s="15" t="s">
        <v>7502</v>
      </c>
      <c r="F68" s="15"/>
    </row>
    <row r="70" customFormat="false" ht="17.25" hidden="false" customHeight="true" outlineLevel="0" collapsed="false">
      <c r="B70" s="107" t="s">
        <v>7503</v>
      </c>
      <c r="C70" s="107"/>
      <c r="D70" s="107"/>
      <c r="E70" s="107"/>
      <c r="F70" s="107"/>
      <c r="G70" s="107"/>
    </row>
    <row r="71" customFormat="false" ht="16.5" hidden="false" customHeight="true" outlineLevel="0" collapsed="false">
      <c r="B71" s="152" t="s">
        <v>7504</v>
      </c>
      <c r="C71" s="152" t="s">
        <v>7505</v>
      </c>
      <c r="D71" s="152" t="s">
        <v>7506</v>
      </c>
      <c r="E71" s="152" t="s">
        <v>6690</v>
      </c>
      <c r="F71" s="152" t="s">
        <v>6575</v>
      </c>
    </row>
    <row r="72" customFormat="false" ht="30.75" hidden="false" customHeight="true" outlineLevel="0" collapsed="false">
      <c r="B72" s="15" t="s">
        <v>7507</v>
      </c>
      <c r="C72" s="15" t="s">
        <v>503</v>
      </c>
      <c r="D72" s="15" t="s">
        <v>7508</v>
      </c>
      <c r="E72" s="174" t="n">
        <f aca="false">IFERROR($C$65/$C$66,0)</f>
        <v>2.74390243902439</v>
      </c>
      <c r="F72" s="15" t="s">
        <v>7499</v>
      </c>
    </row>
    <row r="73" customFormat="false" ht="30.75" hidden="false" customHeight="true" outlineLevel="0" collapsed="false">
      <c r="B73" s="15" t="s">
        <v>7509</v>
      </c>
      <c r="C73" s="15" t="s">
        <v>7510</v>
      </c>
      <c r="D73" s="15" t="s">
        <v>7511</v>
      </c>
      <c r="E73" s="156" t="n">
        <v>0.5</v>
      </c>
      <c r="F73" s="15" t="s">
        <v>7512</v>
      </c>
    </row>
    <row r="74" customFormat="false" ht="16.5" hidden="false" customHeight="true" outlineLevel="0" collapsed="false">
      <c r="B74" s="15"/>
      <c r="C74" s="15"/>
      <c r="D74" s="15"/>
      <c r="E74" s="159" t="n">
        <f aca="false">IFERROR(E73*$C$66,0)</f>
        <v>8200</v>
      </c>
      <c r="F74" s="15" t="s">
        <v>7513</v>
      </c>
    </row>
    <row r="75" customFormat="false" ht="30.75" hidden="false" customHeight="true" outlineLevel="0" collapsed="false">
      <c r="B75" s="15" t="s">
        <v>7514</v>
      </c>
      <c r="C75" s="15" t="s">
        <v>7515</v>
      </c>
      <c r="D75" s="15" t="s">
        <v>7516</v>
      </c>
      <c r="E75" s="159" t="n">
        <f aca="false">IFERROR($C$65/E73,0)</f>
        <v>90000</v>
      </c>
      <c r="F75" s="15" t="s">
        <v>7389</v>
      </c>
    </row>
    <row r="77" customFormat="false" ht="17.25" hidden="false" customHeight="true" outlineLevel="0" collapsed="false">
      <c r="B77" s="107" t="s">
        <v>7517</v>
      </c>
      <c r="C77" s="107"/>
      <c r="D77" s="107"/>
      <c r="E77" s="107"/>
      <c r="F77" s="107"/>
      <c r="G77" s="107"/>
    </row>
    <row r="78" customFormat="false" ht="30.75" hidden="false" customHeight="true" outlineLevel="0" collapsed="false">
      <c r="B78" s="152" t="s">
        <v>7518</v>
      </c>
      <c r="C78" s="152" t="s">
        <v>7519</v>
      </c>
      <c r="D78" s="152" t="s">
        <v>7520</v>
      </c>
      <c r="E78" s="152" t="s">
        <v>7521</v>
      </c>
      <c r="F78" s="152" t="s">
        <v>7522</v>
      </c>
    </row>
    <row r="79" customFormat="false" ht="16.5" hidden="false" customHeight="true" outlineLevel="0" collapsed="false">
      <c r="B79" s="15" t="s">
        <v>7523</v>
      </c>
      <c r="C79" s="173" t="n">
        <v>9000</v>
      </c>
      <c r="D79" s="158" t="n">
        <f aca="false">IFERROR(C79/$C$66*60,0)</f>
        <v>32.9268292682927</v>
      </c>
      <c r="E79" s="160" t="n">
        <f aca="false">IFERROR(C79/$C$65,0)</f>
        <v>0.2</v>
      </c>
      <c r="F79" s="167" t="str">
        <f aca="false">IF(IFERROR(C79/$C$66*60,0)&lt;2,"Too small — a short stop propagates immediately",IF(IFERROR(C79/$C$66*60,0)&gt;20,"Oversized — this buffer is hiding a problem","Reasonable"))</f>
        <v>Oversized — this buffer is hiding a problem</v>
      </c>
    </row>
    <row r="80" customFormat="false" ht="16.5" hidden="false" customHeight="true" outlineLevel="0" collapsed="false">
      <c r="B80" s="15" t="s">
        <v>7524</v>
      </c>
      <c r="C80" s="173" t="n">
        <v>3500</v>
      </c>
      <c r="D80" s="158" t="n">
        <f aca="false">IFERROR(C80/$C$66*60,0)</f>
        <v>12.8048780487805</v>
      </c>
      <c r="E80" s="160" t="n">
        <f aca="false">IFERROR(C80/$C$65,0)</f>
        <v>0.0777777777777778</v>
      </c>
      <c r="F80" s="167" t="str">
        <f aca="false">IF(IFERROR(C80/$C$66*60,0)&lt;2,"Too small — a short stop propagates immediately",IF(IFERROR(C80/$C$66*60,0)&gt;20,"Oversized — this buffer is hiding a problem","Reasonable"))</f>
        <v>Reasonable</v>
      </c>
    </row>
    <row r="81" customFormat="false" ht="16.5" hidden="false" customHeight="true" outlineLevel="0" collapsed="false">
      <c r="B81" s="15" t="s">
        <v>7525</v>
      </c>
      <c r="C81" s="173" t="n">
        <v>1800</v>
      </c>
      <c r="D81" s="158" t="n">
        <f aca="false">IFERROR(C81/$C$66*60,0)</f>
        <v>6.58536585365854</v>
      </c>
      <c r="E81" s="160" t="n">
        <f aca="false">IFERROR(C81/$C$65,0)</f>
        <v>0.04</v>
      </c>
      <c r="F81" s="167" t="str">
        <f aca="false">IF(IFERROR(C81/$C$66*60,0)&lt;2,"Too small — a short stop propagates immediately",IF(IFERROR(C81/$C$66*60,0)&gt;20,"Oversized — this buffer is hiding a problem","Reasonable"))</f>
        <v>Reasonable</v>
      </c>
    </row>
    <row r="82" customFormat="false" ht="16.5" hidden="false" customHeight="true" outlineLevel="0" collapsed="false">
      <c r="B82" s="15" t="s">
        <v>7526</v>
      </c>
      <c r="C82" s="173" t="n">
        <v>12000</v>
      </c>
      <c r="D82" s="158" t="n">
        <f aca="false">IFERROR(C82/$C$66*60,0)</f>
        <v>43.9024390243902</v>
      </c>
      <c r="E82" s="160" t="n">
        <f aca="false">IFERROR(C82/$C$65,0)</f>
        <v>0.266666666666667</v>
      </c>
      <c r="F82" s="167" t="str">
        <f aca="false">IF(IFERROR(C82/$C$66*60,0)&lt;2,"Too small — a short stop propagates immediately",IF(IFERROR(C82/$C$66*60,0)&gt;20,"Oversized — this buffer is hiding a problem","Reasonable"))</f>
        <v>Oversized — this buffer is hiding a problem</v>
      </c>
    </row>
    <row r="83" customFormat="false" ht="16.5" hidden="false" customHeight="true" outlineLevel="0" collapsed="false">
      <c r="B83" s="15" t="s">
        <v>7527</v>
      </c>
      <c r="C83" s="173" t="n">
        <v>2400</v>
      </c>
      <c r="D83" s="158" t="n">
        <f aca="false">IFERROR(C83/$C$66*60,0)</f>
        <v>8.78048780487805</v>
      </c>
      <c r="E83" s="160" t="n">
        <f aca="false">IFERROR(C83/$C$65,0)</f>
        <v>0.0533333333333333</v>
      </c>
      <c r="F83" s="167" t="str">
        <f aca="false">IF(IFERROR(C83/$C$66*60,0)&lt;2,"Too small — a short stop propagates immediately",IF(IFERROR(C83/$C$66*60,0)&gt;20,"Oversized — this buffer is hiding a problem","Reasonable"))</f>
        <v>Reasonable</v>
      </c>
    </row>
    <row r="84" customFormat="false" ht="16.5" hidden="false" customHeight="true" outlineLevel="0" collapsed="false">
      <c r="B84" s="15" t="s">
        <v>7528</v>
      </c>
      <c r="C84" s="173" t="n">
        <v>900</v>
      </c>
      <c r="D84" s="158" t="n">
        <f aca="false">IFERROR(C84/$C$66*60,0)</f>
        <v>3.29268292682927</v>
      </c>
      <c r="E84" s="160" t="n">
        <f aca="false">IFERROR(C84/$C$65,0)</f>
        <v>0.02</v>
      </c>
      <c r="F84" s="167" t="str">
        <f aca="false">IF(IFERROR(C84/$C$66*60,0)&lt;2,"Too small — a short stop propagates immediately",IF(IFERROR(C84/$C$66*60,0)&gt;20,"Oversized — this buffer is hiding a problem","Reasonable"))</f>
        <v>Reasonable</v>
      </c>
    </row>
    <row r="85" customFormat="false" ht="16.5" hidden="false" customHeight="true" outlineLevel="0" collapsed="false">
      <c r="B85" s="15" t="s">
        <v>7529</v>
      </c>
      <c r="C85" s="173" t="n">
        <v>15400</v>
      </c>
      <c r="D85" s="158" t="n">
        <f aca="false">IFERROR(C85/$C$66*60,0)</f>
        <v>56.3414634146341</v>
      </c>
      <c r="E85" s="160" t="n">
        <f aca="false">IFERROR(C85/$C$65,0)</f>
        <v>0.342222222222222</v>
      </c>
      <c r="F85" s="167" t="str">
        <f aca="false">IF(IFERROR(C85/$C$66*60,0)&lt;2,"Too small — a short stop propagates immediately",IF(IFERROR(C85/$C$66*60,0)&gt;20,"Oversized — this buffer is hiding a problem","Reasonable"))</f>
        <v>Oversized — this buffer is hiding a problem</v>
      </c>
    </row>
    <row r="87" customFormat="false" ht="17.25" hidden="false" customHeight="true" outlineLevel="0" collapsed="false">
      <c r="B87" s="152" t="s">
        <v>6689</v>
      </c>
      <c r="C87" s="152" t="s">
        <v>6654</v>
      </c>
      <c r="D87" s="152" t="s">
        <v>6575</v>
      </c>
      <c r="E87" s="152" t="s">
        <v>88</v>
      </c>
      <c r="F87" s="152"/>
    </row>
    <row r="88" customFormat="false" ht="17.25" hidden="false" customHeight="true" outlineLevel="0" collapsed="false">
      <c r="B88" s="15" t="s">
        <v>7530</v>
      </c>
      <c r="C88" s="159" t="n">
        <f aca="false">SUM(C79:C85)</f>
        <v>45000</v>
      </c>
      <c r="D88" s="15" t="s">
        <v>6798</v>
      </c>
      <c r="E88" s="15" t="s">
        <v>7531</v>
      </c>
      <c r="F88" s="15"/>
    </row>
    <row r="89" customFormat="false" ht="17.25" hidden="false" customHeight="true" outlineLevel="0" collapsed="false">
      <c r="B89" s="15" t="s">
        <v>7532</v>
      </c>
      <c r="C89" s="158" t="n">
        <f aca="false">IFERROR(C88/$C$66*60,0)</f>
        <v>164.634146341463</v>
      </c>
      <c r="D89" s="15" t="s">
        <v>6816</v>
      </c>
      <c r="E89" s="15" t="s">
        <v>7533</v>
      </c>
      <c r="F89" s="15"/>
    </row>
    <row r="90" customFormat="false" ht="17.25" hidden="false" customHeight="true" outlineLevel="0" collapsed="false">
      <c r="B90" s="15" t="s">
        <v>7534</v>
      </c>
      <c r="C90" s="159" t="n">
        <f aca="false">MAX(C79:C85)</f>
        <v>15400</v>
      </c>
      <c r="D90" s="15" t="s">
        <v>6798</v>
      </c>
      <c r="E90" s="15" t="s">
        <v>7535</v>
      </c>
      <c r="F90" s="15"/>
    </row>
    <row r="91" customFormat="false" ht="30.75" hidden="false" customHeight="true" outlineLevel="0" collapsed="false">
      <c r="B91" s="15" t="s">
        <v>7536</v>
      </c>
      <c r="C91" s="167" t="str">
        <f aca="false">INDEX(B79:B85,MATCH(MAX(C79:C85),C79:C85,0))</f>
        <v>Wrapper to warehouse staging</v>
      </c>
      <c r="D91" s="15"/>
      <c r="E91" s="15" t="s">
        <v>7537</v>
      </c>
      <c r="F91" s="15"/>
    </row>
    <row r="92" customFormat="false" ht="17.25" hidden="false" customHeight="true" outlineLevel="0" collapsed="false">
      <c r="B92" s="15" t="s">
        <v>7538</v>
      </c>
      <c r="C92" s="161" t="n">
        <f aca="false">IFERROR($C$65/2/$C$66*60,0)</f>
        <v>82.3170731707317</v>
      </c>
      <c r="D92" s="15" t="s">
        <v>6816</v>
      </c>
      <c r="E92" s="15" t="s">
        <v>7539</v>
      </c>
      <c r="F92" s="15"/>
    </row>
    <row r="94" customFormat="false" ht="15.75" hidden="false" customHeight="true" outlineLevel="0" collapsed="false">
      <c r="B94" s="103" t="s">
        <v>1493</v>
      </c>
      <c r="C94" s="8"/>
      <c r="D94" s="8"/>
      <c r="E94" s="8"/>
      <c r="F94" s="8"/>
      <c r="G94" s="8"/>
      <c r="H94" s="8"/>
      <c r="I94" s="8"/>
      <c r="J94" s="8"/>
      <c r="K94" s="8"/>
    </row>
    <row r="95" customFormat="false" ht="65.25" hidden="false" customHeight="true" outlineLevel="0" collapsed="false">
      <c r="B95" s="105" t="s">
        <v>1494</v>
      </c>
      <c r="C95" s="168" t="str">
        <f aca="false">"With "&amp;TEXT($C$65,"#,##0")&amp;" bottles in process and a throughput of "&amp;TEXT($C$66,"#,##0")&amp;" bottles/h, lead time is "&amp;TEXT($C$67*60,"0")&amp;" min. Halving WIP would take it to "&amp;TEXT(C92,"0")&amp;" min at the same throughput. "&amp;"The largest buffer is "&amp;INDEX(B79:B85,MATCH(MAX(C79:C85),C79:C85,0))&amp;" holding "&amp;TEXT(MAX(C79:C85),"#,##0")&amp;" bottles. "&amp;IF(IFERROR(MAX(C79:C85)/$C$66*60,0)&gt;20,"That buffer protects more than 20 minutes of production, which means it is compensating for a reliability problem rather than for flow: fix the stops (L-16) before shrinking it.","Buffer sizes look proportionate to the stop profile.")</f>
        <v>With 45,000 bottles in process and a throughput of 16,400 bottles/h, lead time is 165 min. Halving WIP would take it to 82 min at the same throughput. The largest buffer is Wrapper to warehouse staging holding 15,400 bottles. That buffer protects more than 20 minutes of production, which means it is compensating for a reliability problem rather than for flow: fix the stops (L-16) before shrinking it.</v>
      </c>
      <c r="D95" s="168"/>
      <c r="E95" s="168"/>
      <c r="F95" s="168"/>
      <c r="G95" s="168"/>
    </row>
    <row r="97" customFormat="false" ht="17.25" hidden="false" customHeight="true" outlineLevel="0" collapsed="false">
      <c r="B97" s="152" t="s">
        <v>1495</v>
      </c>
      <c r="C97" s="152" t="s">
        <v>1496</v>
      </c>
      <c r="D97" s="152" t="s">
        <v>1497</v>
      </c>
      <c r="E97" s="152"/>
      <c r="F97" s="152"/>
    </row>
    <row r="98" customFormat="false" ht="31.5" hidden="false" customHeight="true" outlineLevel="0" collapsed="false">
      <c r="B98" s="15" t="s">
        <v>7540</v>
      </c>
      <c r="C98" s="15" t="s">
        <v>7541</v>
      </c>
      <c r="D98" s="15" t="s">
        <v>7542</v>
      </c>
      <c r="E98" s="15"/>
      <c r="F98" s="15"/>
    </row>
    <row r="99" customFormat="false" ht="30.75" hidden="false" customHeight="true" outlineLevel="0" collapsed="false">
      <c r="B99" s="15" t="s">
        <v>7543</v>
      </c>
      <c r="C99" s="15" t="s">
        <v>7544</v>
      </c>
      <c r="D99" s="15" t="s">
        <v>7545</v>
      </c>
      <c r="E99" s="15"/>
      <c r="F99" s="15"/>
    </row>
    <row r="100" customFormat="false" ht="44.25" hidden="false" customHeight="true" outlineLevel="0" collapsed="false">
      <c r="B100" s="15" t="s">
        <v>7546</v>
      </c>
      <c r="C100" s="15" t="s">
        <v>7547</v>
      </c>
      <c r="D100" s="15" t="s">
        <v>7548</v>
      </c>
      <c r="E100" s="15"/>
      <c r="F100" s="15"/>
    </row>
    <row r="101" customFormat="false" ht="44.25" hidden="false" customHeight="true" outlineLevel="0" collapsed="false">
      <c r="B101" s="15" t="s">
        <v>7549</v>
      </c>
      <c r="C101" s="15" t="s">
        <v>7550</v>
      </c>
      <c r="D101" s="15" t="s">
        <v>7551</v>
      </c>
      <c r="E101" s="15"/>
      <c r="F101" s="15"/>
    </row>
    <row r="103" customFormat="false" ht="15" hidden="false" customHeight="true" outlineLevel="0" collapsed="false">
      <c r="B103" s="105" t="s">
        <v>1507</v>
      </c>
    </row>
    <row r="104" customFormat="false" ht="17.25" hidden="false" customHeight="true" outlineLevel="0" collapsed="false">
      <c r="B104" s="106" t="s">
        <v>7552</v>
      </c>
      <c r="C104" s="106"/>
      <c r="D104" s="106"/>
      <c r="E104" s="106"/>
      <c r="F104" s="106"/>
      <c r="G104" s="106"/>
    </row>
    <row r="105" customFormat="false" ht="17.25" hidden="false" customHeight="true" outlineLevel="0" collapsed="false">
      <c r="B105" s="106" t="s">
        <v>7553</v>
      </c>
      <c r="C105" s="106"/>
      <c r="D105" s="106"/>
      <c r="E105" s="106"/>
      <c r="F105" s="106"/>
      <c r="G105" s="106"/>
    </row>
    <row r="106" customFormat="false" ht="17.25" hidden="false" customHeight="true" outlineLevel="0" collapsed="false">
      <c r="B106" s="106" t="s">
        <v>7554</v>
      </c>
      <c r="C106" s="106"/>
      <c r="D106" s="106"/>
      <c r="E106" s="106"/>
      <c r="F106" s="106"/>
      <c r="G106" s="106"/>
    </row>
    <row r="107" customFormat="false" ht="17.25" hidden="false" customHeight="true" outlineLevel="0" collapsed="false">
      <c r="B107" s="106" t="s">
        <v>7555</v>
      </c>
      <c r="C107" s="106"/>
      <c r="D107" s="106"/>
      <c r="E107" s="106"/>
      <c r="F107" s="106"/>
      <c r="G107" s="106"/>
    </row>
    <row r="108" customFormat="false" ht="17.25" hidden="false" customHeight="true" outlineLevel="0" collapsed="false">
      <c r="B108" s="106" t="s">
        <v>7556</v>
      </c>
      <c r="C108" s="106"/>
      <c r="D108" s="106"/>
      <c r="E108" s="106"/>
      <c r="F108" s="106"/>
      <c r="G108" s="106"/>
    </row>
    <row r="110" customFormat="false" ht="15.75" hidden="false" customHeight="true" outlineLevel="0" collapsed="false">
      <c r="B110" s="103" t="s">
        <v>1513</v>
      </c>
      <c r="C110" s="8"/>
      <c r="D110" s="8"/>
      <c r="E110" s="8"/>
      <c r="F110" s="8"/>
      <c r="G110" s="8"/>
      <c r="H110" s="8"/>
      <c r="I110" s="8"/>
      <c r="J110" s="8"/>
      <c r="K110" s="8"/>
    </row>
    <row r="111" customFormat="false" ht="17.25" hidden="false" customHeight="true" outlineLevel="0" collapsed="false">
      <c r="B111" s="106" t="s">
        <v>6712</v>
      </c>
      <c r="C111" s="106"/>
      <c r="D111" s="106"/>
      <c r="E111" s="106"/>
      <c r="F111" s="106"/>
      <c r="N111" s="169" t="s">
        <v>1515</v>
      </c>
    </row>
    <row r="112" customFormat="false" ht="30.75" hidden="false" customHeight="true" outlineLevel="0" collapsed="false">
      <c r="B112" s="106" t="s">
        <v>7557</v>
      </c>
      <c r="C112" s="106"/>
      <c r="D112" s="106"/>
      <c r="E112" s="106"/>
      <c r="F112" s="106"/>
      <c r="N112" s="120" t="s">
        <v>7558</v>
      </c>
    </row>
    <row r="113" customFormat="false" ht="44.25" hidden="false" customHeight="true" outlineLevel="0" collapsed="false">
      <c r="B113" s="106" t="s">
        <v>7559</v>
      </c>
      <c r="C113" s="106"/>
      <c r="D113" s="106"/>
      <c r="E113" s="106"/>
      <c r="F113" s="106"/>
      <c r="N113" s="120" t="s">
        <v>7560</v>
      </c>
    </row>
    <row r="114" customFormat="false" ht="44.25" hidden="false" customHeight="true" outlineLevel="0" collapsed="false">
      <c r="B114" s="106" t="s">
        <v>7561</v>
      </c>
      <c r="C114" s="106"/>
      <c r="D114" s="106"/>
      <c r="E114" s="106"/>
      <c r="F114" s="106"/>
      <c r="N114" s="120" t="s">
        <v>7562</v>
      </c>
    </row>
    <row r="116" customFormat="false" ht="15.75" hidden="false" customHeight="true" outlineLevel="0" collapsed="false">
      <c r="B116" s="103" t="s">
        <v>1522</v>
      </c>
      <c r="C116" s="8"/>
      <c r="D116" s="8"/>
      <c r="E116" s="8"/>
      <c r="F116" s="8"/>
      <c r="G116" s="8"/>
      <c r="H116" s="8"/>
      <c r="I116" s="8"/>
      <c r="J116" s="8"/>
      <c r="K116" s="8"/>
    </row>
    <row r="117" customFormat="false" ht="30.75" hidden="false" customHeight="true" outlineLevel="0" collapsed="false">
      <c r="B117" s="152" t="s">
        <v>1523</v>
      </c>
      <c r="C117" s="152" t="s">
        <v>1524</v>
      </c>
      <c r="D117" s="152" t="s">
        <v>6719</v>
      </c>
    </row>
    <row r="118" customFormat="false" ht="30.75" hidden="false" customHeight="true" outlineLevel="0" collapsed="false">
      <c r="B118" s="170" t="s">
        <v>6752</v>
      </c>
      <c r="C118" s="170" t="s">
        <v>6866</v>
      </c>
      <c r="D118" s="170" t="s">
        <v>1157</v>
      </c>
    </row>
  </sheetData>
  <mergeCells count="66">
    <mergeCell ref="B2:J2"/>
    <mergeCell ref="D3:G3"/>
    <mergeCell ref="C6:G6"/>
    <mergeCell ref="C7:G7"/>
    <mergeCell ref="C8:G8"/>
    <mergeCell ref="B11:G13"/>
    <mergeCell ref="B14:G16"/>
    <mergeCell ref="B17:G20"/>
    <mergeCell ref="B21:G22"/>
    <mergeCell ref="B25:D25"/>
    <mergeCell ref="E25:G25"/>
    <mergeCell ref="B26:D26"/>
    <mergeCell ref="E26:G26"/>
    <mergeCell ref="B27:D27"/>
    <mergeCell ref="E27:G27"/>
    <mergeCell ref="B28:D28"/>
    <mergeCell ref="E28:G28"/>
    <mergeCell ref="B29:G29"/>
    <mergeCell ref="E31:F31"/>
    <mergeCell ref="E32:F32"/>
    <mergeCell ref="E33:F33"/>
    <mergeCell ref="E34:F34"/>
    <mergeCell ref="E35:F35"/>
    <mergeCell ref="B39:G39"/>
    <mergeCell ref="B41:G41"/>
    <mergeCell ref="B42:G42"/>
    <mergeCell ref="B43:G43"/>
    <mergeCell ref="B45:G45"/>
    <mergeCell ref="B47:G47"/>
    <mergeCell ref="B48:G48"/>
    <mergeCell ref="D51:E51"/>
    <mergeCell ref="D52:E52"/>
    <mergeCell ref="D53:E53"/>
    <mergeCell ref="D54:E54"/>
    <mergeCell ref="D55:E55"/>
    <mergeCell ref="B58:G60"/>
    <mergeCell ref="C61:D61"/>
    <mergeCell ref="B63:G63"/>
    <mergeCell ref="E64:F64"/>
    <mergeCell ref="E65:F65"/>
    <mergeCell ref="E66:F66"/>
    <mergeCell ref="E67:F67"/>
    <mergeCell ref="E68:F68"/>
    <mergeCell ref="B70:G70"/>
    <mergeCell ref="B77:G77"/>
    <mergeCell ref="E87:F87"/>
    <mergeCell ref="E88:F88"/>
    <mergeCell ref="E89:F89"/>
    <mergeCell ref="E90:F90"/>
    <mergeCell ref="E91:F91"/>
    <mergeCell ref="E92:F92"/>
    <mergeCell ref="C95:G95"/>
    <mergeCell ref="D97:F97"/>
    <mergeCell ref="D98:F98"/>
    <mergeCell ref="D99:F99"/>
    <mergeCell ref="D100:F100"/>
    <mergeCell ref="D101:F101"/>
    <mergeCell ref="B104:G104"/>
    <mergeCell ref="B105:G105"/>
    <mergeCell ref="B106:G106"/>
    <mergeCell ref="B107:G107"/>
    <mergeCell ref="B108:G108"/>
    <mergeCell ref="B111:F111"/>
    <mergeCell ref="B112:F112"/>
    <mergeCell ref="B113:F113"/>
    <mergeCell ref="B114:F114"/>
  </mergeCells>
  <hyperlinks>
    <hyperlink ref="B3" location="'N-03 Index DMAIC'!A1" display="← Back to Index"/>
    <hyperlink ref="E32" location="'E-47 Common vs Special Cause'!A1" display="E-47  Common vs Special Cause"/>
    <hyperlink ref="E33" location="'L-02 VSM Current State'!A1" display="L-02  VSM Current State"/>
    <hyperlink ref="E34" location="'L-11 OEE'!A1" display="L-11  Overall Equipment Effectiveness"/>
    <hyperlink ref="E35" location="'H-05 Check Sheets'!A1" display="H-05  Check Sheets"/>
    <hyperlink ref="B118" location="'L-07 Takt Cycle Lead Time'!A1" display="L-07  Takt, Cycle and Lead Time"/>
    <hyperlink ref="C118" location="'L-09 Theory of Constraints'!A1" display="L-09  Theory of Constraints"/>
    <hyperlink ref="D118" location="'L-19 Kanban Pull Systems'!A1" display="L-19  Pull Systems and Kanb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8"/>
    <col collapsed="false" customWidth="true" hidden="false" outlineLevel="0" max="4" min="4" style="1" width="15"/>
    <col collapsed="false" customWidth="true" hidden="false" outlineLevel="0" max="6" min="5" style="1" width="18"/>
    <col collapsed="false" customWidth="true" hidden="false" outlineLevel="0" max="7" min="7" style="1" width="20"/>
    <col collapsed="false" customWidth="true" hidden="false" outlineLevel="0" max="10" min="8"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7563</v>
      </c>
      <c r="C2" s="148"/>
      <c r="D2" s="148"/>
      <c r="E2" s="148"/>
      <c r="F2" s="148"/>
      <c r="G2" s="148"/>
      <c r="H2" s="148"/>
      <c r="I2" s="148"/>
      <c r="J2" s="148"/>
      <c r="K2" s="149" t="s">
        <v>2864</v>
      </c>
    </row>
    <row r="3" customFormat="false" ht="42" hidden="false" customHeight="true" outlineLevel="0" collapsed="false">
      <c r="B3" s="150" t="s">
        <v>3</v>
      </c>
      <c r="D3" s="151" t="s">
        <v>7564</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7565</v>
      </c>
      <c r="D6" s="106"/>
      <c r="E6" s="106"/>
      <c r="F6" s="106"/>
      <c r="G6" s="106"/>
    </row>
    <row r="7" customFormat="false" ht="31.5" hidden="false" customHeight="true" outlineLevel="0" collapsed="false">
      <c r="B7" s="105" t="s">
        <v>1394</v>
      </c>
      <c r="C7" s="106" t="s">
        <v>7566</v>
      </c>
      <c r="D7" s="106"/>
      <c r="E7" s="106"/>
      <c r="F7" s="106"/>
      <c r="G7" s="106"/>
    </row>
    <row r="8" customFormat="false" ht="31.5" hidden="false" customHeight="true" outlineLevel="0" collapsed="false">
      <c r="B8" s="105" t="s">
        <v>1396</v>
      </c>
      <c r="C8" s="106" t="s">
        <v>7567</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7568</v>
      </c>
      <c r="C11" s="106"/>
      <c r="D11" s="106"/>
      <c r="E11" s="106"/>
      <c r="F11" s="106"/>
      <c r="G11" s="106"/>
      <c r="H11" s="106"/>
      <c r="I11" s="106"/>
      <c r="J11" s="106"/>
    </row>
    <row r="12" customFormat="false" ht="10.5" hidden="false" customHeight="true" outlineLevel="0" collapsed="false">
      <c r="B12" s="106"/>
      <c r="C12" s="106"/>
      <c r="D12" s="106"/>
      <c r="E12" s="106"/>
      <c r="F12" s="106"/>
      <c r="G12" s="106"/>
      <c r="H12" s="106"/>
      <c r="I12" s="106"/>
      <c r="J12" s="106"/>
    </row>
    <row r="13" customFormat="false" ht="10.5" hidden="false" customHeight="true" outlineLevel="0" collapsed="false">
      <c r="B13" s="106"/>
      <c r="C13" s="106"/>
      <c r="D13" s="106"/>
      <c r="E13" s="106"/>
      <c r="F13" s="106"/>
      <c r="G13" s="106"/>
      <c r="H13" s="106"/>
      <c r="I13" s="106"/>
      <c r="J13" s="106"/>
    </row>
    <row r="14" customFormat="false" ht="11.25" hidden="false" customHeight="true" outlineLevel="0" collapsed="false">
      <c r="B14" s="106" t="s">
        <v>7569</v>
      </c>
      <c r="C14" s="106"/>
      <c r="D14" s="106"/>
      <c r="E14" s="106"/>
      <c r="F14" s="106"/>
      <c r="G14" s="106"/>
      <c r="H14" s="106"/>
      <c r="I14" s="106"/>
      <c r="J14" s="106"/>
    </row>
    <row r="15" customFormat="false" ht="11.25" hidden="false" customHeight="true" outlineLevel="0" collapsed="false">
      <c r="B15" s="106"/>
      <c r="C15" s="106"/>
      <c r="D15" s="106"/>
      <c r="E15" s="106"/>
      <c r="F15" s="106"/>
      <c r="G15" s="106"/>
      <c r="H15" s="106"/>
      <c r="I15" s="106"/>
      <c r="J15" s="106"/>
    </row>
    <row r="16" customFormat="false" ht="11.25" hidden="false" customHeight="true" outlineLevel="0" collapsed="false">
      <c r="B16" s="106"/>
      <c r="C16" s="106"/>
      <c r="D16" s="106"/>
      <c r="E16" s="106"/>
      <c r="F16" s="106"/>
      <c r="G16" s="106"/>
      <c r="H16" s="106"/>
      <c r="I16" s="106"/>
      <c r="J16" s="106"/>
    </row>
    <row r="17" customFormat="false" ht="11.25" hidden="false" customHeight="true" outlineLevel="0" collapsed="false">
      <c r="B17" s="106"/>
      <c r="C17" s="106"/>
      <c r="D17" s="106"/>
      <c r="E17" s="106"/>
      <c r="F17" s="106"/>
      <c r="G17" s="106"/>
      <c r="H17" s="106"/>
      <c r="I17" s="106"/>
      <c r="J17" s="106"/>
    </row>
    <row r="18" customFormat="false" ht="11.25" hidden="false" customHeight="true" outlineLevel="0" collapsed="false">
      <c r="B18" s="106" t="s">
        <v>7570</v>
      </c>
      <c r="C18" s="106"/>
      <c r="D18" s="106"/>
      <c r="E18" s="106"/>
      <c r="F18" s="106"/>
      <c r="G18" s="106"/>
      <c r="H18" s="106"/>
      <c r="I18" s="106"/>
      <c r="J18" s="106"/>
    </row>
    <row r="19" customFormat="false" ht="11.25" hidden="false" customHeight="true" outlineLevel="0" collapsed="false">
      <c r="B19" s="106"/>
      <c r="C19" s="106"/>
      <c r="D19" s="106"/>
      <c r="E19" s="106"/>
      <c r="F19" s="106"/>
      <c r="G19" s="106"/>
      <c r="H19" s="106"/>
      <c r="I19" s="106"/>
      <c r="J19" s="106"/>
    </row>
    <row r="20" customFormat="false" ht="11.25" hidden="false" customHeight="true" outlineLevel="0" collapsed="false">
      <c r="B20" s="106"/>
      <c r="C20" s="106"/>
      <c r="D20" s="106"/>
      <c r="E20" s="106"/>
      <c r="F20" s="106"/>
      <c r="G20" s="106"/>
      <c r="H20" s="106"/>
      <c r="I20" s="106"/>
      <c r="J20" s="106"/>
    </row>
    <row r="21" customFormat="false" ht="11.25" hidden="false" customHeight="true" outlineLevel="0" collapsed="false">
      <c r="B21" s="106"/>
      <c r="C21" s="106"/>
      <c r="D21" s="106"/>
      <c r="E21" s="106"/>
      <c r="F21" s="106"/>
      <c r="G21" s="106"/>
      <c r="H21" s="106"/>
      <c r="I21" s="106"/>
      <c r="J21" s="106"/>
    </row>
    <row r="22" customFormat="false" ht="15.75" hidden="false" customHeight="true" outlineLevel="0" collapsed="false">
      <c r="B22" s="106" t="s">
        <v>7571</v>
      </c>
      <c r="C22" s="106"/>
      <c r="D22" s="106"/>
      <c r="E22" s="106"/>
      <c r="F22" s="106"/>
      <c r="G22" s="106"/>
      <c r="H22" s="106"/>
      <c r="I22" s="106"/>
      <c r="J22" s="106"/>
    </row>
    <row r="23" customFormat="false" ht="15.75" hidden="false" customHeight="true" outlineLevel="0" collapsed="false">
      <c r="B23" s="106"/>
      <c r="C23" s="106"/>
      <c r="D23" s="106"/>
      <c r="E23" s="106"/>
      <c r="F23" s="106"/>
      <c r="G23" s="106"/>
      <c r="H23" s="106"/>
      <c r="I23" s="106"/>
      <c r="J23" s="106"/>
    </row>
    <row r="25" customFormat="false" ht="15.75" hidden="false" customHeight="true" outlineLevel="0" collapsed="false">
      <c r="B25" s="103" t="s">
        <v>1406</v>
      </c>
      <c r="C25" s="8"/>
      <c r="D25" s="8"/>
      <c r="E25" s="8"/>
      <c r="F25" s="8"/>
      <c r="G25" s="8"/>
      <c r="H25" s="8"/>
      <c r="I25" s="8"/>
      <c r="J25" s="8"/>
      <c r="K25" s="8"/>
    </row>
    <row r="26" customFormat="false" ht="17.25" hidden="false" customHeight="true" outlineLevel="0" collapsed="false">
      <c r="B26" s="107" t="s">
        <v>1407</v>
      </c>
      <c r="C26" s="107"/>
      <c r="D26" s="107"/>
      <c r="E26" s="107" t="s">
        <v>1408</v>
      </c>
      <c r="F26" s="107"/>
      <c r="G26" s="107"/>
      <c r="H26" s="107"/>
      <c r="I26" s="107"/>
    </row>
    <row r="27" customFormat="false" ht="31.5" hidden="false" customHeight="true" outlineLevel="0" collapsed="false">
      <c r="B27" s="106" t="s">
        <v>7572</v>
      </c>
      <c r="C27" s="106"/>
      <c r="D27" s="106"/>
      <c r="E27" s="106" t="s">
        <v>7573</v>
      </c>
      <c r="F27" s="106"/>
      <c r="G27" s="106"/>
      <c r="H27" s="106"/>
      <c r="I27" s="106"/>
    </row>
    <row r="28" customFormat="false" ht="31.5" hidden="false" customHeight="true" outlineLevel="0" collapsed="false">
      <c r="B28" s="106" t="s">
        <v>7574</v>
      </c>
      <c r="C28" s="106"/>
      <c r="D28" s="106"/>
      <c r="E28" s="106" t="s">
        <v>7575</v>
      </c>
      <c r="F28" s="106"/>
      <c r="G28" s="106"/>
      <c r="H28" s="106"/>
      <c r="I28" s="106"/>
    </row>
    <row r="29" customFormat="false" ht="31.5" hidden="false" customHeight="true" outlineLevel="0" collapsed="false">
      <c r="B29" s="106" t="s">
        <v>7576</v>
      </c>
      <c r="C29" s="106"/>
      <c r="D29" s="106"/>
      <c r="E29" s="106" t="s">
        <v>7577</v>
      </c>
      <c r="F29" s="106"/>
      <c r="G29" s="106"/>
      <c r="H29" s="106"/>
      <c r="I29" s="106"/>
    </row>
    <row r="30" customFormat="false" ht="17.25" hidden="false" customHeight="true" outlineLevel="0" collapsed="false">
      <c r="B30" s="106" t="s">
        <v>7578</v>
      </c>
      <c r="C30" s="106"/>
      <c r="D30" s="106"/>
      <c r="E30" s="106"/>
      <c r="F30" s="106"/>
      <c r="G30" s="106"/>
      <c r="H30" s="106"/>
      <c r="I30" s="106"/>
      <c r="J30" s="106"/>
    </row>
    <row r="32" customFormat="false" ht="30.75" hidden="false" customHeight="true" outlineLevel="0" collapsed="false">
      <c r="B32" s="152" t="s">
        <v>6621</v>
      </c>
      <c r="C32" s="152" t="s">
        <v>1417</v>
      </c>
      <c r="D32" s="152" t="s">
        <v>1418</v>
      </c>
      <c r="E32" s="152" t="s">
        <v>1419</v>
      </c>
      <c r="F32" s="152"/>
      <c r="G32" s="152"/>
    </row>
    <row r="33" customFormat="false" ht="99.75" hidden="false" customHeight="true" outlineLevel="0" collapsed="false">
      <c r="B33" s="15" t="s">
        <v>7579</v>
      </c>
      <c r="C33" s="15" t="s">
        <v>7580</v>
      </c>
      <c r="D33" s="15" t="s">
        <v>7581</v>
      </c>
      <c r="E33" s="153" t="s">
        <v>1089</v>
      </c>
      <c r="F33" s="153"/>
      <c r="G33" s="153"/>
    </row>
    <row r="34" customFormat="false" ht="86.25" hidden="false" customHeight="true" outlineLevel="0" collapsed="false">
      <c r="B34" s="15" t="s">
        <v>7582</v>
      </c>
      <c r="C34" s="15" t="s">
        <v>7583</v>
      </c>
      <c r="D34" s="15" t="s">
        <v>7584</v>
      </c>
      <c r="E34" s="153" t="s">
        <v>6740</v>
      </c>
      <c r="F34" s="153"/>
      <c r="G34" s="153"/>
    </row>
    <row r="35" customFormat="false" ht="58.5" hidden="false" customHeight="true" outlineLevel="0" collapsed="false">
      <c r="B35" s="15" t="s">
        <v>7585</v>
      </c>
      <c r="C35" s="15" t="s">
        <v>7586</v>
      </c>
      <c r="D35" s="15" t="s">
        <v>7587</v>
      </c>
      <c r="E35" s="153" t="s">
        <v>6628</v>
      </c>
      <c r="F35" s="153"/>
      <c r="G35" s="153"/>
    </row>
    <row r="36" customFormat="false" ht="72" hidden="false" customHeight="true" outlineLevel="0" collapsed="false">
      <c r="B36" s="15" t="s">
        <v>7588</v>
      </c>
      <c r="C36" s="15" t="s">
        <v>7589</v>
      </c>
      <c r="D36" s="15" t="s">
        <v>7590</v>
      </c>
      <c r="E36" s="153" t="s">
        <v>6748</v>
      </c>
      <c r="F36" s="153"/>
      <c r="G36" s="153"/>
    </row>
    <row r="38" customFormat="false" ht="15.75" hidden="false" customHeight="true" outlineLevel="0" collapsed="false">
      <c r="B38" s="103" t="s">
        <v>1429</v>
      </c>
      <c r="C38" s="8"/>
      <c r="D38" s="8"/>
      <c r="E38" s="8"/>
      <c r="F38" s="8"/>
      <c r="G38" s="8"/>
      <c r="H38" s="8"/>
      <c r="I38" s="8"/>
      <c r="J38" s="8"/>
      <c r="K38" s="8"/>
    </row>
    <row r="39" customFormat="false" ht="10.5" hidden="false" customHeight="true" outlineLevel="0" collapsed="false">
      <c r="B39" s="106" t="s">
        <v>7591</v>
      </c>
      <c r="C39" s="106"/>
      <c r="D39" s="106"/>
      <c r="E39" s="106"/>
      <c r="F39" s="106"/>
      <c r="G39" s="106"/>
      <c r="H39" s="106"/>
      <c r="I39" s="106"/>
      <c r="J39" s="106"/>
    </row>
    <row r="40" customFormat="false" ht="10.5" hidden="false" customHeight="true" outlineLevel="0" collapsed="false">
      <c r="B40" s="106"/>
      <c r="C40" s="106"/>
      <c r="D40" s="106"/>
      <c r="E40" s="106"/>
      <c r="F40" s="106"/>
      <c r="G40" s="106"/>
      <c r="H40" s="106"/>
      <c r="I40" s="106"/>
      <c r="J40" s="106"/>
    </row>
    <row r="41" customFormat="false" ht="10.5" hidden="false" customHeight="true" outlineLevel="0" collapsed="false">
      <c r="B41" s="106"/>
      <c r="C41" s="106"/>
      <c r="D41" s="106"/>
      <c r="E41" s="106"/>
      <c r="F41" s="106"/>
      <c r="G41" s="106"/>
      <c r="H41" s="106"/>
      <c r="I41" s="106"/>
      <c r="J41" s="106"/>
    </row>
    <row r="42" customFormat="false" ht="15" hidden="false" customHeight="true" outlineLevel="0" collapsed="false">
      <c r="B42" s="122"/>
    </row>
    <row r="43" customFormat="false" ht="15.75" hidden="false" customHeight="true" outlineLevel="0" collapsed="false">
      <c r="B43" s="106" t="s">
        <v>7592</v>
      </c>
      <c r="C43" s="106"/>
      <c r="D43" s="106"/>
      <c r="E43" s="106"/>
      <c r="F43" s="106"/>
      <c r="G43" s="106"/>
      <c r="H43" s="106"/>
      <c r="I43" s="106"/>
      <c r="J43" s="106"/>
    </row>
    <row r="44" customFormat="false" ht="15.75" hidden="false" customHeight="true" outlineLevel="0" collapsed="false">
      <c r="B44" s="106"/>
      <c r="C44" s="106"/>
      <c r="D44" s="106"/>
      <c r="E44" s="106"/>
      <c r="F44" s="106"/>
      <c r="G44" s="106"/>
      <c r="H44" s="106"/>
      <c r="I44" s="106"/>
      <c r="J44" s="106"/>
    </row>
    <row r="45" customFormat="false" ht="15" hidden="false" customHeight="true" outlineLevel="0" collapsed="false">
      <c r="B45" s="122"/>
    </row>
    <row r="46" customFormat="false" ht="16.5" hidden="false" customHeight="true" outlineLevel="0" collapsed="false">
      <c r="B46" s="122" t="s">
        <v>7593</v>
      </c>
    </row>
    <row r="47" customFormat="false" ht="15.75" hidden="false" customHeight="true" outlineLevel="0" collapsed="false">
      <c r="B47" s="106" t="s">
        <v>7594</v>
      </c>
      <c r="C47" s="106"/>
      <c r="D47" s="106"/>
      <c r="E47" s="106"/>
      <c r="F47" s="106"/>
      <c r="G47" s="106"/>
      <c r="H47" s="106"/>
      <c r="I47" s="106"/>
      <c r="J47" s="106"/>
    </row>
    <row r="48" customFormat="false" ht="15.75" hidden="false" customHeight="true" outlineLevel="0" collapsed="false">
      <c r="B48" s="106"/>
      <c r="C48" s="106"/>
      <c r="D48" s="106"/>
      <c r="E48" s="106"/>
      <c r="F48" s="106"/>
      <c r="G48" s="106"/>
      <c r="H48" s="106"/>
      <c r="I48" s="106"/>
      <c r="J48" s="106"/>
    </row>
    <row r="49" customFormat="false" ht="15" hidden="false" customHeight="true" outlineLevel="0" collapsed="false">
      <c r="B49" s="122"/>
    </row>
    <row r="50" customFormat="false" ht="17.25" hidden="false" customHeight="true" outlineLevel="0" collapsed="false">
      <c r="B50" s="106" t="s">
        <v>7595</v>
      </c>
      <c r="C50" s="106"/>
      <c r="D50" s="106"/>
      <c r="E50" s="106"/>
      <c r="F50" s="106"/>
      <c r="G50" s="106"/>
      <c r="H50" s="106"/>
      <c r="I50" s="106"/>
      <c r="J50" s="106"/>
    </row>
    <row r="52" customFormat="false" ht="15.75" hidden="false" customHeight="true" outlineLevel="0" collapsed="false">
      <c r="B52" s="103" t="s">
        <v>1437</v>
      </c>
      <c r="C52" s="8"/>
      <c r="D52" s="8"/>
      <c r="E52" s="8"/>
      <c r="F52" s="8"/>
      <c r="G52" s="8"/>
      <c r="H52" s="8"/>
      <c r="I52" s="8"/>
      <c r="J52" s="8"/>
      <c r="K52" s="8"/>
    </row>
    <row r="53" customFormat="false" ht="17.25" hidden="false" customHeight="true" outlineLevel="0" collapsed="false">
      <c r="B53" s="152" t="s">
        <v>1438</v>
      </c>
      <c r="C53" s="152" t="s">
        <v>1439</v>
      </c>
      <c r="D53" s="152" t="s">
        <v>1440</v>
      </c>
      <c r="E53" s="152"/>
      <c r="F53" s="152"/>
      <c r="G53" s="152"/>
      <c r="H53" s="152"/>
    </row>
    <row r="54" customFormat="false" ht="17.25" hidden="false" customHeight="true" outlineLevel="0" collapsed="false">
      <c r="B54" s="15" t="s">
        <v>3995</v>
      </c>
      <c r="C54" s="15" t="s">
        <v>1666</v>
      </c>
      <c r="D54" s="15" t="s">
        <v>7596</v>
      </c>
      <c r="E54" s="15"/>
      <c r="F54" s="15"/>
      <c r="G54" s="15"/>
      <c r="H54" s="15"/>
    </row>
    <row r="55" customFormat="false" ht="17.25" hidden="false" customHeight="true" outlineLevel="0" collapsed="false">
      <c r="B55" s="15" t="s">
        <v>4275</v>
      </c>
      <c r="C55" s="15" t="s">
        <v>7597</v>
      </c>
      <c r="D55" s="15" t="s">
        <v>7598</v>
      </c>
      <c r="E55" s="15"/>
      <c r="F55" s="15"/>
      <c r="G55" s="15"/>
      <c r="H55" s="15"/>
    </row>
    <row r="56" customFormat="false" ht="44.25" hidden="false" customHeight="true" outlineLevel="0" collapsed="false">
      <c r="B56" s="15" t="s">
        <v>6644</v>
      </c>
      <c r="C56" s="15" t="s">
        <v>7599</v>
      </c>
      <c r="D56" s="15" t="s">
        <v>7600</v>
      </c>
      <c r="E56" s="15"/>
      <c r="F56" s="15"/>
      <c r="G56" s="15"/>
      <c r="H56" s="15"/>
    </row>
    <row r="57" customFormat="false" ht="30.75" hidden="false" customHeight="true" outlineLevel="0" collapsed="false">
      <c r="B57" s="15" t="s">
        <v>3248</v>
      </c>
      <c r="C57" s="15" t="s">
        <v>7601</v>
      </c>
      <c r="D57" s="15" t="s">
        <v>7602</v>
      </c>
      <c r="E57" s="15"/>
      <c r="F57" s="15"/>
      <c r="G57" s="15"/>
      <c r="H57" s="15"/>
    </row>
    <row r="58" customFormat="false" ht="17.25" hidden="false" customHeight="true" outlineLevel="0" collapsed="false">
      <c r="B58" s="15" t="s">
        <v>1450</v>
      </c>
      <c r="C58" s="15" t="s">
        <v>1451</v>
      </c>
      <c r="D58" s="15" t="s">
        <v>7603</v>
      </c>
      <c r="E58" s="15"/>
      <c r="F58" s="15"/>
      <c r="G58" s="15"/>
      <c r="H58" s="15"/>
    </row>
    <row r="60" customFormat="false" ht="15.75" hidden="false" customHeight="true" outlineLevel="0" collapsed="false">
      <c r="B60" s="103" t="s">
        <v>1454</v>
      </c>
      <c r="C60" s="8"/>
      <c r="D60" s="8"/>
      <c r="E60" s="8"/>
      <c r="F60" s="8"/>
      <c r="G60" s="8"/>
      <c r="H60" s="8"/>
      <c r="I60" s="8"/>
      <c r="J60" s="8"/>
      <c r="K60" s="8"/>
    </row>
    <row r="61" customFormat="false" ht="10.5" hidden="false" customHeight="true" outlineLevel="0" collapsed="false">
      <c r="B61" s="106" t="s">
        <v>7604</v>
      </c>
      <c r="C61" s="106"/>
      <c r="D61" s="106"/>
      <c r="E61" s="106"/>
      <c r="F61" s="106"/>
      <c r="G61" s="106"/>
      <c r="H61" s="106"/>
      <c r="I61" s="106"/>
      <c r="J61" s="106"/>
    </row>
    <row r="62" customFormat="false" ht="10.5" hidden="false" customHeight="true" outlineLevel="0" collapsed="false">
      <c r="B62" s="106"/>
      <c r="C62" s="106"/>
      <c r="D62" s="106"/>
      <c r="E62" s="106"/>
      <c r="F62" s="106"/>
      <c r="G62" s="106"/>
      <c r="H62" s="106"/>
      <c r="I62" s="106"/>
      <c r="J62" s="106"/>
    </row>
    <row r="63" customFormat="false" ht="10.5" hidden="false" customHeight="true" outlineLevel="0" collapsed="false">
      <c r="B63" s="106"/>
      <c r="C63" s="106"/>
      <c r="D63" s="106"/>
      <c r="E63" s="106"/>
      <c r="F63" s="106"/>
      <c r="G63" s="106"/>
      <c r="H63" s="106"/>
      <c r="I63" s="106"/>
      <c r="J63" s="106"/>
    </row>
    <row r="64" customFormat="false" ht="17.25" hidden="false" customHeight="true" outlineLevel="0" collapsed="false">
      <c r="B64" s="112" t="s">
        <v>85</v>
      </c>
      <c r="C64" s="113" t="s">
        <v>86</v>
      </c>
      <c r="D64" s="113"/>
      <c r="E64" s="113"/>
    </row>
    <row r="66" customFormat="false" ht="15" hidden="false" customHeight="true" outlineLevel="0" collapsed="false">
      <c r="B66" s="105" t="s">
        <v>7605</v>
      </c>
    </row>
    <row r="67" customFormat="false" ht="17.25" hidden="false" customHeight="true" outlineLevel="0" collapsed="false">
      <c r="B67" s="152" t="s">
        <v>7376</v>
      </c>
      <c r="C67" s="152" t="s">
        <v>6654</v>
      </c>
      <c r="D67" s="152" t="s">
        <v>6575</v>
      </c>
      <c r="E67" s="152" t="s">
        <v>6655</v>
      </c>
      <c r="F67" s="152"/>
      <c r="G67" s="152"/>
      <c r="H67" s="152"/>
    </row>
    <row r="68" customFormat="false" ht="17.25" hidden="false" customHeight="true" outlineLevel="0" collapsed="false">
      <c r="B68" s="15" t="s">
        <v>7606</v>
      </c>
      <c r="C68" s="173" t="n">
        <v>16000</v>
      </c>
      <c r="D68" s="15" t="s">
        <v>7389</v>
      </c>
      <c r="E68" s="15" t="s">
        <v>7607</v>
      </c>
      <c r="F68" s="15"/>
      <c r="G68" s="15"/>
      <c r="H68" s="15"/>
    </row>
    <row r="69" customFormat="false" ht="17.25" hidden="false" customHeight="true" outlineLevel="0" collapsed="false">
      <c r="B69" s="15" t="s">
        <v>7608</v>
      </c>
      <c r="C69" s="181" t="n">
        <v>0.11</v>
      </c>
      <c r="D69" s="15" t="s">
        <v>7609</v>
      </c>
      <c r="E69" s="15" t="s">
        <v>7610</v>
      </c>
      <c r="F69" s="15"/>
      <c r="G69" s="15"/>
      <c r="H69" s="15"/>
    </row>
    <row r="70" customFormat="false" ht="17.25" hidden="false" customHeight="true" outlineLevel="0" collapsed="false">
      <c r="B70" s="15" t="s">
        <v>7611</v>
      </c>
      <c r="C70" s="173" t="n">
        <v>6570</v>
      </c>
      <c r="D70" s="15" t="s">
        <v>7612</v>
      </c>
      <c r="E70" s="15" t="s">
        <v>7613</v>
      </c>
      <c r="F70" s="15"/>
      <c r="G70" s="15"/>
      <c r="H70" s="15"/>
    </row>
    <row r="72" customFormat="false" ht="44.25" hidden="false" customHeight="true" outlineLevel="0" collapsed="false">
      <c r="B72" s="152" t="s">
        <v>7392</v>
      </c>
      <c r="C72" s="152" t="s">
        <v>7614</v>
      </c>
      <c r="D72" s="152" t="s">
        <v>7615</v>
      </c>
      <c r="E72" s="152" t="s">
        <v>7616</v>
      </c>
      <c r="F72" s="152" t="s">
        <v>7617</v>
      </c>
      <c r="G72" s="152" t="s">
        <v>7618</v>
      </c>
    </row>
    <row r="73" customFormat="false" ht="16.5" hidden="false" customHeight="true" outlineLevel="0" collapsed="false">
      <c r="B73" s="15" t="s">
        <v>7397</v>
      </c>
      <c r="C73" s="173" t="n">
        <v>20000</v>
      </c>
      <c r="D73" s="175" t="n">
        <v>0.94</v>
      </c>
      <c r="E73" s="159" t="n">
        <f aca="false">C73*D73</f>
        <v>18800</v>
      </c>
      <c r="F73" s="160" t="n">
        <f aca="false">IFERROR($C$68/E73,0)</f>
        <v>0.851063829787234</v>
      </c>
      <c r="G73" s="167" t="str">
        <f aca="false">IF(E73=MIN($E$73:$E$80),"CONSTRAINT",IF(E73&lt;$C$68,"Also below demand","Non-constraint"))</f>
        <v>Non-constraint</v>
      </c>
    </row>
    <row r="74" customFormat="false" ht="16.5" hidden="false" customHeight="true" outlineLevel="0" collapsed="false">
      <c r="B74" s="15" t="s">
        <v>7398</v>
      </c>
      <c r="C74" s="173" t="n">
        <v>18000</v>
      </c>
      <c r="D74" s="175" t="n">
        <v>0.91</v>
      </c>
      <c r="E74" s="159" t="n">
        <f aca="false">C74*D74</f>
        <v>16380</v>
      </c>
      <c r="F74" s="160" t="n">
        <f aca="false">IFERROR($C$68/E74,0)</f>
        <v>0.976800976800977</v>
      </c>
      <c r="G74" s="167" t="str">
        <f aca="false">IF(E74=MIN($E$73:$E$80),"CONSTRAINT",IF(E74&lt;$C$68,"Also below demand","Non-constraint"))</f>
        <v>Non-constraint</v>
      </c>
    </row>
    <row r="75" customFormat="false" ht="16.5" hidden="false" customHeight="true" outlineLevel="0" collapsed="false">
      <c r="B75" s="15" t="s">
        <v>7399</v>
      </c>
      <c r="C75" s="173" t="n">
        <v>19000</v>
      </c>
      <c r="D75" s="175" t="n">
        <v>0.96</v>
      </c>
      <c r="E75" s="159" t="n">
        <f aca="false">C75*D75</f>
        <v>18240</v>
      </c>
      <c r="F75" s="160" t="n">
        <f aca="false">IFERROR($C$68/E75,0)</f>
        <v>0.87719298245614</v>
      </c>
      <c r="G75" s="167" t="str">
        <f aca="false">IF(E75=MIN($E$73:$E$80),"CONSTRAINT",IF(E75&lt;$C$68,"Also below demand","Non-constraint"))</f>
        <v>Non-constraint</v>
      </c>
    </row>
    <row r="76" customFormat="false" ht="16.5" hidden="false" customHeight="true" outlineLevel="0" collapsed="false">
      <c r="B76" s="15" t="s">
        <v>7400</v>
      </c>
      <c r="C76" s="173" t="n">
        <v>18000</v>
      </c>
      <c r="D76" s="175" t="n">
        <v>0.93</v>
      </c>
      <c r="E76" s="159" t="n">
        <f aca="false">C76*D76</f>
        <v>16740</v>
      </c>
      <c r="F76" s="160" t="n">
        <f aca="false">IFERROR($C$68/E76,0)</f>
        <v>0.955794504181601</v>
      </c>
      <c r="G76" s="167" t="str">
        <f aca="false">IF(E76=MIN($E$73:$E$80),"CONSTRAINT",IF(E76&lt;$C$68,"Also below demand","Non-constraint"))</f>
        <v>Non-constraint</v>
      </c>
    </row>
    <row r="77" customFormat="false" ht="16.5" hidden="false" customHeight="true" outlineLevel="0" collapsed="false">
      <c r="B77" s="15" t="s">
        <v>7401</v>
      </c>
      <c r="C77" s="173" t="n">
        <v>24000</v>
      </c>
      <c r="D77" s="175" t="n">
        <v>0.98</v>
      </c>
      <c r="E77" s="159" t="n">
        <f aca="false">C77*D77</f>
        <v>23520</v>
      </c>
      <c r="F77" s="160" t="n">
        <f aca="false">IFERROR($C$68/E77,0)</f>
        <v>0.680272108843537</v>
      </c>
      <c r="G77" s="167" t="str">
        <f aca="false">IF(E77=MIN($E$73:$E$80),"CONSTRAINT",IF(E77&lt;$C$68,"Also below demand","Non-constraint"))</f>
        <v>Non-constraint</v>
      </c>
    </row>
    <row r="78" customFormat="false" ht="16.5" hidden="false" customHeight="true" outlineLevel="0" collapsed="false">
      <c r="B78" s="15" t="s">
        <v>7402</v>
      </c>
      <c r="C78" s="173" t="n">
        <v>17500</v>
      </c>
      <c r="D78" s="175" t="n">
        <v>0.95</v>
      </c>
      <c r="E78" s="159" t="n">
        <f aca="false">C78*D78</f>
        <v>16625</v>
      </c>
      <c r="F78" s="160" t="n">
        <f aca="false">IFERROR($C$68/E78,0)</f>
        <v>0.962406015037594</v>
      </c>
      <c r="G78" s="167" t="str">
        <f aca="false">IF(E78=MIN($E$73:$E$80),"CONSTRAINT",IF(E78&lt;$C$68,"Also below demand","Non-constraint"))</f>
        <v>Non-constraint</v>
      </c>
    </row>
    <row r="79" customFormat="false" ht="16.5" hidden="false" customHeight="true" outlineLevel="0" collapsed="false">
      <c r="B79" s="15" t="s">
        <v>7403</v>
      </c>
      <c r="C79" s="173" t="n">
        <v>16000</v>
      </c>
      <c r="D79" s="175" t="n">
        <v>0.96</v>
      </c>
      <c r="E79" s="159" t="n">
        <f aca="false">C79*D79</f>
        <v>15360</v>
      </c>
      <c r="F79" s="160" t="n">
        <f aca="false">IFERROR($C$68/E79,0)</f>
        <v>1.04166666666667</v>
      </c>
      <c r="G79" s="167" t="str">
        <f aca="false">IF(E79=MIN($E$73:$E$80),"CONSTRAINT",IF(E79&lt;$C$68,"Also below demand","Non-constraint"))</f>
        <v>CONSTRAINT</v>
      </c>
    </row>
    <row r="80" customFormat="false" ht="16.5" hidden="false" customHeight="true" outlineLevel="0" collapsed="false">
      <c r="B80" s="15" t="s">
        <v>7404</v>
      </c>
      <c r="C80" s="173" t="n">
        <v>21000</v>
      </c>
      <c r="D80" s="175" t="n">
        <v>0.97</v>
      </c>
      <c r="E80" s="159" t="n">
        <f aca="false">C80*D80</f>
        <v>20370</v>
      </c>
      <c r="F80" s="160" t="n">
        <f aca="false">IFERROR($C$68/E80,0)</f>
        <v>0.78546882670594</v>
      </c>
      <c r="G80" s="167" t="str">
        <f aca="false">IF(E80=MIN($E$73:$E$80),"CONSTRAINT",IF(E80&lt;$C$68,"Also below demand","Non-constraint"))</f>
        <v>Non-constraint</v>
      </c>
    </row>
    <row r="82" customFormat="false" ht="17.25" hidden="false" customHeight="true" outlineLevel="0" collapsed="false">
      <c r="B82" s="107" t="s">
        <v>7619</v>
      </c>
      <c r="C82" s="107"/>
      <c r="D82" s="107"/>
      <c r="E82" s="107"/>
      <c r="F82" s="107"/>
      <c r="G82" s="107"/>
      <c r="H82" s="107"/>
      <c r="I82" s="107"/>
      <c r="J82" s="107"/>
    </row>
    <row r="83" customFormat="false" ht="17.25" hidden="false" customHeight="true" outlineLevel="0" collapsed="false">
      <c r="B83" s="152" t="s">
        <v>6689</v>
      </c>
      <c r="C83" s="152" t="s">
        <v>6654</v>
      </c>
      <c r="D83" s="152" t="s">
        <v>6575</v>
      </c>
      <c r="E83" s="152" t="s">
        <v>88</v>
      </c>
      <c r="F83" s="152"/>
      <c r="G83" s="152"/>
      <c r="H83" s="152"/>
      <c r="I83" s="152"/>
    </row>
    <row r="84" customFormat="false" ht="17.25" hidden="false" customHeight="true" outlineLevel="0" collapsed="false">
      <c r="B84" s="15" t="s">
        <v>7620</v>
      </c>
      <c r="C84" s="159" t="n">
        <f aca="false">MIN(E73:E80)</f>
        <v>15360</v>
      </c>
      <c r="D84" s="15" t="s">
        <v>7389</v>
      </c>
      <c r="E84" s="15" t="s">
        <v>7621</v>
      </c>
      <c r="F84" s="15"/>
      <c r="G84" s="15"/>
      <c r="H84" s="15"/>
      <c r="I84" s="15"/>
    </row>
    <row r="85" customFormat="false" ht="30.75" hidden="false" customHeight="true" outlineLevel="0" collapsed="false">
      <c r="B85" s="15" t="s">
        <v>7622</v>
      </c>
      <c r="C85" s="167" t="str">
        <f aca="false">INDEX(B73:B80,MATCH(MIN(E73:E80),E73:E80,0))</f>
        <v>Palletiser (Innopal)</v>
      </c>
      <c r="D85" s="15"/>
      <c r="E85" s="15" t="s">
        <v>7623</v>
      </c>
      <c r="F85" s="15"/>
      <c r="G85" s="15"/>
      <c r="H85" s="15"/>
      <c r="I85" s="15"/>
    </row>
    <row r="86" customFormat="false" ht="17.25" hidden="false" customHeight="true" outlineLevel="0" collapsed="false">
      <c r="B86" s="15" t="s">
        <v>7624</v>
      </c>
      <c r="C86" s="159" t="n">
        <f aca="false">C84-$C$68</f>
        <v>-640</v>
      </c>
      <c r="D86" s="15" t="s">
        <v>7389</v>
      </c>
      <c r="E86" s="15" t="s">
        <v>7625</v>
      </c>
      <c r="F86" s="15"/>
      <c r="G86" s="15"/>
      <c r="H86" s="15"/>
      <c r="I86" s="15"/>
    </row>
    <row r="87" customFormat="false" ht="17.25" hidden="false" customHeight="true" outlineLevel="0" collapsed="false">
      <c r="B87" s="15" t="s">
        <v>7626</v>
      </c>
      <c r="C87" s="159" t="n">
        <f aca="false">SUM(E73:E80)-C84*COUNTA(B73:B80)</f>
        <v>23155</v>
      </c>
      <c r="D87" s="15" t="s">
        <v>7389</v>
      </c>
      <c r="E87" s="15" t="s">
        <v>7627</v>
      </c>
      <c r="F87" s="15"/>
      <c r="G87" s="15"/>
      <c r="H87" s="15"/>
      <c r="I87" s="15"/>
    </row>
    <row r="88" customFormat="false" ht="30.75" hidden="false" customHeight="true" outlineLevel="0" collapsed="false">
      <c r="B88" s="15" t="s">
        <v>7628</v>
      </c>
      <c r="C88" s="159" t="n">
        <f aca="false">IFERROR(C84*$C$69,0)</f>
        <v>1689.6</v>
      </c>
      <c r="D88" s="15" t="s">
        <v>7171</v>
      </c>
      <c r="E88" s="15" t="s">
        <v>7629</v>
      </c>
      <c r="F88" s="15"/>
      <c r="G88" s="15"/>
      <c r="H88" s="15"/>
      <c r="I88" s="15"/>
    </row>
    <row r="89" customFormat="false" ht="31.5" hidden="false" customHeight="true" outlineLevel="0" collapsed="false">
      <c r="B89" s="15" t="s">
        <v>7630</v>
      </c>
      <c r="C89" s="15" t="s">
        <v>7631</v>
      </c>
      <c r="D89" s="15" t="s">
        <v>7171</v>
      </c>
      <c r="E89" s="15" t="s">
        <v>7632</v>
      </c>
      <c r="F89" s="15"/>
      <c r="G89" s="15"/>
      <c r="H89" s="15"/>
      <c r="I89" s="15"/>
    </row>
    <row r="91" customFormat="false" ht="17.25" hidden="false" customHeight="true" outlineLevel="0" collapsed="false">
      <c r="B91" s="107" t="s">
        <v>7633</v>
      </c>
      <c r="C91" s="107"/>
      <c r="D91" s="107"/>
      <c r="E91" s="107"/>
      <c r="F91" s="107"/>
      <c r="G91" s="107"/>
      <c r="H91" s="107"/>
      <c r="I91" s="107"/>
      <c r="J91" s="107"/>
    </row>
    <row r="92" customFormat="false" ht="44.25" hidden="false" customHeight="true" outlineLevel="0" collapsed="false">
      <c r="B92" s="152" t="s">
        <v>7634</v>
      </c>
      <c r="C92" s="152" t="s">
        <v>7635</v>
      </c>
      <c r="D92" s="152" t="s">
        <v>7636</v>
      </c>
      <c r="E92" s="152" t="s">
        <v>7637</v>
      </c>
      <c r="F92" s="152" t="s">
        <v>7638</v>
      </c>
      <c r="G92" s="152" t="s">
        <v>7639</v>
      </c>
    </row>
    <row r="93" customFormat="false" ht="16.5" hidden="false" customHeight="true" outlineLevel="0" collapsed="false">
      <c r="B93" s="15" t="s">
        <v>7640</v>
      </c>
      <c r="C93" s="175" t="n">
        <v>0</v>
      </c>
      <c r="D93" s="159" t="n">
        <f aca="false">MIN(E73:E80)*(1+C93)</f>
        <v>15360</v>
      </c>
      <c r="E93" s="159" t="n">
        <f aca="false">MIN(D93,SMALL(E73:E80,2))</f>
        <v>15360</v>
      </c>
      <c r="F93" s="159" t="n">
        <f aca="false">(E93-MIN(E73:E80))*$C$70</f>
        <v>0</v>
      </c>
      <c r="G93" s="159" t="n">
        <f aca="false">F93*$C$69</f>
        <v>0</v>
      </c>
    </row>
    <row r="94" customFormat="false" ht="30.75" hidden="false" customHeight="true" outlineLevel="0" collapsed="false">
      <c r="B94" s="15" t="s">
        <v>7641</v>
      </c>
      <c r="C94" s="175" t="n">
        <v>0.03</v>
      </c>
      <c r="D94" s="159" t="n">
        <f aca="false">MIN(E73:E80)*(1+C94)</f>
        <v>15820.8</v>
      </c>
      <c r="E94" s="159" t="n">
        <f aca="false">MIN(D94,SMALL(E73:E80,2))</f>
        <v>15820.8</v>
      </c>
      <c r="F94" s="159" t="n">
        <f aca="false">(E94-MIN(E73:E80))*$C$70</f>
        <v>3027456.00000001</v>
      </c>
      <c r="G94" s="159" t="n">
        <f aca="false">F94*$C$69</f>
        <v>333020.160000001</v>
      </c>
    </row>
    <row r="95" customFormat="false" ht="30.75" hidden="false" customHeight="true" outlineLevel="0" collapsed="false">
      <c r="B95" s="15" t="s">
        <v>7642</v>
      </c>
      <c r="C95" s="175" t="n">
        <v>0.06</v>
      </c>
      <c r="D95" s="159" t="n">
        <f aca="false">MIN(E73:E80)*(1+C95)</f>
        <v>16281.6</v>
      </c>
      <c r="E95" s="159" t="n">
        <f aca="false">MIN(D95,SMALL(E73:E80,2))</f>
        <v>16281.6</v>
      </c>
      <c r="F95" s="159" t="n">
        <f aca="false">(E95-MIN(E73:E80))*$C$70</f>
        <v>6054912</v>
      </c>
      <c r="G95" s="159" t="n">
        <f aca="false">F95*$C$69</f>
        <v>666040.32</v>
      </c>
    </row>
    <row r="96" customFormat="false" ht="16.5" hidden="false" customHeight="true" outlineLevel="0" collapsed="false">
      <c r="B96" s="15" t="s">
        <v>7643</v>
      </c>
      <c r="C96" s="175" t="n">
        <v>0.12</v>
      </c>
      <c r="D96" s="159" t="n">
        <f aca="false">MIN(E73:E80)*(1+C96)</f>
        <v>17203.2</v>
      </c>
      <c r="E96" s="159" t="n">
        <f aca="false">MIN(D96,SMALL(E73:E80,2))</f>
        <v>16380</v>
      </c>
      <c r="F96" s="159" t="n">
        <f aca="false">(E96-MIN(E73:E80))*$C$70</f>
        <v>6701400</v>
      </c>
      <c r="G96" s="159" t="n">
        <f aca="false">F96*$C$69</f>
        <v>737154</v>
      </c>
    </row>
    <row r="97" customFormat="false" ht="28.5" hidden="false" customHeight="true" outlineLevel="0" collapsed="false">
      <c r="B97" s="182" t="s">
        <v>7644</v>
      </c>
      <c r="C97" s="182"/>
      <c r="D97" s="182"/>
      <c r="E97" s="182"/>
      <c r="F97" s="182"/>
      <c r="G97" s="182"/>
      <c r="H97" s="182"/>
      <c r="I97" s="182"/>
      <c r="J97" s="182"/>
    </row>
    <row r="99" customFormat="false" ht="15.75" hidden="false" customHeight="true" outlineLevel="0" collapsed="false">
      <c r="B99" s="103" t="s">
        <v>1493</v>
      </c>
      <c r="C99" s="8"/>
      <c r="D99" s="8"/>
      <c r="E99" s="8"/>
      <c r="F99" s="8"/>
      <c r="G99" s="8"/>
      <c r="H99" s="8"/>
      <c r="I99" s="8"/>
      <c r="J99" s="8"/>
      <c r="K99" s="8"/>
    </row>
    <row r="100" customFormat="false" ht="65.25" hidden="false" customHeight="true" outlineLevel="0" collapsed="false">
      <c r="B100" s="105" t="s">
        <v>1494</v>
      </c>
      <c r="C100" s="168" t="str">
        <f aca="false">"The constraint is "&amp;INDEX(B73:B80,MATCH(MIN(E73:E80),E73:E80,0))&amp;" at "&amp;TEXT(MIN(E73:E80),"#,##0")&amp;" bottles/h effective, against a demand of "&amp;TEXT($C$68,"#,##0")&amp;" bottles/h. "&amp;IF(MIN(E73:E80)&lt;$C$68,"The line CANNOT meet demand: every hour of improvement belongs at the constraint, and an hour lost there costs "&amp;TEXT(MIN(E73:E80)*$C$69,"#,##0")&amp;" USD.","The line can meet demand. Protect the constraint with a buffer and stop optimising the stations that already have spare capacity.")</f>
        <v>The constraint is Palletiser (Innopal) at 15,360 bottles/h effective, against a demand of 16,000 bottles/h. The line CANNOT meet demand: every hour of improvement belongs at the constraint, and an hour lost there costs 1,690 USD.</v>
      </c>
      <c r="D100" s="168"/>
      <c r="E100" s="168"/>
      <c r="F100" s="168"/>
      <c r="G100" s="168"/>
    </row>
    <row r="102" customFormat="false" ht="17.25" hidden="false" customHeight="true" outlineLevel="0" collapsed="false">
      <c r="B102" s="152" t="s">
        <v>1495</v>
      </c>
      <c r="C102" s="152" t="s">
        <v>1496</v>
      </c>
      <c r="D102" s="152" t="s">
        <v>1497</v>
      </c>
      <c r="E102" s="152"/>
      <c r="F102" s="152"/>
      <c r="G102" s="152"/>
      <c r="H102" s="152"/>
    </row>
    <row r="103" customFormat="false" ht="44.25" hidden="false" customHeight="true" outlineLevel="0" collapsed="false">
      <c r="B103" s="15" t="s">
        <v>7645</v>
      </c>
      <c r="C103" s="15" t="s">
        <v>7646</v>
      </c>
      <c r="D103" s="15" t="s">
        <v>7647</v>
      </c>
      <c r="E103" s="15"/>
      <c r="F103" s="15"/>
      <c r="G103" s="15"/>
      <c r="H103" s="15"/>
    </row>
    <row r="104" customFormat="false" ht="72" hidden="false" customHeight="true" outlineLevel="0" collapsed="false">
      <c r="B104" s="15" t="s">
        <v>7648</v>
      </c>
      <c r="C104" s="15" t="s">
        <v>7649</v>
      </c>
      <c r="D104" s="15" t="s">
        <v>7650</v>
      </c>
      <c r="E104" s="15"/>
      <c r="F104" s="15"/>
      <c r="G104" s="15"/>
      <c r="H104" s="15"/>
    </row>
    <row r="105" customFormat="false" ht="31.5" hidden="false" customHeight="true" outlineLevel="0" collapsed="false">
      <c r="B105" s="15" t="s">
        <v>7651</v>
      </c>
      <c r="C105" s="15" t="s">
        <v>7652</v>
      </c>
      <c r="D105" s="15" t="s">
        <v>7653</v>
      </c>
      <c r="E105" s="15"/>
      <c r="F105" s="15"/>
      <c r="G105" s="15"/>
      <c r="H105" s="15"/>
    </row>
    <row r="106" customFormat="false" ht="44.25" hidden="false" customHeight="true" outlineLevel="0" collapsed="false">
      <c r="B106" s="15" t="s">
        <v>7654</v>
      </c>
      <c r="C106" s="15" t="s">
        <v>7655</v>
      </c>
      <c r="D106" s="15" t="s">
        <v>7656</v>
      </c>
      <c r="E106" s="15"/>
      <c r="F106" s="15"/>
      <c r="G106" s="15"/>
      <c r="H106" s="15"/>
    </row>
    <row r="108" customFormat="false" ht="15" hidden="false" customHeight="true" outlineLevel="0" collapsed="false">
      <c r="B108" s="105" t="s">
        <v>1507</v>
      </c>
    </row>
    <row r="109" customFormat="false" ht="17.25" hidden="false" customHeight="true" outlineLevel="0" collapsed="false">
      <c r="B109" s="106" t="s">
        <v>7657</v>
      </c>
      <c r="C109" s="106"/>
      <c r="D109" s="106"/>
      <c r="E109" s="106"/>
      <c r="F109" s="106"/>
      <c r="G109" s="106"/>
      <c r="H109" s="106"/>
      <c r="I109" s="106"/>
      <c r="J109" s="106"/>
    </row>
    <row r="110" customFormat="false" ht="17.25" hidden="false" customHeight="true" outlineLevel="0" collapsed="false">
      <c r="B110" s="106" t="s">
        <v>7658</v>
      </c>
      <c r="C110" s="106"/>
      <c r="D110" s="106"/>
      <c r="E110" s="106"/>
      <c r="F110" s="106"/>
      <c r="G110" s="106"/>
      <c r="H110" s="106"/>
      <c r="I110" s="106"/>
      <c r="J110" s="106"/>
    </row>
    <row r="111" customFormat="false" ht="17.25" hidden="false" customHeight="true" outlineLevel="0" collapsed="false">
      <c r="B111" s="106" t="s">
        <v>7659</v>
      </c>
      <c r="C111" s="106"/>
      <c r="D111" s="106"/>
      <c r="E111" s="106"/>
      <c r="F111" s="106"/>
      <c r="G111" s="106"/>
      <c r="H111" s="106"/>
      <c r="I111" s="106"/>
      <c r="J111" s="106"/>
    </row>
    <row r="112" customFormat="false" ht="17.25" hidden="false" customHeight="true" outlineLevel="0" collapsed="false">
      <c r="B112" s="106" t="s">
        <v>7660</v>
      </c>
      <c r="C112" s="106"/>
      <c r="D112" s="106"/>
      <c r="E112" s="106"/>
      <c r="F112" s="106"/>
      <c r="G112" s="106"/>
      <c r="H112" s="106"/>
      <c r="I112" s="106"/>
      <c r="J112" s="106"/>
    </row>
    <row r="113" customFormat="false" ht="17.25" hidden="false" customHeight="true" outlineLevel="0" collapsed="false">
      <c r="B113" s="106" t="s">
        <v>7661</v>
      </c>
      <c r="C113" s="106"/>
      <c r="D113" s="106"/>
      <c r="E113" s="106"/>
      <c r="F113" s="106"/>
      <c r="G113" s="106"/>
      <c r="H113" s="106"/>
      <c r="I113" s="106"/>
      <c r="J113" s="106"/>
    </row>
    <row r="115" customFormat="false" ht="15.75" hidden="false" customHeight="true" outlineLevel="0" collapsed="false">
      <c r="B115" s="103" t="s">
        <v>1513</v>
      </c>
      <c r="C115" s="8"/>
      <c r="D115" s="8"/>
      <c r="E115" s="8"/>
      <c r="F115" s="8"/>
      <c r="G115" s="8"/>
      <c r="H115" s="8"/>
      <c r="I115" s="8"/>
      <c r="J115" s="8"/>
      <c r="K115" s="8"/>
    </row>
    <row r="116" customFormat="false" ht="31.5" hidden="false" customHeight="true" outlineLevel="0" collapsed="false">
      <c r="B116" s="106" t="s">
        <v>6712</v>
      </c>
      <c r="C116" s="106"/>
      <c r="D116" s="106"/>
      <c r="E116" s="106"/>
      <c r="F116" s="106"/>
      <c r="N116" s="169" t="s">
        <v>1515</v>
      </c>
    </row>
    <row r="117" customFormat="false" ht="44.25" hidden="false" customHeight="true" outlineLevel="0" collapsed="false">
      <c r="B117" s="106" t="s">
        <v>7662</v>
      </c>
      <c r="C117" s="106"/>
      <c r="D117" s="106"/>
      <c r="E117" s="106"/>
      <c r="F117" s="106"/>
      <c r="N117" s="120" t="s">
        <v>7663</v>
      </c>
    </row>
    <row r="118" customFormat="false" ht="44.25" hidden="false" customHeight="true" outlineLevel="0" collapsed="false">
      <c r="B118" s="106" t="s">
        <v>7664</v>
      </c>
      <c r="C118" s="106"/>
      <c r="D118" s="106"/>
      <c r="E118" s="106"/>
      <c r="F118" s="106"/>
      <c r="N118" s="120" t="s">
        <v>7665</v>
      </c>
    </row>
    <row r="119" customFormat="false" ht="44.25" hidden="false" customHeight="true" outlineLevel="0" collapsed="false">
      <c r="B119" s="106" t="s">
        <v>7666</v>
      </c>
      <c r="C119" s="106"/>
      <c r="D119" s="106"/>
      <c r="E119" s="106"/>
      <c r="F119" s="106"/>
      <c r="N119" s="120" t="s">
        <v>7667</v>
      </c>
    </row>
    <row r="121" customFormat="false" ht="15.75" hidden="false" customHeight="true" outlineLevel="0" collapsed="false">
      <c r="B121" s="103" t="s">
        <v>1522</v>
      </c>
      <c r="C121" s="8"/>
      <c r="D121" s="8"/>
      <c r="E121" s="8"/>
      <c r="F121" s="8"/>
      <c r="G121" s="8"/>
      <c r="H121" s="8"/>
      <c r="I121" s="8"/>
      <c r="J121" s="8"/>
      <c r="K121" s="8"/>
    </row>
    <row r="122" customFormat="false" ht="17.25" hidden="false" customHeight="true" outlineLevel="0" collapsed="false">
      <c r="B122" s="152" t="s">
        <v>1523</v>
      </c>
      <c r="C122" s="152" t="s">
        <v>1524</v>
      </c>
      <c r="D122" s="152" t="s">
        <v>6719</v>
      </c>
      <c r="E122" s="152"/>
      <c r="F122" s="152"/>
    </row>
    <row r="123" customFormat="false" ht="44.25" hidden="false" customHeight="true" outlineLevel="0" collapsed="false">
      <c r="B123" s="170" t="s">
        <v>6752</v>
      </c>
      <c r="C123" s="170" t="s">
        <v>1153</v>
      </c>
      <c r="D123" s="171" t="s">
        <v>1089</v>
      </c>
      <c r="E123" s="171"/>
      <c r="F123" s="171"/>
    </row>
  </sheetData>
  <mergeCells count="66">
    <mergeCell ref="B2:J2"/>
    <mergeCell ref="D3:H3"/>
    <mergeCell ref="C6:G6"/>
    <mergeCell ref="C7:G7"/>
    <mergeCell ref="C8:G8"/>
    <mergeCell ref="B11:J13"/>
    <mergeCell ref="B14:J17"/>
    <mergeCell ref="B18:J21"/>
    <mergeCell ref="B22:J23"/>
    <mergeCell ref="B26:D26"/>
    <mergeCell ref="E26:I26"/>
    <mergeCell ref="B27:D27"/>
    <mergeCell ref="E27:I27"/>
    <mergeCell ref="B28:D28"/>
    <mergeCell ref="E28:I28"/>
    <mergeCell ref="B29:D29"/>
    <mergeCell ref="E29:I29"/>
    <mergeCell ref="B30:J30"/>
    <mergeCell ref="E32:G32"/>
    <mergeCell ref="E33:G33"/>
    <mergeCell ref="E34:G34"/>
    <mergeCell ref="E35:G35"/>
    <mergeCell ref="E36:G36"/>
    <mergeCell ref="B39:J41"/>
    <mergeCell ref="B43:J44"/>
    <mergeCell ref="B47:J48"/>
    <mergeCell ref="B50:J50"/>
    <mergeCell ref="D53:H53"/>
    <mergeCell ref="D54:H54"/>
    <mergeCell ref="D55:H55"/>
    <mergeCell ref="D56:H56"/>
    <mergeCell ref="D57:H57"/>
    <mergeCell ref="D58:H58"/>
    <mergeCell ref="B61:J63"/>
    <mergeCell ref="C64:E64"/>
    <mergeCell ref="E67:H67"/>
    <mergeCell ref="E68:H68"/>
    <mergeCell ref="E69:H69"/>
    <mergeCell ref="E70:H70"/>
    <mergeCell ref="B82:J82"/>
    <mergeCell ref="E83:I83"/>
    <mergeCell ref="E84:I84"/>
    <mergeCell ref="E85:I85"/>
    <mergeCell ref="E86:I86"/>
    <mergeCell ref="E87:I87"/>
    <mergeCell ref="E88:I88"/>
    <mergeCell ref="E89:I89"/>
    <mergeCell ref="B91:J91"/>
    <mergeCell ref="B97:J97"/>
    <mergeCell ref="C100:G100"/>
    <mergeCell ref="D102:H102"/>
    <mergeCell ref="D103:H103"/>
    <mergeCell ref="D104:H104"/>
    <mergeCell ref="D105:H105"/>
    <mergeCell ref="D106:H106"/>
    <mergeCell ref="B109:J109"/>
    <mergeCell ref="B110:J110"/>
    <mergeCell ref="B111:J111"/>
    <mergeCell ref="B112:J112"/>
    <mergeCell ref="B113:J113"/>
    <mergeCell ref="B116:F116"/>
    <mergeCell ref="B117:F117"/>
    <mergeCell ref="B118:F118"/>
    <mergeCell ref="B119:F119"/>
    <mergeCell ref="D122:F122"/>
    <mergeCell ref="D123:F123"/>
  </mergeCells>
  <hyperlinks>
    <hyperlink ref="B3" location="'N-03 Index DMAIC'!A1" display="← Back to Index"/>
    <hyperlink ref="E33" location="'L-11 OEE'!A1" display="L-11  Overall Equipment Effectiveness"/>
    <hyperlink ref="E34" location="'L-20 Heijunka'!A1" display="L-20  Heijunka (Level Loading)"/>
    <hyperlink ref="E35" location="'G-02 Business Case COPQ'!A1" display="G-02  Business Case and COPQ"/>
    <hyperlink ref="E36" location="'L-08 Littles Law and WIP'!A1" display="L-08  Little's Law and WIP"/>
    <hyperlink ref="B123" location="'L-07 Takt Cycle Lead Time'!A1" display="L-07  Takt, Cycle and Lead Time"/>
    <hyperlink ref="C123" location="'L-10 Line Balancing'!A1" display="L-10  Line Balancing and Yamazumi"/>
    <hyperlink ref="D123" location="'L-11 OEE'!A1" display="L-11  Overall Equipment Effectivenes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16"/>
    <col collapsed="false" customWidth="true" hidden="false" outlineLevel="0" max="7" min="5" style="1" width="18"/>
    <col collapsed="false" customWidth="true" hidden="false" outlineLevel="0" max="8" min="8" style="1" width="24"/>
    <col collapsed="false" customWidth="true" hidden="false" outlineLevel="0" max="10" min="9"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7668</v>
      </c>
      <c r="C2" s="148"/>
      <c r="D2" s="148"/>
      <c r="E2" s="148"/>
      <c r="F2" s="148"/>
      <c r="G2" s="148"/>
      <c r="H2" s="148"/>
      <c r="I2" s="148"/>
      <c r="J2" s="148"/>
      <c r="K2" s="179" t="s">
        <v>5137</v>
      </c>
    </row>
    <row r="3" customFormat="false" ht="42" hidden="false" customHeight="true" outlineLevel="0" collapsed="false">
      <c r="B3" s="150" t="s">
        <v>3</v>
      </c>
      <c r="D3" s="151" t="s">
        <v>7669</v>
      </c>
      <c r="E3" s="151"/>
      <c r="F3" s="151"/>
      <c r="G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7670</v>
      </c>
      <c r="D6" s="106"/>
      <c r="E6" s="106"/>
      <c r="F6" s="106"/>
    </row>
    <row r="7" customFormat="false" ht="31.5" hidden="false" customHeight="true" outlineLevel="0" collapsed="false">
      <c r="B7" s="105" t="s">
        <v>1394</v>
      </c>
      <c r="C7" s="106" t="s">
        <v>7671</v>
      </c>
      <c r="D7" s="106"/>
      <c r="E7" s="106"/>
      <c r="F7" s="106"/>
    </row>
    <row r="8" customFormat="false" ht="17.25" hidden="false" customHeight="true" outlineLevel="0" collapsed="false">
      <c r="B8" s="105" t="s">
        <v>1396</v>
      </c>
      <c r="C8" s="106" t="s">
        <v>7672</v>
      </c>
      <c r="D8" s="106"/>
      <c r="E8" s="106"/>
      <c r="F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7673</v>
      </c>
      <c r="C11" s="106"/>
      <c r="D11" s="106"/>
      <c r="E11" s="106"/>
      <c r="F11" s="106"/>
      <c r="G11" s="106"/>
    </row>
    <row r="12" customFormat="false" ht="10.5" hidden="false" customHeight="true" outlineLevel="0" collapsed="false">
      <c r="B12" s="106"/>
      <c r="C12" s="106"/>
      <c r="D12" s="106"/>
      <c r="E12" s="106"/>
      <c r="F12" s="106"/>
      <c r="G12" s="106"/>
    </row>
    <row r="13" customFormat="false" ht="10.5" hidden="false" customHeight="true" outlineLevel="0" collapsed="false">
      <c r="B13" s="106"/>
      <c r="C13" s="106"/>
      <c r="D13" s="106"/>
      <c r="E13" s="106"/>
      <c r="F13" s="106"/>
      <c r="G13" s="106"/>
    </row>
    <row r="14" customFormat="false" ht="15.75" hidden="false" customHeight="true" outlineLevel="0" collapsed="false">
      <c r="B14" s="106" t="s">
        <v>7674</v>
      </c>
      <c r="C14" s="106"/>
      <c r="D14" s="106"/>
      <c r="E14" s="106"/>
      <c r="F14" s="106"/>
      <c r="G14" s="106"/>
    </row>
    <row r="15" customFormat="false" ht="15.75" hidden="false" customHeight="true" outlineLevel="0" collapsed="false">
      <c r="B15" s="106"/>
      <c r="C15" s="106"/>
      <c r="D15" s="106"/>
      <c r="E15" s="106"/>
      <c r="F15" s="106"/>
      <c r="G15" s="106"/>
    </row>
    <row r="16" customFormat="false" ht="10.5" hidden="false" customHeight="true" outlineLevel="0" collapsed="false">
      <c r="B16" s="106" t="s">
        <v>7675</v>
      </c>
      <c r="C16" s="106"/>
      <c r="D16" s="106"/>
      <c r="E16" s="106"/>
      <c r="F16" s="106"/>
      <c r="G16" s="106"/>
    </row>
    <row r="17" customFormat="false" ht="10.5" hidden="false" customHeight="true" outlineLevel="0" collapsed="false">
      <c r="B17" s="106"/>
      <c r="C17" s="106"/>
      <c r="D17" s="106"/>
      <c r="E17" s="106"/>
      <c r="F17" s="106"/>
      <c r="G17" s="106"/>
    </row>
    <row r="18" customFormat="false" ht="10.5" hidden="false" customHeight="true" outlineLevel="0" collapsed="false">
      <c r="B18" s="106"/>
      <c r="C18" s="106"/>
      <c r="D18" s="106"/>
      <c r="E18" s="106"/>
      <c r="F18" s="106"/>
      <c r="G18" s="106"/>
    </row>
    <row r="19" customFormat="false" ht="15.75" hidden="false" customHeight="true" outlineLevel="0" collapsed="false">
      <c r="B19" s="106" t="s">
        <v>7676</v>
      </c>
      <c r="C19" s="106"/>
      <c r="D19" s="106"/>
      <c r="E19" s="106"/>
      <c r="F19" s="106"/>
      <c r="G19" s="106"/>
    </row>
    <row r="20" customFormat="false" ht="15.75" hidden="false" customHeight="true" outlineLevel="0" collapsed="false">
      <c r="B20" s="106"/>
      <c r="C20" s="106"/>
      <c r="D20" s="106"/>
      <c r="E20" s="106"/>
      <c r="F20" s="106"/>
      <c r="G20" s="106"/>
    </row>
    <row r="21" customFormat="false" ht="15.75" hidden="false" customHeight="true" outlineLevel="0" collapsed="false">
      <c r="B21" s="106" t="s">
        <v>7677</v>
      </c>
      <c r="C21" s="106"/>
      <c r="D21" s="106"/>
      <c r="E21" s="106"/>
      <c r="F21" s="106"/>
      <c r="G21" s="106"/>
    </row>
    <row r="22" customFormat="false" ht="15.75" hidden="false" customHeight="true" outlineLevel="0" collapsed="false">
      <c r="B22" s="106"/>
      <c r="C22" s="106"/>
      <c r="D22" s="106"/>
      <c r="E22" s="106"/>
      <c r="F22" s="106"/>
      <c r="G22" s="106"/>
    </row>
    <row r="24" customFormat="false" ht="15.75" hidden="false" customHeight="true" outlineLevel="0" collapsed="false">
      <c r="B24" s="103" t="s">
        <v>1406</v>
      </c>
      <c r="C24" s="8"/>
      <c r="D24" s="8"/>
      <c r="E24" s="8"/>
      <c r="F24" s="8"/>
      <c r="G24" s="8"/>
      <c r="H24" s="8"/>
      <c r="I24" s="8"/>
      <c r="J24" s="8"/>
      <c r="K24" s="8"/>
    </row>
    <row r="25" customFormat="false" ht="17.25" hidden="false" customHeight="true" outlineLevel="0" collapsed="false">
      <c r="B25" s="107" t="s">
        <v>1407</v>
      </c>
      <c r="C25" s="107"/>
      <c r="D25" s="107"/>
      <c r="E25" s="107" t="s">
        <v>1408</v>
      </c>
      <c r="F25" s="107"/>
      <c r="G25" s="107"/>
    </row>
    <row r="26" customFormat="false" ht="31.5" hidden="false" customHeight="true" outlineLevel="0" collapsed="false">
      <c r="B26" s="106" t="s">
        <v>7678</v>
      </c>
      <c r="C26" s="106"/>
      <c r="D26" s="106"/>
      <c r="E26" s="106" t="s">
        <v>7679</v>
      </c>
      <c r="F26" s="106"/>
      <c r="G26" s="106"/>
    </row>
    <row r="27" customFormat="false" ht="31.5" hidden="false" customHeight="true" outlineLevel="0" collapsed="false">
      <c r="B27" s="106" t="s">
        <v>7680</v>
      </c>
      <c r="C27" s="106"/>
      <c r="D27" s="106"/>
      <c r="E27" s="106" t="s">
        <v>7681</v>
      </c>
      <c r="F27" s="106"/>
      <c r="G27" s="106"/>
    </row>
    <row r="28" customFormat="false" ht="31.5" hidden="false" customHeight="true" outlineLevel="0" collapsed="false">
      <c r="B28" s="106" t="s">
        <v>7682</v>
      </c>
      <c r="C28" s="106"/>
      <c r="D28" s="106"/>
      <c r="E28" s="106" t="s">
        <v>7683</v>
      </c>
      <c r="F28" s="106"/>
      <c r="G28" s="106"/>
    </row>
    <row r="29" customFormat="false" ht="17.25" hidden="false" customHeight="true" outlineLevel="0" collapsed="false">
      <c r="B29" s="106" t="s">
        <v>7684</v>
      </c>
      <c r="C29" s="106"/>
      <c r="D29" s="106"/>
      <c r="E29" s="106"/>
      <c r="F29" s="106"/>
      <c r="G29" s="106"/>
    </row>
    <row r="31" customFormat="false" ht="17.25" hidden="false" customHeight="true" outlineLevel="0" collapsed="false">
      <c r="B31" s="152" t="s">
        <v>6621</v>
      </c>
      <c r="C31" s="152" t="s">
        <v>1417</v>
      </c>
      <c r="D31" s="152" t="s">
        <v>1418</v>
      </c>
      <c r="E31" s="152" t="s">
        <v>1419</v>
      </c>
      <c r="F31" s="152"/>
    </row>
    <row r="32" customFormat="false" ht="58.5" hidden="false" customHeight="true" outlineLevel="0" collapsed="false">
      <c r="B32" s="15" t="s">
        <v>7685</v>
      </c>
      <c r="C32" s="15" t="s">
        <v>7686</v>
      </c>
      <c r="D32" s="15" t="s">
        <v>7687</v>
      </c>
      <c r="E32" s="153" t="s">
        <v>6744</v>
      </c>
      <c r="F32" s="153"/>
    </row>
    <row r="33" customFormat="false" ht="72" hidden="false" customHeight="true" outlineLevel="0" collapsed="false">
      <c r="B33" s="15" t="s">
        <v>7688</v>
      </c>
      <c r="C33" s="15" t="s">
        <v>7689</v>
      </c>
      <c r="D33" s="15" t="s">
        <v>7690</v>
      </c>
      <c r="E33" s="153" t="s">
        <v>7332</v>
      </c>
      <c r="F33" s="153"/>
    </row>
    <row r="34" customFormat="false" ht="44.25" hidden="false" customHeight="true" outlineLevel="0" collapsed="false">
      <c r="B34" s="15" t="s">
        <v>7691</v>
      </c>
      <c r="C34" s="15" t="s">
        <v>7692</v>
      </c>
      <c r="D34" s="15" t="s">
        <v>7693</v>
      </c>
      <c r="E34" s="153" t="s">
        <v>6752</v>
      </c>
      <c r="F34" s="153"/>
    </row>
    <row r="35" customFormat="false" ht="58.5" hidden="false" customHeight="true" outlineLevel="0" collapsed="false">
      <c r="B35" s="15" t="s">
        <v>7694</v>
      </c>
      <c r="C35" s="15" t="s">
        <v>7695</v>
      </c>
      <c r="D35" s="15" t="s">
        <v>7696</v>
      </c>
      <c r="E35" s="153" t="s">
        <v>7697</v>
      </c>
      <c r="F35" s="153"/>
    </row>
    <row r="37" customFormat="false" ht="15.75" hidden="false" customHeight="true" outlineLevel="0" collapsed="false">
      <c r="B37" s="103" t="s">
        <v>1429</v>
      </c>
      <c r="C37" s="8"/>
      <c r="D37" s="8"/>
      <c r="E37" s="8"/>
      <c r="F37" s="8"/>
      <c r="G37" s="8"/>
      <c r="H37" s="8"/>
      <c r="I37" s="8"/>
      <c r="J37" s="8"/>
      <c r="K37" s="8"/>
    </row>
    <row r="38" customFormat="false" ht="7.5" hidden="false" customHeight="true" outlineLevel="0" collapsed="false">
      <c r="B38" s="106" t="s">
        <v>7698</v>
      </c>
      <c r="C38" s="106"/>
      <c r="D38" s="106"/>
      <c r="E38" s="106"/>
      <c r="F38" s="106"/>
      <c r="G38" s="106"/>
    </row>
    <row r="39" customFormat="false" ht="7.5" hidden="false" customHeight="true" outlineLevel="0" collapsed="false">
      <c r="B39" s="106"/>
      <c r="C39" s="106"/>
      <c r="D39" s="106"/>
      <c r="E39" s="106"/>
      <c r="F39" s="106"/>
      <c r="G39" s="106"/>
    </row>
    <row r="40" customFormat="false" ht="7.5" hidden="false" customHeight="true" outlineLevel="0" collapsed="false">
      <c r="B40" s="106"/>
      <c r="C40" s="106"/>
      <c r="D40" s="106"/>
      <c r="E40" s="106"/>
      <c r="F40" s="106"/>
      <c r="G40" s="106"/>
    </row>
    <row r="41" customFormat="false" ht="7.5" hidden="false" customHeight="true" outlineLevel="0" collapsed="false">
      <c r="B41" s="106"/>
      <c r="C41" s="106"/>
      <c r="D41" s="106"/>
      <c r="E41" s="106"/>
      <c r="F41" s="106"/>
      <c r="G41" s="106"/>
    </row>
    <row r="42" customFormat="false" ht="15" hidden="false" customHeight="true" outlineLevel="0" collapsed="false">
      <c r="B42" s="122"/>
    </row>
    <row r="43" customFormat="false" ht="8.25" hidden="false" customHeight="true" outlineLevel="0" collapsed="false">
      <c r="B43" s="106" t="s">
        <v>7699</v>
      </c>
      <c r="C43" s="106"/>
      <c r="D43" s="106"/>
      <c r="E43" s="106"/>
      <c r="F43" s="106"/>
      <c r="G43" s="106"/>
    </row>
    <row r="44" customFormat="false" ht="8.25" hidden="false" customHeight="true" outlineLevel="0" collapsed="false">
      <c r="B44" s="106"/>
      <c r="C44" s="106"/>
      <c r="D44" s="106"/>
      <c r="E44" s="106"/>
      <c r="F44" s="106"/>
      <c r="G44" s="106"/>
    </row>
    <row r="45" customFormat="false" ht="17.25" hidden="false" customHeight="true" outlineLevel="0" collapsed="false">
      <c r="B45" s="106" t="s">
        <v>7700</v>
      </c>
      <c r="C45" s="106"/>
      <c r="D45" s="106"/>
      <c r="E45" s="106"/>
      <c r="F45" s="106"/>
      <c r="G45" s="106"/>
    </row>
    <row r="46" customFormat="false" ht="15" hidden="false" customHeight="true" outlineLevel="0" collapsed="false">
      <c r="B46" s="122"/>
    </row>
    <row r="47" customFormat="false" ht="17.25" hidden="false" customHeight="true" outlineLevel="0" collapsed="false">
      <c r="B47" s="106" t="s">
        <v>7701</v>
      </c>
      <c r="C47" s="106"/>
      <c r="D47" s="106"/>
      <c r="E47" s="106"/>
      <c r="F47" s="106"/>
      <c r="G47" s="106"/>
    </row>
    <row r="48" customFormat="false" ht="17.25" hidden="false" customHeight="true" outlineLevel="0" collapsed="false">
      <c r="B48" s="106" t="s">
        <v>7702</v>
      </c>
      <c r="C48" s="106"/>
      <c r="D48" s="106"/>
      <c r="E48" s="106"/>
      <c r="F48" s="106"/>
      <c r="G48" s="106"/>
    </row>
    <row r="50" customFormat="false" ht="15.75" hidden="false" customHeight="true" outlineLevel="0" collapsed="false">
      <c r="B50" s="103" t="s">
        <v>1437</v>
      </c>
      <c r="C50" s="8"/>
      <c r="D50" s="8"/>
      <c r="E50" s="8"/>
      <c r="F50" s="8"/>
      <c r="G50" s="8"/>
      <c r="H50" s="8"/>
      <c r="I50" s="8"/>
      <c r="J50" s="8"/>
      <c r="K50" s="8"/>
    </row>
    <row r="51" customFormat="false" ht="16.5" hidden="false" customHeight="true" outlineLevel="0" collapsed="false">
      <c r="B51" s="152" t="s">
        <v>1438</v>
      </c>
      <c r="C51" s="152" t="s">
        <v>1439</v>
      </c>
      <c r="D51" s="152" t="s">
        <v>1440</v>
      </c>
    </row>
    <row r="52" customFormat="false" ht="44.25" hidden="false" customHeight="true" outlineLevel="0" collapsed="false">
      <c r="B52" s="15" t="s">
        <v>6757</v>
      </c>
      <c r="C52" s="15" t="s">
        <v>7703</v>
      </c>
      <c r="D52" s="15" t="s">
        <v>7704</v>
      </c>
    </row>
    <row r="53" customFormat="false" ht="30.75" hidden="false" customHeight="true" outlineLevel="0" collapsed="false">
      <c r="B53" s="15" t="s">
        <v>2588</v>
      </c>
      <c r="C53" s="15" t="s">
        <v>7705</v>
      </c>
      <c r="D53" s="15" t="s">
        <v>7706</v>
      </c>
    </row>
    <row r="54" customFormat="false" ht="30.75" hidden="false" customHeight="true" outlineLevel="0" collapsed="false">
      <c r="B54" s="15" t="s">
        <v>2667</v>
      </c>
      <c r="C54" s="15" t="s">
        <v>7707</v>
      </c>
      <c r="D54" s="15" t="s">
        <v>7708</v>
      </c>
    </row>
    <row r="55" customFormat="false" ht="30.75" hidden="false" customHeight="true" outlineLevel="0" collapsed="false">
      <c r="B55" s="15" t="s">
        <v>1920</v>
      </c>
      <c r="C55" s="15" t="s">
        <v>7709</v>
      </c>
      <c r="D55" s="15" t="s">
        <v>7710</v>
      </c>
    </row>
    <row r="56" customFormat="false" ht="30.75" hidden="false" customHeight="true" outlineLevel="0" collapsed="false">
      <c r="B56" s="15" t="s">
        <v>3248</v>
      </c>
      <c r="C56" s="15" t="s">
        <v>7711</v>
      </c>
      <c r="D56" s="15" t="s">
        <v>7712</v>
      </c>
    </row>
    <row r="58" customFormat="false" ht="15.75" hidden="false" customHeight="true" outlineLevel="0" collapsed="false">
      <c r="B58" s="103" t="s">
        <v>1454</v>
      </c>
      <c r="C58" s="8"/>
      <c r="D58" s="8"/>
      <c r="E58" s="8"/>
      <c r="F58" s="8"/>
      <c r="G58" s="8"/>
      <c r="H58" s="8"/>
      <c r="I58" s="8"/>
      <c r="J58" s="8"/>
      <c r="K58" s="8"/>
    </row>
    <row r="59" customFormat="false" ht="10.5" hidden="false" customHeight="true" outlineLevel="0" collapsed="false">
      <c r="B59" s="106" t="s">
        <v>7713</v>
      </c>
      <c r="C59" s="106"/>
      <c r="D59" s="106"/>
      <c r="E59" s="106"/>
      <c r="F59" s="106"/>
      <c r="G59" s="106"/>
    </row>
    <row r="60" customFormat="false" ht="10.5" hidden="false" customHeight="true" outlineLevel="0" collapsed="false">
      <c r="B60" s="106"/>
      <c r="C60" s="106"/>
      <c r="D60" s="106"/>
      <c r="E60" s="106"/>
      <c r="F60" s="106"/>
      <c r="G60" s="106"/>
    </row>
    <row r="61" customFormat="false" ht="10.5" hidden="false" customHeight="true" outlineLevel="0" collapsed="false">
      <c r="B61" s="106"/>
      <c r="C61" s="106"/>
      <c r="D61" s="106"/>
      <c r="E61" s="106"/>
      <c r="F61" s="106"/>
      <c r="G61" s="106"/>
    </row>
    <row r="62" customFormat="false" ht="17.25" hidden="false" customHeight="true" outlineLevel="0" collapsed="false">
      <c r="B62" s="112" t="s">
        <v>85</v>
      </c>
      <c r="C62" s="113" t="s">
        <v>86</v>
      </c>
      <c r="D62" s="113"/>
    </row>
    <row r="64" customFormat="false" ht="17.25" hidden="false" customHeight="true" outlineLevel="0" collapsed="false">
      <c r="B64" s="107" t="s">
        <v>7714</v>
      </c>
      <c r="C64" s="107"/>
      <c r="D64" s="107"/>
      <c r="E64" s="107"/>
      <c r="F64" s="107"/>
      <c r="G64" s="107"/>
    </row>
    <row r="65" customFormat="false" ht="17.25" hidden="false" customHeight="true" outlineLevel="0" collapsed="false">
      <c r="B65" s="152" t="s">
        <v>7376</v>
      </c>
      <c r="C65" s="152" t="s">
        <v>6654</v>
      </c>
      <c r="D65" s="152" t="s">
        <v>6575</v>
      </c>
      <c r="E65" s="152" t="s">
        <v>6655</v>
      </c>
      <c r="F65" s="152"/>
    </row>
    <row r="66" customFormat="false" ht="17.25" hidden="false" customHeight="true" outlineLevel="0" collapsed="false">
      <c r="B66" s="15" t="s">
        <v>7715</v>
      </c>
      <c r="C66" s="155" t="n">
        <v>380</v>
      </c>
      <c r="D66" s="15" t="s">
        <v>6816</v>
      </c>
      <c r="E66" s="15" t="s">
        <v>7716</v>
      </c>
      <c r="F66" s="15"/>
    </row>
    <row r="67" customFormat="false" ht="17.25" hidden="false" customHeight="true" outlineLevel="0" collapsed="false">
      <c r="B67" s="15" t="s">
        <v>7717</v>
      </c>
      <c r="C67" s="173" t="n">
        <v>1500</v>
      </c>
      <c r="D67" s="15" t="s">
        <v>7718</v>
      </c>
      <c r="E67" s="15" t="s">
        <v>7719</v>
      </c>
      <c r="F67" s="15"/>
    </row>
    <row r="68" customFormat="false" ht="17.25" hidden="false" customHeight="true" outlineLevel="0" collapsed="false">
      <c r="B68" s="15" t="s">
        <v>7386</v>
      </c>
      <c r="C68" s="158" t="n">
        <f aca="false">IFERROR(C66*60/C67,0)</f>
        <v>15.2</v>
      </c>
      <c r="D68" s="15" t="s">
        <v>7720</v>
      </c>
      <c r="E68" s="15" t="s">
        <v>7721</v>
      </c>
      <c r="F68" s="15"/>
    </row>
    <row r="70" customFormat="false" ht="17.25" hidden="false" customHeight="true" outlineLevel="0" collapsed="false">
      <c r="B70" s="107" t="s">
        <v>7722</v>
      </c>
      <c r="C70" s="107"/>
      <c r="D70" s="107"/>
      <c r="E70" s="107"/>
      <c r="F70" s="107"/>
      <c r="G70" s="107"/>
    </row>
    <row r="71" customFormat="false" ht="16.5" hidden="false" customHeight="true" outlineLevel="0" collapsed="false">
      <c r="B71" s="152" t="s">
        <v>7723</v>
      </c>
      <c r="C71" s="152" t="s">
        <v>7724</v>
      </c>
      <c r="D71" s="152" t="s">
        <v>7725</v>
      </c>
      <c r="E71" s="152" t="s">
        <v>7726</v>
      </c>
      <c r="F71" s="152" t="s">
        <v>7727</v>
      </c>
    </row>
    <row r="72" customFormat="false" ht="16.5" hidden="false" customHeight="true" outlineLevel="0" collapsed="false">
      <c r="B72" s="15" t="s">
        <v>7728</v>
      </c>
      <c r="C72" s="157" t="n">
        <v>7.5</v>
      </c>
      <c r="D72" s="177" t="s">
        <v>6909</v>
      </c>
      <c r="E72" s="155" t="n">
        <v>1</v>
      </c>
      <c r="F72" s="155" t="n">
        <v>1</v>
      </c>
    </row>
    <row r="73" customFormat="false" ht="16.5" hidden="false" customHeight="true" outlineLevel="0" collapsed="false">
      <c r="B73" s="15" t="s">
        <v>7729</v>
      </c>
      <c r="C73" s="157" t="n">
        <v>5</v>
      </c>
      <c r="D73" s="177" t="s">
        <v>378</v>
      </c>
      <c r="E73" s="155" t="n">
        <v>1</v>
      </c>
      <c r="F73" s="155" t="n">
        <v>1</v>
      </c>
    </row>
    <row r="74" customFormat="false" ht="16.5" hidden="false" customHeight="true" outlineLevel="0" collapsed="false">
      <c r="B74" s="15" t="s">
        <v>7730</v>
      </c>
      <c r="C74" s="157" t="n">
        <v>14</v>
      </c>
      <c r="D74" s="177" t="s">
        <v>5359</v>
      </c>
      <c r="E74" s="155" t="n">
        <v>1</v>
      </c>
      <c r="F74" s="155" t="n">
        <v>2</v>
      </c>
    </row>
    <row r="75" customFormat="false" ht="16.5" hidden="false" customHeight="true" outlineLevel="0" collapsed="false">
      <c r="B75" s="15" t="s">
        <v>7731</v>
      </c>
      <c r="C75" s="157" t="n">
        <v>4.5</v>
      </c>
      <c r="D75" s="177" t="s">
        <v>640</v>
      </c>
      <c r="E75" s="155" t="n">
        <v>2</v>
      </c>
      <c r="F75" s="155" t="n">
        <v>3</v>
      </c>
    </row>
    <row r="76" customFormat="false" ht="16.5" hidden="false" customHeight="true" outlineLevel="0" collapsed="false">
      <c r="B76" s="15" t="s">
        <v>7732</v>
      </c>
      <c r="C76" s="157" t="n">
        <v>9</v>
      </c>
      <c r="D76" s="177" t="s">
        <v>640</v>
      </c>
      <c r="E76" s="155" t="n">
        <v>2</v>
      </c>
      <c r="F76" s="155" t="n">
        <v>3</v>
      </c>
    </row>
    <row r="77" customFormat="false" ht="16.5" hidden="false" customHeight="true" outlineLevel="0" collapsed="false">
      <c r="B77" s="15" t="s">
        <v>7733</v>
      </c>
      <c r="C77" s="157" t="n">
        <v>6.5</v>
      </c>
      <c r="D77" s="177" t="s">
        <v>7734</v>
      </c>
      <c r="E77" s="155" t="n">
        <v>2</v>
      </c>
      <c r="F77" s="155" t="n">
        <v>4</v>
      </c>
    </row>
    <row r="78" customFormat="false" ht="16.5" hidden="false" customHeight="true" outlineLevel="0" collapsed="false">
      <c r="B78" s="15" t="s">
        <v>7735</v>
      </c>
      <c r="C78" s="157" t="n">
        <v>3.5</v>
      </c>
      <c r="D78" s="177" t="s">
        <v>2257</v>
      </c>
      <c r="E78" s="155" t="n">
        <v>3</v>
      </c>
      <c r="F78" s="155" t="n">
        <v>4</v>
      </c>
    </row>
    <row r="79" customFormat="false" ht="16.5" hidden="false" customHeight="true" outlineLevel="0" collapsed="false">
      <c r="B79" s="15" t="s">
        <v>7736</v>
      </c>
      <c r="C79" s="157" t="n">
        <v>5</v>
      </c>
      <c r="D79" s="177" t="s">
        <v>43</v>
      </c>
      <c r="E79" s="155" t="n">
        <v>3</v>
      </c>
      <c r="F79" s="155" t="n">
        <v>4</v>
      </c>
    </row>
    <row r="81" customFormat="false" ht="17.25" hidden="false" customHeight="true" outlineLevel="0" collapsed="false">
      <c r="B81" s="107" t="s">
        <v>7737</v>
      </c>
      <c r="C81" s="107"/>
      <c r="D81" s="107"/>
      <c r="E81" s="107"/>
      <c r="F81" s="107"/>
      <c r="G81" s="107"/>
    </row>
    <row r="82" customFormat="false" ht="44.25" hidden="false" customHeight="true" outlineLevel="0" collapsed="false">
      <c r="B82" s="152" t="s">
        <v>7392</v>
      </c>
      <c r="C82" s="152" t="s">
        <v>7738</v>
      </c>
      <c r="D82" s="152" t="s">
        <v>7739</v>
      </c>
      <c r="E82" s="152" t="s">
        <v>7740</v>
      </c>
      <c r="F82" s="152" t="s">
        <v>7741</v>
      </c>
      <c r="G82" s="152" t="s">
        <v>7742</v>
      </c>
      <c r="H82" s="152" t="s">
        <v>6916</v>
      </c>
    </row>
    <row r="83" customFormat="false" ht="16.5" hidden="false" customHeight="true" outlineLevel="0" collapsed="false">
      <c r="B83" s="15" t="s">
        <v>7743</v>
      </c>
      <c r="C83" s="158" t="n">
        <f aca="false">SUMIF($E$72:$E$79,1,$C$72:$C$79)</f>
        <v>26.5</v>
      </c>
      <c r="D83" s="160" t="n">
        <f aca="false">IFERROR(C83/$C$68,0)</f>
        <v>1.74342105263158</v>
      </c>
      <c r="E83" s="158" t="n">
        <f aca="false">SUMIF($F$72:$F$79,1,$C$72:$C$79)</f>
        <v>12.5</v>
      </c>
      <c r="F83" s="160" t="n">
        <f aca="false">IFERROR(E83/$C$68,0)</f>
        <v>0.822368421052632</v>
      </c>
      <c r="G83" s="158" t="n">
        <f aca="false">IFERROR($C$68-E83,0)</f>
        <v>2.7</v>
      </c>
      <c r="H83" s="167" t="str">
        <f aca="false">IF(E83&gt;$C$68,"OVERLOADED — cannot hold takt",IF(E83&gt;0.95*$C$68,"At the limit","OK"))</f>
        <v>OK</v>
      </c>
    </row>
    <row r="84" customFormat="false" ht="16.5" hidden="false" customHeight="true" outlineLevel="0" collapsed="false">
      <c r="B84" s="15" t="s">
        <v>7744</v>
      </c>
      <c r="C84" s="158" t="n">
        <f aca="false">SUMIF($E$72:$E$79,2,$C$72:$C$79)</f>
        <v>20</v>
      </c>
      <c r="D84" s="160" t="n">
        <f aca="false">IFERROR(C84/$C$68,0)</f>
        <v>1.31578947368421</v>
      </c>
      <c r="E84" s="158" t="n">
        <f aca="false">SUMIF($F$72:$F$79,2,$C$72:$C$79)</f>
        <v>14</v>
      </c>
      <c r="F84" s="160" t="n">
        <f aca="false">IFERROR(E84/$C$68,0)</f>
        <v>0.921052631578948</v>
      </c>
      <c r="G84" s="158" t="n">
        <f aca="false">IFERROR($C$68-E84,0)</f>
        <v>1.2</v>
      </c>
      <c r="H84" s="167" t="str">
        <f aca="false">IF(E84&gt;$C$68,"OVERLOADED — cannot hold takt",IF(E84&gt;0.95*$C$68,"At the limit","OK"))</f>
        <v>OK</v>
      </c>
    </row>
    <row r="85" customFormat="false" ht="16.5" hidden="false" customHeight="true" outlineLevel="0" collapsed="false">
      <c r="B85" s="15" t="s">
        <v>7745</v>
      </c>
      <c r="C85" s="158" t="n">
        <f aca="false">SUMIF($E$72:$E$79,3,$C$72:$C$79)</f>
        <v>8.5</v>
      </c>
      <c r="D85" s="160" t="n">
        <f aca="false">IFERROR(C85/$C$68,0)</f>
        <v>0.55921052631579</v>
      </c>
      <c r="E85" s="158" t="n">
        <f aca="false">SUMIF($F$72:$F$79,3,$C$72:$C$79)</f>
        <v>13.5</v>
      </c>
      <c r="F85" s="160" t="n">
        <f aca="false">IFERROR(E85/$C$68,0)</f>
        <v>0.888157894736842</v>
      </c>
      <c r="G85" s="158" t="n">
        <f aca="false">IFERROR($C$68-E85,0)</f>
        <v>1.7</v>
      </c>
      <c r="H85" s="167" t="str">
        <f aca="false">IF(E85&gt;$C$68,"OVERLOADED — cannot hold takt",IF(E85&gt;0.95*$C$68,"At the limit","OK"))</f>
        <v>OK</v>
      </c>
    </row>
    <row r="86" customFormat="false" ht="16.5" hidden="false" customHeight="true" outlineLevel="0" collapsed="false">
      <c r="B86" s="15" t="s">
        <v>7746</v>
      </c>
      <c r="C86" s="158" t="n">
        <f aca="false">SUMIF($E$72:$E$79,4,$C$72:$C$79)</f>
        <v>0</v>
      </c>
      <c r="D86" s="160" t="n">
        <f aca="false">IFERROR(C86/$C$68,0)</f>
        <v>0</v>
      </c>
      <c r="E86" s="158" t="n">
        <f aca="false">SUMIF($F$72:$F$79,4,$C$72:$C$79)</f>
        <v>15</v>
      </c>
      <c r="F86" s="160" t="n">
        <f aca="false">IFERROR(E86/$C$68,0)</f>
        <v>0.986842105263158</v>
      </c>
      <c r="G86" s="158" t="n">
        <f aca="false">IFERROR($C$68-E86,0)</f>
        <v>0.199999999999999</v>
      </c>
      <c r="H86" s="167" t="str">
        <f aca="false">IF(E86&gt;$C$68,"OVERLOADED — cannot hold takt",IF(E86&gt;0.95*$C$68,"At the limit","OK"))</f>
        <v>At the limit</v>
      </c>
    </row>
    <row r="88" customFormat="false" ht="15" hidden="false" customHeight="true" outlineLevel="0" collapsed="false">
      <c r="B88" s="105" t="s">
        <v>7747</v>
      </c>
    </row>
    <row r="89" customFormat="false" ht="16.5" hidden="false" customHeight="true" outlineLevel="0" collapsed="false">
      <c r="B89" s="152" t="s">
        <v>1929</v>
      </c>
      <c r="C89" s="152" t="s">
        <v>7748</v>
      </c>
      <c r="D89" s="152" t="s">
        <v>7749</v>
      </c>
      <c r="E89" s="152" t="s">
        <v>6575</v>
      </c>
      <c r="F89" s="152" t="s">
        <v>6796</v>
      </c>
    </row>
    <row r="90" customFormat="false" ht="30.75" hidden="false" customHeight="true" outlineLevel="0" collapsed="false">
      <c r="B90" s="15" t="s">
        <v>7750</v>
      </c>
      <c r="C90" s="158" t="n">
        <f aca="false">SUM(C72:C79)</f>
        <v>55</v>
      </c>
      <c r="D90" s="158" t="n">
        <f aca="false">SUM(C72:C79)</f>
        <v>55</v>
      </c>
      <c r="E90" s="15" t="s">
        <v>7751</v>
      </c>
      <c r="F90" s="15" t="s">
        <v>7752</v>
      </c>
    </row>
    <row r="91" customFormat="false" ht="16.5" hidden="false" customHeight="true" outlineLevel="0" collapsed="false">
      <c r="B91" s="15" t="s">
        <v>7753</v>
      </c>
      <c r="C91" s="161" t="n">
        <f aca="false">COUNTIF(C83:C86,"&gt;0")</f>
        <v>3</v>
      </c>
      <c r="D91" s="161" t="n">
        <f aca="false">COUNTIF(E83:E86,"&gt;0")</f>
        <v>4</v>
      </c>
      <c r="E91" s="15" t="s">
        <v>7754</v>
      </c>
      <c r="F91" s="15" t="s">
        <v>7755</v>
      </c>
    </row>
    <row r="92" customFormat="false" ht="16.5" hidden="false" customHeight="true" outlineLevel="0" collapsed="false">
      <c r="B92" s="15" t="s">
        <v>7756</v>
      </c>
      <c r="C92" s="158" t="n">
        <f aca="false">MAX(C83:C86)</f>
        <v>26.5</v>
      </c>
      <c r="D92" s="158" t="n">
        <f aca="false">MAX(E83:E86)</f>
        <v>15</v>
      </c>
      <c r="E92" s="15" t="s">
        <v>7751</v>
      </c>
      <c r="F92" s="15" t="s">
        <v>7757</v>
      </c>
    </row>
    <row r="93" customFormat="false" ht="30.75" hidden="false" customHeight="true" outlineLevel="0" collapsed="false">
      <c r="B93" s="15" t="s">
        <v>7758</v>
      </c>
      <c r="C93" s="161" t="n">
        <f aca="false">IFERROR(ROUNDUP(C90/$C$68,0),0)</f>
        <v>4</v>
      </c>
      <c r="D93" s="161" t="n">
        <f aca="false">IFERROR(ROUNDUP(D90/$C$68,0),0)</f>
        <v>4</v>
      </c>
      <c r="E93" s="15" t="s">
        <v>7754</v>
      </c>
      <c r="F93" s="15" t="s">
        <v>7759</v>
      </c>
    </row>
    <row r="94" customFormat="false" ht="30.75" hidden="false" customHeight="true" outlineLevel="0" collapsed="false">
      <c r="B94" s="15" t="s">
        <v>7760</v>
      </c>
      <c r="C94" s="160" t="n">
        <f aca="false">IFERROR(C90/(C91*C92),0)</f>
        <v>0.691823899371069</v>
      </c>
      <c r="D94" s="160" t="n">
        <f aca="false">IFERROR(D90/(D91*D92),0)</f>
        <v>0.916666666666667</v>
      </c>
      <c r="E94" s="15"/>
      <c r="F94" s="15" t="s">
        <v>7761</v>
      </c>
    </row>
    <row r="95" customFormat="false" ht="16.5" hidden="false" customHeight="true" outlineLevel="0" collapsed="false">
      <c r="B95" s="15" t="s">
        <v>7762</v>
      </c>
      <c r="C95" s="160" t="n">
        <f aca="false">1-C94</f>
        <v>0.308176100628931</v>
      </c>
      <c r="D95" s="160" t="n">
        <f aca="false">1-D94</f>
        <v>0.0833333333333334</v>
      </c>
      <c r="E95" s="15"/>
      <c r="F95" s="15" t="s">
        <v>7763</v>
      </c>
    </row>
    <row r="96" customFormat="false" ht="16.5" hidden="false" customHeight="true" outlineLevel="0" collapsed="false">
      <c r="B96" s="15" t="s">
        <v>7764</v>
      </c>
      <c r="C96" s="159" t="n">
        <f aca="false">IFERROR(3600/C92,0)</f>
        <v>135.849056603774</v>
      </c>
      <c r="D96" s="159" t="n">
        <f aca="false">IFERROR(3600/D92,0)</f>
        <v>240</v>
      </c>
      <c r="E96" s="15" t="s">
        <v>7765</v>
      </c>
      <c r="F96" s="15" t="s">
        <v>7766</v>
      </c>
    </row>
    <row r="97" customFormat="false" ht="16.5" hidden="false" customHeight="true" outlineLevel="0" collapsed="false">
      <c r="B97" s="15" t="s">
        <v>7412</v>
      </c>
      <c r="C97" s="159" t="n">
        <f aca="false">IFERROR(3600/$C$68,0)</f>
        <v>236.842105263158</v>
      </c>
      <c r="D97" s="159" t="n">
        <f aca="false">IFERROR(3600/$C$68,0)</f>
        <v>236.842105263158</v>
      </c>
      <c r="E97" s="15" t="s">
        <v>7765</v>
      </c>
      <c r="F97" s="15" t="s">
        <v>7413</v>
      </c>
    </row>
    <row r="99" customFormat="false" ht="15.75" hidden="false" customHeight="true" outlineLevel="0" collapsed="false">
      <c r="B99" s="103" t="s">
        <v>1493</v>
      </c>
      <c r="C99" s="8"/>
      <c r="D99" s="8"/>
      <c r="E99" s="8"/>
      <c r="F99" s="8"/>
      <c r="G99" s="8"/>
      <c r="H99" s="8"/>
      <c r="I99" s="8"/>
      <c r="J99" s="8"/>
      <c r="K99" s="8"/>
    </row>
    <row r="100" customFormat="false" ht="49.5" hidden="false" customHeight="true" outlineLevel="0" collapsed="false">
      <c r="B100" s="105" t="s">
        <v>1494</v>
      </c>
      <c r="C100" s="168" t="str">
        <f aca="false">"Work content is "&amp;TEXT(C90,"0.0")&amp;" s against a takt of "&amp;TEXT($C$68,"0.0")&amp;" s, so the theoretical minimum is "&amp;TEXT(C93,"0")&amp;" stations. Today the cell uses "&amp;TEXT(C91,"0")&amp;" stations at "&amp;TEXT(C94,"0.0%")&amp;" balance efficiency; the proposed layout uses "&amp;TEXT(D91,"0")&amp;" at "&amp;TEXT(D94,"0.0%")&amp;". "&amp;IF(MAX(E83:E86)&gt;$C$68,"WARNING: at least one proposed station is above takt, so the cell cannot hold the pace. Move a task.",IF(D94&gt;=0.85,"The proposed balance is acceptable (&gt;=85%). Write the standard work (L-14) and pilot it (L-26).","Balance efficiency below 85%: split or recombine tasks again before piloting."))</f>
        <v>Work content is 55.0 s against a takt of 15.2 s, so the theoretical minimum is 4 stations. Today the cell uses 3 stations at 69.2% balance efficiency; the proposed layout uses 4 at 91.7%. The proposed balance is acceptable (&gt;=85%). Write the standard work (L-14) and pilot it (L-26).</v>
      </c>
      <c r="D100" s="168"/>
      <c r="E100" s="168"/>
      <c r="F100" s="168"/>
      <c r="G100" s="168"/>
    </row>
    <row r="102" customFormat="false" ht="17.25" hidden="false" customHeight="true" outlineLevel="0" collapsed="false">
      <c r="B102" s="152" t="s">
        <v>1495</v>
      </c>
      <c r="C102" s="152" t="s">
        <v>1496</v>
      </c>
      <c r="D102" s="152" t="s">
        <v>1497</v>
      </c>
      <c r="E102" s="152"/>
    </row>
    <row r="103" customFormat="false" ht="44.25" hidden="false" customHeight="true" outlineLevel="0" collapsed="false">
      <c r="B103" s="15" t="s">
        <v>7767</v>
      </c>
      <c r="C103" s="15" t="s">
        <v>7768</v>
      </c>
      <c r="D103" s="15" t="s">
        <v>7769</v>
      </c>
      <c r="E103" s="15"/>
    </row>
    <row r="104" customFormat="false" ht="44.25" hidden="false" customHeight="true" outlineLevel="0" collapsed="false">
      <c r="B104" s="15" t="s">
        <v>7760</v>
      </c>
      <c r="C104" s="15" t="s">
        <v>7770</v>
      </c>
      <c r="D104" s="15" t="s">
        <v>7771</v>
      </c>
      <c r="E104" s="15"/>
    </row>
    <row r="105" customFormat="false" ht="44.25" hidden="false" customHeight="true" outlineLevel="0" collapsed="false">
      <c r="B105" s="15" t="s">
        <v>7772</v>
      </c>
      <c r="C105" s="15" t="s">
        <v>7773</v>
      </c>
      <c r="D105" s="15" t="s">
        <v>7774</v>
      </c>
      <c r="E105" s="15"/>
    </row>
    <row r="106" customFormat="false" ht="31.5" hidden="false" customHeight="true" outlineLevel="0" collapsed="false">
      <c r="B106" s="15" t="s">
        <v>7775</v>
      </c>
      <c r="C106" s="15" t="s">
        <v>7776</v>
      </c>
      <c r="D106" s="15" t="s">
        <v>7777</v>
      </c>
      <c r="E106" s="15"/>
    </row>
    <row r="108" customFormat="false" ht="15" hidden="false" customHeight="true" outlineLevel="0" collapsed="false">
      <c r="B108" s="105" t="s">
        <v>1507</v>
      </c>
    </row>
    <row r="109" customFormat="false" ht="17.25" hidden="false" customHeight="true" outlineLevel="0" collapsed="false">
      <c r="B109" s="106" t="s">
        <v>7778</v>
      </c>
      <c r="C109" s="106"/>
      <c r="D109" s="106"/>
      <c r="E109" s="106"/>
      <c r="F109" s="106"/>
      <c r="G109" s="106"/>
    </row>
    <row r="110" customFormat="false" ht="17.25" hidden="false" customHeight="true" outlineLevel="0" collapsed="false">
      <c r="B110" s="106" t="s">
        <v>7779</v>
      </c>
      <c r="C110" s="106"/>
      <c r="D110" s="106"/>
      <c r="E110" s="106"/>
      <c r="F110" s="106"/>
      <c r="G110" s="106"/>
    </row>
    <row r="111" customFormat="false" ht="17.25" hidden="false" customHeight="true" outlineLevel="0" collapsed="false">
      <c r="B111" s="106" t="s">
        <v>7780</v>
      </c>
      <c r="C111" s="106"/>
      <c r="D111" s="106"/>
      <c r="E111" s="106"/>
      <c r="F111" s="106"/>
      <c r="G111" s="106"/>
    </row>
    <row r="112" customFormat="false" ht="17.25" hidden="false" customHeight="true" outlineLevel="0" collapsed="false">
      <c r="B112" s="106" t="s">
        <v>7781</v>
      </c>
      <c r="C112" s="106"/>
      <c r="D112" s="106"/>
      <c r="E112" s="106"/>
      <c r="F112" s="106"/>
      <c r="G112" s="106"/>
    </row>
    <row r="113" customFormat="false" ht="17.25" hidden="false" customHeight="true" outlineLevel="0" collapsed="false">
      <c r="B113" s="106" t="s">
        <v>7782</v>
      </c>
      <c r="C113" s="106"/>
      <c r="D113" s="106"/>
      <c r="E113" s="106"/>
      <c r="F113" s="106"/>
      <c r="G113" s="106"/>
    </row>
    <row r="115" customFormat="false" ht="15.75" hidden="false" customHeight="true" outlineLevel="0" collapsed="false">
      <c r="B115" s="103" t="s">
        <v>1513</v>
      </c>
      <c r="C115" s="8"/>
      <c r="D115" s="8"/>
      <c r="E115" s="8"/>
      <c r="F115" s="8"/>
      <c r="G115" s="8"/>
      <c r="H115" s="8"/>
      <c r="I115" s="8"/>
      <c r="J115" s="8"/>
      <c r="K115" s="8"/>
    </row>
    <row r="116" customFormat="false" ht="17.25" hidden="false" customHeight="true" outlineLevel="0" collapsed="false">
      <c r="B116" s="106" t="s">
        <v>6712</v>
      </c>
      <c r="C116" s="106"/>
      <c r="D116" s="106"/>
      <c r="E116" s="106"/>
      <c r="F116" s="106"/>
      <c r="N116" s="169" t="s">
        <v>1515</v>
      </c>
    </row>
    <row r="117" customFormat="false" ht="30.75" hidden="false" customHeight="true" outlineLevel="0" collapsed="false">
      <c r="B117" s="106" t="s">
        <v>7783</v>
      </c>
      <c r="C117" s="106"/>
      <c r="D117" s="106"/>
      <c r="E117" s="106"/>
      <c r="F117" s="106"/>
      <c r="N117" s="120" t="s">
        <v>7784</v>
      </c>
    </row>
    <row r="118" customFormat="false" ht="44.25" hidden="false" customHeight="true" outlineLevel="0" collapsed="false">
      <c r="B118" s="106" t="s">
        <v>7785</v>
      </c>
      <c r="C118" s="106"/>
      <c r="D118" s="106"/>
      <c r="E118" s="106"/>
      <c r="F118" s="106"/>
      <c r="N118" s="120" t="s">
        <v>7786</v>
      </c>
    </row>
    <row r="119" customFormat="false" ht="44.25" hidden="false" customHeight="true" outlineLevel="0" collapsed="false">
      <c r="B119" s="106" t="s">
        <v>7787</v>
      </c>
      <c r="C119" s="106"/>
      <c r="D119" s="106"/>
      <c r="E119" s="106"/>
      <c r="F119" s="106"/>
      <c r="N119" s="120" t="s">
        <v>7788</v>
      </c>
    </row>
    <row r="121" customFormat="false" ht="15.75" hidden="false" customHeight="true" outlineLevel="0" collapsed="false">
      <c r="B121" s="103" t="s">
        <v>1522</v>
      </c>
      <c r="C121" s="8"/>
      <c r="D121" s="8"/>
      <c r="E121" s="8"/>
      <c r="F121" s="8"/>
      <c r="G121" s="8"/>
      <c r="H121" s="8"/>
      <c r="I121" s="8"/>
      <c r="J121" s="8"/>
      <c r="K121" s="8"/>
    </row>
    <row r="122" customFormat="false" ht="30.75" hidden="false" customHeight="true" outlineLevel="0" collapsed="false">
      <c r="B122" s="152" t="s">
        <v>1523</v>
      </c>
      <c r="C122" s="152" t="s">
        <v>1524</v>
      </c>
      <c r="D122" s="152" t="s">
        <v>6719</v>
      </c>
    </row>
    <row r="123" customFormat="false" ht="30.75" hidden="false" customHeight="true" outlineLevel="0" collapsed="false">
      <c r="B123" s="170" t="s">
        <v>6752</v>
      </c>
      <c r="C123" s="170" t="s">
        <v>6744</v>
      </c>
      <c r="D123" s="170" t="s">
        <v>6866</v>
      </c>
    </row>
  </sheetData>
  <mergeCells count="53">
    <mergeCell ref="B2:J2"/>
    <mergeCell ref="D3:G3"/>
    <mergeCell ref="C6:F6"/>
    <mergeCell ref="C7:F7"/>
    <mergeCell ref="C8:F8"/>
    <mergeCell ref="B11:G13"/>
    <mergeCell ref="B14:G15"/>
    <mergeCell ref="B16:G18"/>
    <mergeCell ref="B19:G20"/>
    <mergeCell ref="B21:G22"/>
    <mergeCell ref="B25:D25"/>
    <mergeCell ref="E25:G25"/>
    <mergeCell ref="B26:D26"/>
    <mergeCell ref="E26:G26"/>
    <mergeCell ref="B27:D27"/>
    <mergeCell ref="E27:G27"/>
    <mergeCell ref="B28:D28"/>
    <mergeCell ref="E28:G28"/>
    <mergeCell ref="B29:G29"/>
    <mergeCell ref="E31:F31"/>
    <mergeCell ref="E32:F32"/>
    <mergeCell ref="E33:F33"/>
    <mergeCell ref="E34:F34"/>
    <mergeCell ref="E35:F35"/>
    <mergeCell ref="B38:G41"/>
    <mergeCell ref="B43:G44"/>
    <mergeCell ref="B45:G45"/>
    <mergeCell ref="B47:G47"/>
    <mergeCell ref="B48:G48"/>
    <mergeCell ref="B59:G61"/>
    <mergeCell ref="C62:D62"/>
    <mergeCell ref="B64:G64"/>
    <mergeCell ref="E65:F65"/>
    <mergeCell ref="E66:F66"/>
    <mergeCell ref="E67:F67"/>
    <mergeCell ref="E68:F68"/>
    <mergeCell ref="B70:G70"/>
    <mergeCell ref="B81:G81"/>
    <mergeCell ref="C100:G100"/>
    <mergeCell ref="D102:E102"/>
    <mergeCell ref="D103:E103"/>
    <mergeCell ref="D104:E104"/>
    <mergeCell ref="D105:E105"/>
    <mergeCell ref="D106:E106"/>
    <mergeCell ref="B109:G109"/>
    <mergeCell ref="B110:G110"/>
    <mergeCell ref="B111:G111"/>
    <mergeCell ref="B112:G112"/>
    <mergeCell ref="B113:G113"/>
    <mergeCell ref="B116:F116"/>
    <mergeCell ref="B117:F117"/>
    <mergeCell ref="B118:F118"/>
    <mergeCell ref="B119:F119"/>
  </mergeCells>
  <hyperlinks>
    <hyperlink ref="B3" location="'N-03 Index DMAIC'!A1" display="← Back to Index"/>
    <hyperlink ref="E32" location="'L-14 Standard Work'!A1" display="L-14  Standard Work"/>
    <hyperlink ref="E33" location="'L-04 Process Mapping'!A1" display="L-04  Process Mapping"/>
    <hyperlink ref="E34" location="'L-07 Takt Cycle Lead Time'!A1" display="L-07  Takt, Cycle and Lead Time"/>
    <hyperlink ref="E35" location="'E-03 Descriptive Stats'!A1" display="E-03  Descriptive Statistics"/>
    <hyperlink ref="B123" location="'L-07 Takt Cycle Lead Time'!A1" display="L-07  Takt, Cycle and Lead Time"/>
    <hyperlink ref="C123" location="'L-14 Standard Work'!A1" display="L-14  Standard Work"/>
    <hyperlink ref="D123" location="'L-09 Theory of Constraints'!A1" display="L-09  Theory of Constrai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5"/>
    <col collapsed="false" customWidth="true" hidden="false" outlineLevel="0" max="4" min="4" style="1" width="22"/>
    <col collapsed="false" customWidth="true" hidden="false" outlineLevel="0" max="5" min="5" style="1" width="18"/>
    <col collapsed="false" customWidth="true" hidden="false" outlineLevel="0" max="7" min="6" style="1" width="22"/>
    <col collapsed="false" customWidth="true" hidden="false" outlineLevel="0" max="8" min="8" style="1" width="20"/>
    <col collapsed="false" customWidth="true" hidden="false" outlineLevel="0" max="10" min="9"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7789</v>
      </c>
      <c r="C2" s="148"/>
      <c r="D2" s="148"/>
      <c r="E2" s="148"/>
      <c r="F2" s="148"/>
      <c r="G2" s="148"/>
      <c r="H2" s="148"/>
      <c r="I2" s="148"/>
      <c r="J2" s="148"/>
      <c r="K2" s="172" t="s">
        <v>1389</v>
      </c>
    </row>
    <row r="3" customFormat="false" ht="42" hidden="false" customHeight="true" outlineLevel="0" collapsed="false">
      <c r="B3" s="150" t="s">
        <v>3</v>
      </c>
      <c r="D3" s="151" t="s">
        <v>7790</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7791</v>
      </c>
      <c r="D6" s="106"/>
      <c r="E6" s="106"/>
      <c r="F6" s="106"/>
      <c r="G6" s="106"/>
    </row>
    <row r="7" customFormat="false" ht="31.5" hidden="false" customHeight="true" outlineLevel="0" collapsed="false">
      <c r="B7" s="105" t="s">
        <v>1394</v>
      </c>
      <c r="C7" s="106" t="s">
        <v>7792</v>
      </c>
      <c r="D7" s="106"/>
      <c r="E7" s="106"/>
      <c r="F7" s="106"/>
      <c r="G7" s="106"/>
    </row>
    <row r="8" customFormat="false" ht="31.5" hidden="false" customHeight="true" outlineLevel="0" collapsed="false">
      <c r="B8" s="105" t="s">
        <v>1396</v>
      </c>
      <c r="C8" s="106" t="s">
        <v>7793</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5" hidden="false" customHeight="true" outlineLevel="0" collapsed="false">
      <c r="B11" s="106" t="s">
        <v>7794</v>
      </c>
      <c r="C11" s="106"/>
      <c r="D11" s="106"/>
      <c r="E11" s="106"/>
      <c r="F11" s="106"/>
      <c r="G11" s="106"/>
      <c r="H11" s="106"/>
    </row>
    <row r="12" customFormat="false" ht="15" hidden="false" customHeight="true" outlineLevel="0" collapsed="false">
      <c r="B12" s="106"/>
      <c r="C12" s="106"/>
      <c r="D12" s="106"/>
      <c r="E12" s="106"/>
      <c r="F12" s="106"/>
      <c r="G12" s="106"/>
      <c r="H12" s="106"/>
    </row>
    <row r="13" customFormat="false" ht="15" hidden="false" customHeight="true" outlineLevel="0" collapsed="false">
      <c r="B13" s="106"/>
      <c r="C13" s="106"/>
      <c r="D13" s="106"/>
      <c r="E13" s="106"/>
      <c r="F13" s="106"/>
      <c r="G13" s="106"/>
      <c r="H13" s="106"/>
    </row>
    <row r="14" customFormat="false" ht="10.5" hidden="false" customHeight="true" outlineLevel="0" collapsed="false">
      <c r="B14" s="106" t="s">
        <v>7795</v>
      </c>
      <c r="C14" s="106"/>
      <c r="D14" s="106"/>
      <c r="E14" s="106"/>
      <c r="F14" s="106"/>
      <c r="G14" s="106"/>
      <c r="H14" s="106"/>
    </row>
    <row r="15" customFormat="false" ht="10.5" hidden="false" customHeight="true" outlineLevel="0" collapsed="false">
      <c r="B15" s="106"/>
      <c r="C15" s="106"/>
      <c r="D15" s="106"/>
      <c r="E15" s="106"/>
      <c r="F15" s="106"/>
      <c r="G15" s="106"/>
      <c r="H15" s="106"/>
    </row>
    <row r="16" customFormat="false" ht="10.5" hidden="false" customHeight="true" outlineLevel="0" collapsed="false">
      <c r="B16" s="106"/>
      <c r="C16" s="106"/>
      <c r="D16" s="106"/>
      <c r="E16" s="106"/>
      <c r="F16" s="106"/>
      <c r="G16" s="106"/>
      <c r="H16" s="106"/>
    </row>
    <row r="17" customFormat="false" ht="10.5" hidden="false" customHeight="true" outlineLevel="0" collapsed="false">
      <c r="B17" s="106" t="s">
        <v>7796</v>
      </c>
      <c r="C17" s="106"/>
      <c r="D17" s="106"/>
      <c r="E17" s="106"/>
      <c r="F17" s="106"/>
      <c r="G17" s="106"/>
      <c r="H17" s="106"/>
    </row>
    <row r="18" customFormat="false" ht="10.5" hidden="false" customHeight="true" outlineLevel="0" collapsed="false">
      <c r="B18" s="106"/>
      <c r="C18" s="106"/>
      <c r="D18" s="106"/>
      <c r="E18" s="106"/>
      <c r="F18" s="106"/>
      <c r="G18" s="106"/>
      <c r="H18" s="106"/>
    </row>
    <row r="19" customFormat="false" ht="10.5" hidden="false" customHeight="true" outlineLevel="0" collapsed="false">
      <c r="B19" s="106"/>
      <c r="C19" s="106"/>
      <c r="D19" s="106"/>
      <c r="E19" s="106"/>
      <c r="F19" s="106"/>
      <c r="G19" s="106"/>
      <c r="H19" s="106"/>
    </row>
    <row r="20" customFormat="false" ht="10.5" hidden="false" customHeight="true" outlineLevel="0" collapsed="false">
      <c r="B20" s="106" t="s">
        <v>7797</v>
      </c>
      <c r="C20" s="106"/>
      <c r="D20" s="106"/>
      <c r="E20" s="106"/>
      <c r="F20" s="106"/>
      <c r="G20" s="106"/>
      <c r="H20" s="106"/>
    </row>
    <row r="21" customFormat="false" ht="10.5" hidden="false" customHeight="true" outlineLevel="0" collapsed="false">
      <c r="B21" s="106"/>
      <c r="C21" s="106"/>
      <c r="D21" s="106"/>
      <c r="E21" s="106"/>
      <c r="F21" s="106"/>
      <c r="G21" s="106"/>
      <c r="H21" s="106"/>
    </row>
    <row r="22" customFormat="false" ht="10.5" hidden="false" customHeight="true" outlineLevel="0" collapsed="false">
      <c r="B22" s="106"/>
      <c r="C22" s="106"/>
      <c r="D22" s="106"/>
      <c r="E22" s="106"/>
      <c r="F22" s="106"/>
      <c r="G22" s="106"/>
      <c r="H22" s="106"/>
    </row>
    <row r="23" customFormat="false" ht="15.75" hidden="false" customHeight="true" outlineLevel="0" collapsed="false">
      <c r="B23" s="106" t="s">
        <v>7798</v>
      </c>
      <c r="C23" s="106"/>
      <c r="D23" s="106"/>
      <c r="E23" s="106"/>
      <c r="F23" s="106"/>
      <c r="G23" s="106"/>
      <c r="H23" s="106"/>
    </row>
    <row r="24" customFormat="false" ht="15.75" hidden="false" customHeight="true" outlineLevel="0" collapsed="false">
      <c r="B24" s="106"/>
      <c r="C24" s="106"/>
      <c r="D24" s="106"/>
      <c r="E24" s="106"/>
      <c r="F24" s="106"/>
      <c r="G24" s="106"/>
      <c r="H24" s="106"/>
    </row>
    <row r="26" customFormat="false" ht="15.75" hidden="false" customHeight="true" outlineLevel="0" collapsed="false">
      <c r="B26" s="103" t="s">
        <v>1406</v>
      </c>
      <c r="C26" s="8"/>
      <c r="D26" s="8"/>
      <c r="E26" s="8"/>
      <c r="F26" s="8"/>
      <c r="G26" s="8"/>
      <c r="H26" s="8"/>
      <c r="I26" s="8"/>
      <c r="J26" s="8"/>
      <c r="K26" s="8"/>
    </row>
    <row r="27" customFormat="false" ht="17.25" hidden="false" customHeight="true" outlineLevel="0" collapsed="false">
      <c r="B27" s="107" t="s">
        <v>1407</v>
      </c>
      <c r="C27" s="107"/>
      <c r="D27" s="107"/>
      <c r="E27" s="107" t="s">
        <v>1408</v>
      </c>
      <c r="F27" s="107"/>
      <c r="G27" s="107"/>
      <c r="H27" s="107"/>
    </row>
    <row r="28" customFormat="false" ht="31.5" hidden="false" customHeight="true" outlineLevel="0" collapsed="false">
      <c r="B28" s="106" t="s">
        <v>7799</v>
      </c>
      <c r="C28" s="106"/>
      <c r="D28" s="106"/>
      <c r="E28" s="106" t="s">
        <v>7800</v>
      </c>
      <c r="F28" s="106"/>
      <c r="G28" s="106"/>
      <c r="H28" s="106"/>
    </row>
    <row r="29" customFormat="false" ht="31.5" hidden="false" customHeight="true" outlineLevel="0" collapsed="false">
      <c r="B29" s="106" t="s">
        <v>7801</v>
      </c>
      <c r="C29" s="106"/>
      <c r="D29" s="106"/>
      <c r="E29" s="106" t="s">
        <v>7802</v>
      </c>
      <c r="F29" s="106"/>
      <c r="G29" s="106"/>
      <c r="H29" s="106"/>
    </row>
    <row r="30" customFormat="false" ht="31.5" hidden="false" customHeight="true" outlineLevel="0" collapsed="false">
      <c r="B30" s="106" t="s">
        <v>7803</v>
      </c>
      <c r="C30" s="106"/>
      <c r="D30" s="106"/>
      <c r="E30" s="106" t="s">
        <v>7804</v>
      </c>
      <c r="F30" s="106"/>
      <c r="G30" s="106"/>
      <c r="H30" s="106"/>
    </row>
    <row r="31" customFormat="false" ht="17.25" hidden="false" customHeight="true" outlineLevel="0" collapsed="false">
      <c r="B31" s="106" t="s">
        <v>7805</v>
      </c>
      <c r="C31" s="106"/>
      <c r="D31" s="106"/>
      <c r="E31" s="106"/>
      <c r="F31" s="106"/>
      <c r="G31" s="106"/>
      <c r="H31" s="106"/>
    </row>
    <row r="33" customFormat="false" ht="17.25" hidden="false" customHeight="true" outlineLevel="0" collapsed="false">
      <c r="B33" s="152" t="s">
        <v>6621</v>
      </c>
      <c r="C33" s="152" t="s">
        <v>1417</v>
      </c>
      <c r="D33" s="152" t="s">
        <v>1418</v>
      </c>
      <c r="E33" s="152" t="s">
        <v>1419</v>
      </c>
      <c r="F33" s="152"/>
    </row>
    <row r="34" customFormat="false" ht="72" hidden="false" customHeight="true" outlineLevel="0" collapsed="false">
      <c r="B34" s="15" t="s">
        <v>7806</v>
      </c>
      <c r="C34" s="15" t="s">
        <v>7807</v>
      </c>
      <c r="D34" s="15" t="s">
        <v>7808</v>
      </c>
      <c r="E34" s="153" t="s">
        <v>6632</v>
      </c>
      <c r="F34" s="153"/>
    </row>
    <row r="35" customFormat="false" ht="58.5" hidden="false" customHeight="true" outlineLevel="0" collapsed="false">
      <c r="B35" s="15" t="s">
        <v>7809</v>
      </c>
      <c r="C35" s="15" t="s">
        <v>7810</v>
      </c>
      <c r="D35" s="15" t="s">
        <v>7811</v>
      </c>
      <c r="E35" s="153" t="s">
        <v>6752</v>
      </c>
      <c r="F35" s="153"/>
    </row>
    <row r="36" customFormat="false" ht="86.25" hidden="false" customHeight="true" outlineLevel="0" collapsed="false">
      <c r="B36" s="15" t="s">
        <v>7812</v>
      </c>
      <c r="C36" s="15" t="s">
        <v>7813</v>
      </c>
      <c r="D36" s="15" t="s">
        <v>7814</v>
      </c>
      <c r="E36" s="153" t="s">
        <v>7815</v>
      </c>
      <c r="F36" s="153"/>
    </row>
    <row r="37" customFormat="false" ht="44.25" hidden="false" customHeight="true" outlineLevel="0" collapsed="false">
      <c r="B37" s="15" t="s">
        <v>7816</v>
      </c>
      <c r="C37" s="15" t="s">
        <v>7817</v>
      </c>
      <c r="D37" s="15" t="s">
        <v>7818</v>
      </c>
      <c r="E37" s="153" t="s">
        <v>6628</v>
      </c>
      <c r="F37" s="153"/>
    </row>
    <row r="39" customFormat="false" ht="15.75" hidden="false" customHeight="true" outlineLevel="0" collapsed="false">
      <c r="B39" s="103" t="s">
        <v>1429</v>
      </c>
      <c r="C39" s="8"/>
      <c r="D39" s="8"/>
      <c r="E39" s="8"/>
      <c r="F39" s="8"/>
      <c r="G39" s="8"/>
      <c r="H39" s="8"/>
      <c r="I39" s="8"/>
      <c r="J39" s="8"/>
      <c r="K39" s="8"/>
    </row>
    <row r="40" customFormat="false" ht="15.75" hidden="false" customHeight="true" outlineLevel="0" collapsed="false">
      <c r="B40" s="106" t="s">
        <v>7819</v>
      </c>
      <c r="C40" s="106"/>
      <c r="D40" s="106"/>
      <c r="E40" s="106"/>
      <c r="F40" s="106"/>
      <c r="G40" s="106"/>
      <c r="H40" s="106"/>
    </row>
    <row r="41" customFormat="false" ht="15.75" hidden="false" customHeight="true" outlineLevel="0" collapsed="false">
      <c r="B41" s="106"/>
      <c r="C41" s="106"/>
      <c r="D41" s="106"/>
      <c r="E41" s="106"/>
      <c r="F41" s="106"/>
      <c r="G41" s="106"/>
      <c r="H41" s="106"/>
    </row>
    <row r="42" customFormat="false" ht="15" hidden="false" customHeight="true" outlineLevel="0" collapsed="false">
      <c r="B42" s="122"/>
    </row>
    <row r="43" customFormat="false" ht="17.25" hidden="false" customHeight="true" outlineLevel="0" collapsed="false">
      <c r="B43" s="106" t="s">
        <v>7820</v>
      </c>
      <c r="C43" s="106"/>
      <c r="D43" s="106"/>
      <c r="E43" s="106"/>
      <c r="F43" s="106"/>
      <c r="G43" s="106"/>
      <c r="H43" s="106"/>
    </row>
    <row r="44" customFormat="false" ht="8.25" hidden="false" customHeight="true" outlineLevel="0" collapsed="false">
      <c r="B44" s="106" t="s">
        <v>7821</v>
      </c>
      <c r="C44" s="106"/>
      <c r="D44" s="106"/>
      <c r="E44" s="106"/>
      <c r="F44" s="106"/>
      <c r="G44" s="106"/>
      <c r="H44" s="106"/>
    </row>
    <row r="45" customFormat="false" ht="8.25" hidden="false" customHeight="true" outlineLevel="0" collapsed="false">
      <c r="B45" s="106"/>
      <c r="C45" s="106"/>
      <c r="D45" s="106"/>
      <c r="E45" s="106"/>
      <c r="F45" s="106"/>
      <c r="G45" s="106"/>
      <c r="H45" s="106"/>
    </row>
    <row r="46" customFormat="false" ht="15" hidden="false" customHeight="true" outlineLevel="0" collapsed="false">
      <c r="B46" s="122"/>
    </row>
    <row r="47" customFormat="false" ht="17.25" hidden="false" customHeight="true" outlineLevel="0" collapsed="false">
      <c r="B47" s="106" t="s">
        <v>7822</v>
      </c>
      <c r="C47" s="106"/>
      <c r="D47" s="106"/>
      <c r="E47" s="106"/>
      <c r="F47" s="106"/>
      <c r="G47" s="106"/>
      <c r="H47" s="106"/>
    </row>
    <row r="48" customFormat="false" ht="17.25" hidden="false" customHeight="true" outlineLevel="0" collapsed="false">
      <c r="B48" s="106" t="s">
        <v>7823</v>
      </c>
      <c r="C48" s="106"/>
      <c r="D48" s="106"/>
      <c r="E48" s="106"/>
      <c r="F48" s="106"/>
      <c r="G48" s="106"/>
      <c r="H48" s="106"/>
    </row>
    <row r="49" customFormat="false" ht="15" hidden="false" customHeight="true" outlineLevel="0" collapsed="false">
      <c r="B49" s="122"/>
    </row>
    <row r="50" customFormat="false" ht="16.5" hidden="false" customHeight="true" outlineLevel="0" collapsed="false">
      <c r="B50" s="122" t="s">
        <v>7824</v>
      </c>
    </row>
    <row r="51" customFormat="false" ht="10.5" hidden="false" customHeight="true" outlineLevel="0" collapsed="false">
      <c r="B51" s="106" t="s">
        <v>7825</v>
      </c>
      <c r="C51" s="106"/>
      <c r="D51" s="106"/>
      <c r="E51" s="106"/>
      <c r="F51" s="106"/>
      <c r="G51" s="106"/>
      <c r="H51" s="106"/>
    </row>
    <row r="52" customFormat="false" ht="10.5" hidden="false" customHeight="true" outlineLevel="0" collapsed="false">
      <c r="B52" s="106"/>
      <c r="C52" s="106"/>
      <c r="D52" s="106"/>
      <c r="E52" s="106"/>
      <c r="F52" s="106"/>
      <c r="G52" s="106"/>
      <c r="H52" s="106"/>
    </row>
    <row r="53" customFormat="false" ht="10.5" hidden="false" customHeight="true" outlineLevel="0" collapsed="false">
      <c r="B53" s="106"/>
      <c r="C53" s="106"/>
      <c r="D53" s="106"/>
      <c r="E53" s="106"/>
      <c r="F53" s="106"/>
      <c r="G53" s="106"/>
      <c r="H53" s="106"/>
    </row>
    <row r="54" customFormat="false" ht="15" hidden="false" customHeight="true" outlineLevel="0" collapsed="false">
      <c r="B54" s="122"/>
    </row>
    <row r="55" customFormat="false" ht="17.25" hidden="false" customHeight="true" outlineLevel="0" collapsed="false">
      <c r="B55" s="106" t="s">
        <v>7826</v>
      </c>
      <c r="C55" s="106"/>
      <c r="D55" s="106"/>
      <c r="E55" s="106"/>
      <c r="F55" s="106"/>
      <c r="G55" s="106"/>
      <c r="H55" s="106"/>
    </row>
    <row r="57" customFormat="false" ht="15.75" hidden="false" customHeight="true" outlineLevel="0" collapsed="false">
      <c r="B57" s="103" t="s">
        <v>1437</v>
      </c>
      <c r="C57" s="8"/>
      <c r="D57" s="8"/>
      <c r="E57" s="8"/>
      <c r="F57" s="8"/>
      <c r="G57" s="8"/>
      <c r="H57" s="8"/>
      <c r="I57" s="8"/>
      <c r="J57" s="8"/>
      <c r="K57" s="8"/>
    </row>
    <row r="58" customFormat="false" ht="17.25" hidden="false" customHeight="true" outlineLevel="0" collapsed="false">
      <c r="B58" s="152" t="s">
        <v>1438</v>
      </c>
      <c r="C58" s="152" t="s">
        <v>1439</v>
      </c>
      <c r="D58" s="152" t="s">
        <v>1440</v>
      </c>
      <c r="E58" s="152"/>
    </row>
    <row r="59" customFormat="false" ht="44.25" hidden="false" customHeight="true" outlineLevel="0" collapsed="false">
      <c r="B59" s="15" t="s">
        <v>6757</v>
      </c>
      <c r="C59" s="15" t="s">
        <v>7827</v>
      </c>
      <c r="D59" s="15" t="s">
        <v>7828</v>
      </c>
      <c r="E59" s="15"/>
    </row>
    <row r="60" customFormat="false" ht="44.25" hidden="false" customHeight="true" outlineLevel="0" collapsed="false">
      <c r="B60" s="15" t="s">
        <v>3248</v>
      </c>
      <c r="C60" s="15" t="s">
        <v>7829</v>
      </c>
      <c r="D60" s="15" t="s">
        <v>7830</v>
      </c>
      <c r="E60" s="15"/>
    </row>
    <row r="61" customFormat="false" ht="44.25" hidden="false" customHeight="true" outlineLevel="0" collapsed="false">
      <c r="B61" s="15" t="s">
        <v>6644</v>
      </c>
      <c r="C61" s="15" t="s">
        <v>7831</v>
      </c>
      <c r="D61" s="15" t="s">
        <v>7832</v>
      </c>
      <c r="E61" s="15"/>
    </row>
    <row r="62" customFormat="false" ht="31.5" hidden="false" customHeight="true" outlineLevel="0" collapsed="false">
      <c r="B62" s="15" t="s">
        <v>1839</v>
      </c>
      <c r="C62" s="15" t="s">
        <v>6647</v>
      </c>
      <c r="D62" s="15" t="s">
        <v>7833</v>
      </c>
      <c r="E62" s="15"/>
    </row>
    <row r="63" customFormat="false" ht="31.5" hidden="false" customHeight="true" outlineLevel="0" collapsed="false">
      <c r="B63" s="15" t="s">
        <v>7834</v>
      </c>
      <c r="C63" s="15" t="s">
        <v>7835</v>
      </c>
      <c r="D63" s="15" t="s">
        <v>7836</v>
      </c>
      <c r="E63" s="15"/>
    </row>
    <row r="65" customFormat="false" ht="15.75" hidden="false" customHeight="true" outlineLevel="0" collapsed="false">
      <c r="B65" s="103" t="s">
        <v>1454</v>
      </c>
      <c r="C65" s="8"/>
      <c r="D65" s="8"/>
      <c r="E65" s="8"/>
      <c r="F65" s="8"/>
      <c r="G65" s="8"/>
      <c r="H65" s="8"/>
      <c r="I65" s="8"/>
      <c r="J65" s="8"/>
      <c r="K65" s="8"/>
    </row>
    <row r="66" customFormat="false" ht="10.5" hidden="false" customHeight="true" outlineLevel="0" collapsed="false">
      <c r="B66" s="106" t="s">
        <v>7837</v>
      </c>
      <c r="C66" s="106"/>
      <c r="D66" s="106"/>
      <c r="E66" s="106"/>
      <c r="F66" s="106"/>
      <c r="G66" s="106"/>
      <c r="H66" s="106"/>
    </row>
    <row r="67" customFormat="false" ht="10.5" hidden="false" customHeight="true" outlineLevel="0" collapsed="false">
      <c r="B67" s="106"/>
      <c r="C67" s="106"/>
      <c r="D67" s="106"/>
      <c r="E67" s="106"/>
      <c r="F67" s="106"/>
      <c r="G67" s="106"/>
      <c r="H67" s="106"/>
    </row>
    <row r="68" customFormat="false" ht="10.5" hidden="false" customHeight="true" outlineLevel="0" collapsed="false">
      <c r="B68" s="106"/>
      <c r="C68" s="106"/>
      <c r="D68" s="106"/>
      <c r="E68" s="106"/>
      <c r="F68" s="106"/>
      <c r="G68" s="106"/>
      <c r="H68" s="106"/>
    </row>
    <row r="69" customFormat="false" ht="17.25" hidden="false" customHeight="true" outlineLevel="0" collapsed="false">
      <c r="B69" s="112" t="s">
        <v>85</v>
      </c>
      <c r="C69" s="113" t="s">
        <v>86</v>
      </c>
      <c r="D69" s="113"/>
    </row>
    <row r="71" customFormat="false" ht="17.25" hidden="false" customHeight="true" outlineLevel="0" collapsed="false">
      <c r="B71" s="107" t="s">
        <v>7838</v>
      </c>
      <c r="C71" s="107"/>
      <c r="D71" s="107"/>
      <c r="E71" s="107"/>
      <c r="F71" s="107"/>
      <c r="G71" s="107"/>
      <c r="H71" s="107"/>
    </row>
    <row r="72" customFormat="false" ht="17.25" hidden="false" customHeight="true" outlineLevel="0" collapsed="false">
      <c r="B72" s="152" t="s">
        <v>7839</v>
      </c>
      <c r="C72" s="152" t="s">
        <v>7840</v>
      </c>
      <c r="D72" s="152" t="s">
        <v>7841</v>
      </c>
      <c r="E72" s="152" t="s">
        <v>6655</v>
      </c>
      <c r="F72" s="152"/>
    </row>
    <row r="73" customFormat="false" ht="17.25" hidden="false" customHeight="true" outlineLevel="0" collapsed="false">
      <c r="B73" s="15" t="s">
        <v>7842</v>
      </c>
      <c r="C73" s="155" t="n">
        <v>480</v>
      </c>
      <c r="D73" s="15" t="s">
        <v>7376</v>
      </c>
      <c r="E73" s="15" t="s">
        <v>7843</v>
      </c>
      <c r="F73" s="15"/>
    </row>
    <row r="74" customFormat="false" ht="30.75" hidden="false" customHeight="true" outlineLevel="0" collapsed="false">
      <c r="B74" s="15" t="s">
        <v>7844</v>
      </c>
      <c r="C74" s="155" t="n">
        <v>55</v>
      </c>
      <c r="D74" s="15" t="s">
        <v>7376</v>
      </c>
      <c r="E74" s="15" t="s">
        <v>7845</v>
      </c>
      <c r="F74" s="15"/>
    </row>
    <row r="75" customFormat="false" ht="17.25" hidden="false" customHeight="true" outlineLevel="0" collapsed="false">
      <c r="B75" s="15" t="s">
        <v>7846</v>
      </c>
      <c r="C75" s="161" t="n">
        <f aca="false">C73-C74</f>
        <v>425</v>
      </c>
      <c r="D75" s="15" t="s">
        <v>7847</v>
      </c>
      <c r="E75" s="15" t="s">
        <v>7848</v>
      </c>
      <c r="F75" s="15"/>
    </row>
    <row r="77" customFormat="false" ht="17.25" hidden="false" customHeight="true" outlineLevel="0" collapsed="false">
      <c r="B77" s="107" t="s">
        <v>7849</v>
      </c>
      <c r="C77" s="107"/>
      <c r="D77" s="107"/>
      <c r="E77" s="107"/>
      <c r="F77" s="107"/>
      <c r="G77" s="107"/>
      <c r="H77" s="107"/>
    </row>
    <row r="78" customFormat="false" ht="17.25" hidden="false" customHeight="true" outlineLevel="0" collapsed="false">
      <c r="B78" s="152" t="s">
        <v>7376</v>
      </c>
      <c r="C78" s="152" t="s">
        <v>6654</v>
      </c>
      <c r="D78" s="152" t="s">
        <v>6575</v>
      </c>
      <c r="E78" s="152" t="s">
        <v>6655</v>
      </c>
      <c r="F78" s="152"/>
      <c r="G78" s="152"/>
      <c r="H78" s="152"/>
    </row>
    <row r="79" customFormat="false" ht="17.25" hidden="false" customHeight="true" outlineLevel="0" collapsed="false">
      <c r="B79" s="15" t="s">
        <v>7850</v>
      </c>
      <c r="C79" s="173" t="n">
        <v>300</v>
      </c>
      <c r="D79" s="15" t="s">
        <v>7851</v>
      </c>
      <c r="E79" s="15" t="s">
        <v>7852</v>
      </c>
      <c r="F79" s="15"/>
      <c r="G79" s="15"/>
      <c r="H79" s="15"/>
    </row>
    <row r="80" customFormat="false" ht="17.25" hidden="false" customHeight="true" outlineLevel="0" collapsed="false">
      <c r="B80" s="15" t="s">
        <v>7853</v>
      </c>
      <c r="C80" s="173" t="n">
        <v>78500</v>
      </c>
      <c r="D80" s="15" t="s">
        <v>6798</v>
      </c>
      <c r="E80" s="15" t="s">
        <v>7854</v>
      </c>
      <c r="F80" s="15"/>
      <c r="G80" s="15"/>
      <c r="H80" s="15"/>
    </row>
    <row r="81" customFormat="false" ht="17.25" hidden="false" customHeight="true" outlineLevel="0" collapsed="false">
      <c r="B81" s="15" t="s">
        <v>7855</v>
      </c>
      <c r="C81" s="173" t="n">
        <v>71700</v>
      </c>
      <c r="D81" s="15" t="s">
        <v>6798</v>
      </c>
      <c r="E81" s="15" t="s">
        <v>7856</v>
      </c>
      <c r="F81" s="15"/>
      <c r="G81" s="15"/>
      <c r="H81" s="15"/>
    </row>
    <row r="83" customFormat="false" ht="17.25" hidden="false" customHeight="true" outlineLevel="0" collapsed="false">
      <c r="B83" s="107" t="s">
        <v>7857</v>
      </c>
      <c r="C83" s="107"/>
      <c r="D83" s="107"/>
      <c r="E83" s="107"/>
      <c r="F83" s="107"/>
      <c r="G83" s="107"/>
      <c r="H83" s="107"/>
    </row>
    <row r="84" customFormat="false" ht="30.75" hidden="false" customHeight="true" outlineLevel="0" collapsed="false">
      <c r="B84" s="152" t="s">
        <v>7858</v>
      </c>
      <c r="C84" s="152" t="s">
        <v>7859</v>
      </c>
      <c r="D84" s="152" t="s">
        <v>7860</v>
      </c>
      <c r="E84" s="152" t="s">
        <v>7861</v>
      </c>
      <c r="F84" s="152" t="s">
        <v>7862</v>
      </c>
      <c r="G84" s="152" t="s">
        <v>7863</v>
      </c>
      <c r="H84" s="152"/>
    </row>
    <row r="85" customFormat="false" ht="17.25" hidden="false" customHeight="true" outlineLevel="0" collapsed="false">
      <c r="B85" s="15" t="s">
        <v>7864</v>
      </c>
      <c r="C85" s="15" t="s">
        <v>7865</v>
      </c>
      <c r="D85" s="155" t="n">
        <v>38</v>
      </c>
      <c r="E85" s="173" t="n">
        <v>0</v>
      </c>
      <c r="F85" s="160" t="n">
        <f aca="false">IFERROR((D85+IFERROR(E85/$C$79,0))/$C$75,0)</f>
        <v>0.0894117647058824</v>
      </c>
      <c r="G85" s="159" t="n">
        <f aca="false">IFERROR(D85*$C$79+E85,0)</f>
        <v>11400</v>
      </c>
      <c r="H85" s="159"/>
    </row>
    <row r="86" customFormat="false" ht="30.75" hidden="false" customHeight="true" outlineLevel="0" collapsed="false">
      <c r="B86" s="15" t="s">
        <v>7866</v>
      </c>
      <c r="C86" s="15" t="s">
        <v>7865</v>
      </c>
      <c r="D86" s="155" t="n">
        <v>46</v>
      </c>
      <c r="E86" s="173" t="n">
        <v>0</v>
      </c>
      <c r="F86" s="160" t="n">
        <f aca="false">IFERROR((D86+IFERROR(E86/$C$79,0))/$C$75,0)</f>
        <v>0.108235294117647</v>
      </c>
      <c r="G86" s="159" t="n">
        <f aca="false">IFERROR(D86*$C$79+E86,0)</f>
        <v>13800</v>
      </c>
      <c r="H86" s="159"/>
    </row>
    <row r="87" customFormat="false" ht="17.25" hidden="false" customHeight="true" outlineLevel="0" collapsed="false">
      <c r="B87" s="15" t="s">
        <v>7867</v>
      </c>
      <c r="C87" s="15" t="s">
        <v>7868</v>
      </c>
      <c r="D87" s="155" t="n">
        <v>29</v>
      </c>
      <c r="E87" s="173" t="n">
        <v>0</v>
      </c>
      <c r="F87" s="160" t="n">
        <f aca="false">IFERROR((D87+IFERROR(E87/$C$79,0))/$C$75,0)</f>
        <v>0.0682352941176471</v>
      </c>
      <c r="G87" s="159" t="n">
        <f aca="false">IFERROR(D87*$C$79+E87,0)</f>
        <v>8700</v>
      </c>
      <c r="H87" s="159"/>
    </row>
    <row r="88" customFormat="false" ht="30.75" hidden="false" customHeight="true" outlineLevel="0" collapsed="false">
      <c r="B88" s="15" t="s">
        <v>7869</v>
      </c>
      <c r="C88" s="15" t="s">
        <v>7868</v>
      </c>
      <c r="D88" s="155" t="n">
        <v>22</v>
      </c>
      <c r="E88" s="173" t="n">
        <v>0</v>
      </c>
      <c r="F88" s="160" t="n">
        <f aca="false">IFERROR((D88+IFERROR(E88/$C$79,0))/$C$75,0)</f>
        <v>0.0517647058823529</v>
      </c>
      <c r="G88" s="159" t="n">
        <f aca="false">IFERROR(D88*$C$79+E88,0)</f>
        <v>6600</v>
      </c>
      <c r="H88" s="159"/>
    </row>
    <row r="89" customFormat="false" ht="17.25" hidden="false" customHeight="true" outlineLevel="0" collapsed="false">
      <c r="B89" s="15" t="s">
        <v>7870</v>
      </c>
      <c r="C89" s="15" t="s">
        <v>7029</v>
      </c>
      <c r="D89" s="155" t="n">
        <v>0</v>
      </c>
      <c r="E89" s="173" t="n">
        <v>4200</v>
      </c>
      <c r="F89" s="160" t="n">
        <f aca="false">IFERROR((D89+IFERROR(E89/$C$79,0))/$C$75,0)</f>
        <v>0.0329411764705882</v>
      </c>
      <c r="G89" s="159" t="n">
        <f aca="false">IFERROR(D89*$C$79+E89,0)</f>
        <v>4200</v>
      </c>
      <c r="H89" s="159"/>
    </row>
    <row r="90" customFormat="false" ht="17.25" hidden="false" customHeight="true" outlineLevel="0" collapsed="false">
      <c r="B90" s="15" t="s">
        <v>7871</v>
      </c>
      <c r="C90" s="15" t="s">
        <v>7029</v>
      </c>
      <c r="D90" s="155" t="n">
        <v>0</v>
      </c>
      <c r="E90" s="173" t="n">
        <v>2600</v>
      </c>
      <c r="F90" s="160" t="n">
        <f aca="false">IFERROR((D90+IFERROR(E90/$C$79,0))/$C$75,0)</f>
        <v>0.0203921568627451</v>
      </c>
      <c r="G90" s="159" t="n">
        <f aca="false">IFERROR(D90*$C$79+E90,0)</f>
        <v>2600</v>
      </c>
      <c r="H90" s="159"/>
    </row>
    <row r="92" customFormat="false" ht="15" hidden="false" customHeight="true" outlineLevel="0" collapsed="false">
      <c r="B92" s="105" t="s">
        <v>7872</v>
      </c>
    </row>
    <row r="93" customFormat="false" ht="17.25" hidden="false" customHeight="true" outlineLevel="0" collapsed="false">
      <c r="B93" s="152" t="s">
        <v>5269</v>
      </c>
      <c r="C93" s="152" t="s">
        <v>7873</v>
      </c>
      <c r="D93" s="152" t="s">
        <v>6654</v>
      </c>
      <c r="E93" s="152" t="s">
        <v>7874</v>
      </c>
      <c r="F93" s="152" t="s">
        <v>7522</v>
      </c>
      <c r="G93" s="152"/>
      <c r="H93" s="152"/>
    </row>
    <row r="94" customFormat="false" ht="44.25" hidden="false" customHeight="true" outlineLevel="0" collapsed="false">
      <c r="B94" s="15" t="s">
        <v>7875</v>
      </c>
      <c r="C94" s="15" t="s">
        <v>7876</v>
      </c>
      <c r="D94" s="160" t="n">
        <f aca="false">IFERROR(($C$75-SUMIF($C$85:$C$90,"Availability",$D$85:$D$90))/$C$75,0)</f>
        <v>0.802352941176471</v>
      </c>
      <c r="E94" s="15" t="s">
        <v>7877</v>
      </c>
      <c r="F94" s="167" t="str">
        <f aca="false">IF(D94&gt;=0.9,"At world class",IF(D94&gt;=0.8,"Good","Losing time to stops"))</f>
        <v>Good</v>
      </c>
      <c r="G94" s="167"/>
      <c r="H94" s="167"/>
    </row>
    <row r="95" customFormat="false" ht="58.5" hidden="false" customHeight="true" outlineLevel="0" collapsed="false">
      <c r="B95" s="15" t="s">
        <v>7878</v>
      </c>
      <c r="C95" s="15" t="s">
        <v>7879</v>
      </c>
      <c r="D95" s="160" t="n">
        <f aca="false">IFERROR(C80/($C$75-SUMIF($C$85:$C$90,"Availability",$D$85:$D$90))/C79,0)</f>
        <v>0.767350928641251</v>
      </c>
      <c r="E95" s="15" t="s">
        <v>7880</v>
      </c>
      <c r="F95" s="167" t="str">
        <f aca="false">IF(D95&gt;=0.95,"At world class",IF(D95&gt;=0.85,"Good","Losing speed to micro-stops"))</f>
        <v>Losing speed to micro-stops</v>
      </c>
      <c r="G95" s="167"/>
      <c r="H95" s="167"/>
    </row>
    <row r="96" customFormat="false" ht="44.25" hidden="false" customHeight="true" outlineLevel="0" collapsed="false">
      <c r="B96" s="15" t="s">
        <v>7881</v>
      </c>
      <c r="C96" s="15" t="s">
        <v>7882</v>
      </c>
      <c r="D96" s="160" t="n">
        <f aca="false">IFERROR(C81/C80,0)</f>
        <v>0.913375796178344</v>
      </c>
      <c r="E96" s="15" t="s">
        <v>7883</v>
      </c>
      <c r="F96" s="167" t="str">
        <f aca="false">IF(D96&gt;=0.999,"At world class",IF(D96&gt;=0.99,"Good","Losing product to defects"))</f>
        <v>Losing product to defects</v>
      </c>
      <c r="G96" s="167"/>
      <c r="H96" s="167"/>
    </row>
    <row r="97" customFormat="false" ht="44.25" hidden="false" customHeight="true" outlineLevel="0" collapsed="false">
      <c r="B97" s="15" t="s">
        <v>7884</v>
      </c>
      <c r="C97" s="15" t="s">
        <v>7885</v>
      </c>
      <c r="D97" s="160" t="n">
        <f aca="false">D94*D95*D96</f>
        <v>0.562352941176471</v>
      </c>
      <c r="E97" s="15" t="s">
        <v>7886</v>
      </c>
      <c r="F97" s="167" t="str">
        <f aca="false">IF(D97&gt;=0.85,"World class",IF(D97&gt;=0.6,"Typical for a packaging line","Significant losses"))</f>
        <v>Significant losses</v>
      </c>
      <c r="G97" s="167"/>
      <c r="H97" s="167"/>
    </row>
    <row r="98" customFormat="false" ht="44.25" hidden="false" customHeight="true" outlineLevel="0" collapsed="false">
      <c r="B98" s="15" t="s">
        <v>7887</v>
      </c>
      <c r="C98" s="15" t="s">
        <v>7888</v>
      </c>
      <c r="D98" s="160" t="n">
        <f aca="false">IFERROR(D97*$C$75/$C$73,0)</f>
        <v>0.497916666666667</v>
      </c>
      <c r="E98" s="15" t="s">
        <v>6909</v>
      </c>
      <c r="F98" s="15" t="s">
        <v>7889</v>
      </c>
      <c r="G98" s="15"/>
      <c r="H98" s="15"/>
    </row>
    <row r="100" customFormat="false" ht="17.25" hidden="false" customHeight="true" outlineLevel="0" collapsed="false">
      <c r="B100" s="107" t="s">
        <v>7890</v>
      </c>
      <c r="C100" s="107"/>
      <c r="D100" s="107"/>
      <c r="E100" s="107"/>
      <c r="F100" s="107"/>
      <c r="G100" s="107"/>
      <c r="H100" s="107"/>
    </row>
    <row r="101" customFormat="false" ht="30.75" hidden="false" customHeight="true" outlineLevel="0" collapsed="false">
      <c r="B101" s="152" t="s">
        <v>7891</v>
      </c>
      <c r="C101" s="152" t="s">
        <v>7892</v>
      </c>
      <c r="D101" s="152" t="s">
        <v>7893</v>
      </c>
      <c r="E101" s="152" t="s">
        <v>7894</v>
      </c>
      <c r="F101" s="152"/>
    </row>
    <row r="102" customFormat="false" ht="17.25" hidden="false" customHeight="true" outlineLevel="0" collapsed="false">
      <c r="B102" s="15" t="s">
        <v>7895</v>
      </c>
      <c r="C102" s="161" t="n">
        <f aca="false">0</f>
        <v>0</v>
      </c>
      <c r="D102" s="161" t="n">
        <f aca="false">$C$75</f>
        <v>425</v>
      </c>
      <c r="E102" s="160" t="n">
        <f aca="false">IFERROR(D102/$C$75,0)</f>
        <v>1</v>
      </c>
      <c r="F102" s="160"/>
    </row>
    <row r="103" customFormat="false" ht="17.25" hidden="false" customHeight="true" outlineLevel="0" collapsed="false">
      <c r="B103" s="15" t="s">
        <v>7896</v>
      </c>
      <c r="C103" s="161" t="n">
        <f aca="false">D85</f>
        <v>38</v>
      </c>
      <c r="D103" s="161" t="n">
        <f aca="false">D102-C103</f>
        <v>387</v>
      </c>
      <c r="E103" s="160" t="n">
        <f aca="false">IFERROR(D103/$C$75,0)</f>
        <v>0.910588235294118</v>
      </c>
      <c r="F103" s="160"/>
    </row>
    <row r="104" customFormat="false" ht="17.25" hidden="false" customHeight="true" outlineLevel="0" collapsed="false">
      <c r="B104" s="15" t="s">
        <v>7897</v>
      </c>
      <c r="C104" s="161" t="n">
        <f aca="false">D86</f>
        <v>46</v>
      </c>
      <c r="D104" s="161" t="n">
        <f aca="false">D103-C104</f>
        <v>341</v>
      </c>
      <c r="E104" s="160" t="n">
        <f aca="false">IFERROR(D104/$C$75,0)</f>
        <v>0.802352941176471</v>
      </c>
      <c r="F104" s="160"/>
    </row>
    <row r="105" customFormat="false" ht="17.25" hidden="false" customHeight="true" outlineLevel="0" collapsed="false">
      <c r="B105" s="15" t="s">
        <v>7898</v>
      </c>
      <c r="C105" s="161" t="n">
        <f aca="false">D87</f>
        <v>29</v>
      </c>
      <c r="D105" s="161" t="n">
        <f aca="false">D104-C105</f>
        <v>312</v>
      </c>
      <c r="E105" s="160" t="n">
        <f aca="false">IFERROR(D105/$C$75,0)</f>
        <v>0.734117647058824</v>
      </c>
      <c r="F105" s="160"/>
    </row>
    <row r="106" customFormat="false" ht="17.25" hidden="false" customHeight="true" outlineLevel="0" collapsed="false">
      <c r="B106" s="15" t="s">
        <v>7899</v>
      </c>
      <c r="C106" s="161" t="n">
        <f aca="false">D88</f>
        <v>22</v>
      </c>
      <c r="D106" s="161" t="n">
        <f aca="false">D105-C106</f>
        <v>290</v>
      </c>
      <c r="E106" s="160" t="n">
        <f aca="false">IFERROR(D106/$C$75,0)</f>
        <v>0.682352941176471</v>
      </c>
      <c r="F106" s="160"/>
    </row>
    <row r="107" customFormat="false" ht="17.25" hidden="false" customHeight="true" outlineLevel="0" collapsed="false">
      <c r="B107" s="15" t="s">
        <v>7900</v>
      </c>
      <c r="C107" s="161" t="n">
        <f aca="false">IFERROR(E89/$C$79,0)</f>
        <v>14</v>
      </c>
      <c r="D107" s="161" t="n">
        <f aca="false">D106-C107</f>
        <v>276</v>
      </c>
      <c r="E107" s="160" t="n">
        <f aca="false">IFERROR(D107/$C$75,0)</f>
        <v>0.649411764705882</v>
      </c>
      <c r="F107" s="160"/>
    </row>
    <row r="108" customFormat="false" ht="17.25" hidden="false" customHeight="true" outlineLevel="0" collapsed="false">
      <c r="B108" s="15" t="s">
        <v>7901</v>
      </c>
      <c r="C108" s="161" t="n">
        <f aca="false">IFERROR(E90/$C$79,0)</f>
        <v>8.66666666666667</v>
      </c>
      <c r="D108" s="161" t="n">
        <f aca="false">D107-C108</f>
        <v>267.333333333333</v>
      </c>
      <c r="E108" s="160" t="n">
        <f aca="false">IFERROR(D108/$C$75,0)</f>
        <v>0.629019607843137</v>
      </c>
      <c r="F108" s="160"/>
    </row>
    <row r="109" customFormat="false" ht="23.25" hidden="false" customHeight="true" outlineLevel="0" collapsed="false">
      <c r="B109" s="15" t="s">
        <v>7902</v>
      </c>
      <c r="C109" s="161" t="n">
        <f aca="false">0</f>
        <v>0</v>
      </c>
      <c r="D109" s="161" t="n">
        <f aca="false">D108</f>
        <v>267.333333333333</v>
      </c>
      <c r="E109" s="160" t="n">
        <f aca="false">IFERROR(D109/$C$75,0)</f>
        <v>0.629019607843137</v>
      </c>
      <c r="F109" s="160"/>
    </row>
    <row r="111" customFormat="false" ht="15" hidden="false" customHeight="true" outlineLevel="0" collapsed="false">
      <c r="B111" s="105" t="s">
        <v>7903</v>
      </c>
    </row>
    <row r="112" customFormat="false" ht="17.25" hidden="false" customHeight="true" outlineLevel="0" collapsed="false">
      <c r="B112" s="152" t="s">
        <v>7858</v>
      </c>
      <c r="C112" s="152" t="s">
        <v>7904</v>
      </c>
      <c r="D112" s="152" t="s">
        <v>7905</v>
      </c>
      <c r="E112" s="152" t="s">
        <v>1419</v>
      </c>
      <c r="F112" s="152"/>
    </row>
    <row r="113" customFormat="false" ht="30.75" hidden="false" customHeight="true" outlineLevel="0" collapsed="false">
      <c r="B113" s="15" t="s">
        <v>7906</v>
      </c>
      <c r="C113" s="15" t="s">
        <v>7907</v>
      </c>
      <c r="D113" s="15" t="s">
        <v>7908</v>
      </c>
      <c r="E113" s="153" t="s">
        <v>7909</v>
      </c>
      <c r="F113" s="153"/>
    </row>
    <row r="114" customFormat="false" ht="44.25" hidden="false" customHeight="true" outlineLevel="0" collapsed="false">
      <c r="B114" s="15" t="s">
        <v>7910</v>
      </c>
      <c r="C114" s="15" t="s">
        <v>7911</v>
      </c>
      <c r="D114" s="15" t="s">
        <v>7912</v>
      </c>
      <c r="E114" s="153" t="s">
        <v>7913</v>
      </c>
      <c r="F114" s="153"/>
    </row>
    <row r="115" customFormat="false" ht="30.75" hidden="false" customHeight="true" outlineLevel="0" collapsed="false">
      <c r="B115" s="15" t="s">
        <v>7914</v>
      </c>
      <c r="C115" s="15" t="s">
        <v>7915</v>
      </c>
      <c r="D115" s="15" t="s">
        <v>7916</v>
      </c>
      <c r="E115" s="153" t="s">
        <v>7917</v>
      </c>
      <c r="F115" s="153"/>
    </row>
    <row r="116" customFormat="false" ht="44.25" hidden="false" customHeight="true" outlineLevel="0" collapsed="false">
      <c r="B116" s="15" t="s">
        <v>7918</v>
      </c>
      <c r="C116" s="15" t="s">
        <v>7919</v>
      </c>
      <c r="D116" s="15" t="s">
        <v>7920</v>
      </c>
      <c r="E116" s="153" t="s">
        <v>7921</v>
      </c>
      <c r="F116" s="153"/>
    </row>
    <row r="117" customFormat="false" ht="30.75" hidden="false" customHeight="true" outlineLevel="0" collapsed="false">
      <c r="B117" s="15" t="s">
        <v>7922</v>
      </c>
      <c r="C117" s="15" t="s">
        <v>7923</v>
      </c>
      <c r="D117" s="15" t="s">
        <v>7924</v>
      </c>
      <c r="E117" s="153" t="s">
        <v>7925</v>
      </c>
      <c r="F117" s="153"/>
    </row>
    <row r="118" customFormat="false" ht="44.25" hidden="false" customHeight="true" outlineLevel="0" collapsed="false">
      <c r="B118" s="15" t="s">
        <v>7926</v>
      </c>
      <c r="C118" s="15" t="s">
        <v>7927</v>
      </c>
      <c r="D118" s="15" t="s">
        <v>7928</v>
      </c>
      <c r="E118" s="153" t="s">
        <v>6744</v>
      </c>
      <c r="F118" s="153"/>
    </row>
    <row r="120" customFormat="false" ht="15.75" hidden="false" customHeight="true" outlineLevel="0" collapsed="false">
      <c r="B120" s="103" t="s">
        <v>1493</v>
      </c>
      <c r="C120" s="8"/>
      <c r="D120" s="8"/>
      <c r="E120" s="8"/>
      <c r="F120" s="8"/>
      <c r="G120" s="8"/>
      <c r="H120" s="8"/>
      <c r="I120" s="8"/>
      <c r="J120" s="8"/>
      <c r="K120" s="8"/>
    </row>
    <row r="121" customFormat="false" ht="65.25" hidden="false" customHeight="true" outlineLevel="0" collapsed="false">
      <c r="B121" s="105" t="s">
        <v>1494</v>
      </c>
      <c r="C121" s="168" t="str">
        <f aca="false">"OEE = "&amp;TEXT(D94,"0.0%")&amp;" availability x "&amp;TEXT(D95,"0.0%")&amp;" performance x "&amp;TEXT(D96,"0.0%")&amp;" quality = "&amp;TEXT(D97,"0.0%")&amp;" (TEEP "&amp;TEXT(D98,"0.0%")&amp;"). "&amp;"The largest single loss is "&amp;INDEX(B85:B90,MATCH(MAX(G85:G90),G85:G90,0))&amp;", worth "&amp;TEXT(MAX(G85:G90),"#,##0")&amp;" bottles this shift. "&amp;IF(D94&lt;=MIN(D95,D96),"Availability is the weakest factor: attack breakdowns (L-16) and changeover (L-15).",IF(D95&lt;=D96,"Performance is the weakest factor: attack micro-stops and speed losses, which are usually the least documented.","Quality is the weakest factor: go to Pareto (H-06) and then to SPC (E-49)."))</f>
        <v>OEE = 80.2% availability x 76.7% performance x 91.3% quality = 56.2% (TEEP 49.8%). The largest single loss is 2  Set-up and adjustment (changeover), worth 13,800 bottles this shift. Performance is the weakest factor: attack micro-stops and speed losses, which are usually the least documented.</v>
      </c>
      <c r="D121" s="168"/>
      <c r="E121" s="168"/>
      <c r="F121" s="168"/>
      <c r="G121" s="168"/>
    </row>
    <row r="123" customFormat="false" ht="17.25" hidden="false" customHeight="true" outlineLevel="0" collapsed="false">
      <c r="B123" s="152" t="s">
        <v>1495</v>
      </c>
      <c r="C123" s="152" t="s">
        <v>1496</v>
      </c>
      <c r="D123" s="152" t="s">
        <v>1497</v>
      </c>
      <c r="E123" s="152"/>
      <c r="F123" s="152"/>
    </row>
    <row r="124" customFormat="false" ht="99.75" hidden="false" customHeight="true" outlineLevel="0" collapsed="false">
      <c r="B124" s="15" t="s">
        <v>7884</v>
      </c>
      <c r="C124" s="15" t="s">
        <v>7929</v>
      </c>
      <c r="D124" s="15" t="s">
        <v>7930</v>
      </c>
      <c r="E124" s="15"/>
      <c r="F124" s="15"/>
    </row>
    <row r="125" customFormat="false" ht="17.25" hidden="false" customHeight="true" outlineLevel="0" collapsed="false">
      <c r="B125" s="15" t="s">
        <v>7865</v>
      </c>
      <c r="C125" s="15" t="s">
        <v>3098</v>
      </c>
      <c r="D125" s="15" t="s">
        <v>7931</v>
      </c>
      <c r="E125" s="15"/>
      <c r="F125" s="15"/>
    </row>
    <row r="126" customFormat="false" ht="31.5" hidden="false" customHeight="true" outlineLevel="0" collapsed="false">
      <c r="B126" s="15" t="s">
        <v>7868</v>
      </c>
      <c r="C126" s="15" t="s">
        <v>7932</v>
      </c>
      <c r="D126" s="15" t="s">
        <v>7933</v>
      </c>
      <c r="E126" s="15"/>
      <c r="F126" s="15"/>
    </row>
    <row r="127" customFormat="false" ht="31.5" hidden="false" customHeight="true" outlineLevel="0" collapsed="false">
      <c r="B127" s="15" t="s">
        <v>7029</v>
      </c>
      <c r="C127" s="15" t="s">
        <v>7934</v>
      </c>
      <c r="D127" s="15" t="s">
        <v>7935</v>
      </c>
      <c r="E127" s="15"/>
      <c r="F127" s="15"/>
    </row>
    <row r="128" customFormat="false" ht="31.5" hidden="false" customHeight="true" outlineLevel="0" collapsed="false">
      <c r="B128" s="15" t="s">
        <v>7936</v>
      </c>
      <c r="C128" s="15" t="s">
        <v>7937</v>
      </c>
      <c r="D128" s="15" t="s">
        <v>7938</v>
      </c>
      <c r="E128" s="15"/>
      <c r="F128" s="15"/>
    </row>
    <row r="130" customFormat="false" ht="15" hidden="false" customHeight="true" outlineLevel="0" collapsed="false">
      <c r="B130" s="105" t="s">
        <v>1507</v>
      </c>
    </row>
    <row r="131" customFormat="false" ht="17.25" hidden="false" customHeight="true" outlineLevel="0" collapsed="false">
      <c r="B131" s="106" t="s">
        <v>7939</v>
      </c>
      <c r="C131" s="106"/>
      <c r="D131" s="106"/>
      <c r="E131" s="106"/>
      <c r="F131" s="106"/>
      <c r="G131" s="106"/>
      <c r="H131" s="106"/>
    </row>
    <row r="132" customFormat="false" ht="17.25" hidden="false" customHeight="true" outlineLevel="0" collapsed="false">
      <c r="B132" s="106" t="s">
        <v>7940</v>
      </c>
      <c r="C132" s="106"/>
      <c r="D132" s="106"/>
      <c r="E132" s="106"/>
      <c r="F132" s="106"/>
      <c r="G132" s="106"/>
      <c r="H132" s="106"/>
    </row>
    <row r="133" customFormat="false" ht="17.25" hidden="false" customHeight="true" outlineLevel="0" collapsed="false">
      <c r="B133" s="106" t="s">
        <v>7941</v>
      </c>
      <c r="C133" s="106"/>
      <c r="D133" s="106"/>
      <c r="E133" s="106"/>
      <c r="F133" s="106"/>
      <c r="G133" s="106"/>
      <c r="H133" s="106"/>
    </row>
    <row r="134" customFormat="false" ht="17.25" hidden="false" customHeight="true" outlineLevel="0" collapsed="false">
      <c r="B134" s="106" t="s">
        <v>7942</v>
      </c>
      <c r="C134" s="106"/>
      <c r="D134" s="106"/>
      <c r="E134" s="106"/>
      <c r="F134" s="106"/>
      <c r="G134" s="106"/>
      <c r="H134" s="106"/>
    </row>
    <row r="135" customFormat="false" ht="17.25" hidden="false" customHeight="true" outlineLevel="0" collapsed="false">
      <c r="B135" s="106" t="s">
        <v>7943</v>
      </c>
      <c r="C135" s="106"/>
      <c r="D135" s="106"/>
      <c r="E135" s="106"/>
      <c r="F135" s="106"/>
      <c r="G135" s="106"/>
      <c r="H135" s="106"/>
    </row>
    <row r="136" customFormat="false" ht="17.25" hidden="false" customHeight="true" outlineLevel="0" collapsed="false">
      <c r="B136" s="106" t="s">
        <v>7944</v>
      </c>
      <c r="C136" s="106"/>
      <c r="D136" s="106"/>
      <c r="E136" s="106"/>
      <c r="F136" s="106"/>
      <c r="G136" s="106"/>
      <c r="H136" s="106"/>
    </row>
    <row r="138" customFormat="false" ht="15.75" hidden="false" customHeight="true" outlineLevel="0" collapsed="false">
      <c r="B138" s="103" t="s">
        <v>1513</v>
      </c>
      <c r="C138" s="8"/>
      <c r="D138" s="8"/>
      <c r="E138" s="8"/>
      <c r="F138" s="8"/>
      <c r="G138" s="8"/>
      <c r="H138" s="8"/>
      <c r="I138" s="8"/>
      <c r="J138" s="8"/>
      <c r="K138" s="8"/>
    </row>
    <row r="139" customFormat="false" ht="17.25" hidden="false" customHeight="true" outlineLevel="0" collapsed="false">
      <c r="B139" s="106" t="s">
        <v>6712</v>
      </c>
      <c r="C139" s="106"/>
      <c r="D139" s="106"/>
      <c r="E139" s="106"/>
      <c r="F139" s="106"/>
      <c r="N139" s="169" t="s">
        <v>1515</v>
      </c>
    </row>
    <row r="140" customFormat="false" ht="44.25" hidden="false" customHeight="true" outlineLevel="0" collapsed="false">
      <c r="B140" s="106" t="s">
        <v>7945</v>
      </c>
      <c r="C140" s="106"/>
      <c r="D140" s="106"/>
      <c r="E140" s="106"/>
      <c r="F140" s="106"/>
      <c r="N140" s="120" t="s">
        <v>7946</v>
      </c>
    </row>
    <row r="141" customFormat="false" ht="44.25" hidden="false" customHeight="true" outlineLevel="0" collapsed="false">
      <c r="B141" s="106" t="s">
        <v>7947</v>
      </c>
      <c r="C141" s="106"/>
      <c r="D141" s="106"/>
      <c r="E141" s="106"/>
      <c r="F141" s="106"/>
      <c r="N141" s="120" t="s">
        <v>7948</v>
      </c>
    </row>
    <row r="142" customFormat="false" ht="44.25" hidden="false" customHeight="true" outlineLevel="0" collapsed="false">
      <c r="B142" s="106" t="s">
        <v>7949</v>
      </c>
      <c r="C142" s="106"/>
      <c r="D142" s="106"/>
      <c r="E142" s="106"/>
      <c r="F142" s="106"/>
      <c r="N142" s="120" t="s">
        <v>7950</v>
      </c>
    </row>
    <row r="144" customFormat="false" ht="15.75" hidden="false" customHeight="true" outlineLevel="0" collapsed="false">
      <c r="B144" s="103" t="s">
        <v>1522</v>
      </c>
      <c r="C144" s="8"/>
      <c r="D144" s="8"/>
      <c r="E144" s="8"/>
      <c r="F144" s="8"/>
      <c r="G144" s="8"/>
      <c r="H144" s="8"/>
      <c r="I144" s="8"/>
      <c r="J144" s="8"/>
      <c r="K144" s="8"/>
    </row>
    <row r="145" customFormat="false" ht="30.75" hidden="false" customHeight="true" outlineLevel="0" collapsed="false">
      <c r="B145" s="152" t="s">
        <v>1523</v>
      </c>
      <c r="C145" s="152" t="s">
        <v>1524</v>
      </c>
      <c r="D145" s="152" t="s">
        <v>6719</v>
      </c>
    </row>
    <row r="146" customFormat="false" ht="30.75" hidden="false" customHeight="true" outlineLevel="0" collapsed="false">
      <c r="B146" s="170" t="s">
        <v>6866</v>
      </c>
      <c r="C146" s="170" t="s">
        <v>1109</v>
      </c>
      <c r="D146" s="170" t="s">
        <v>1101</v>
      </c>
    </row>
  </sheetData>
  <mergeCells count="97">
    <mergeCell ref="B2:J2"/>
    <mergeCell ref="D3:H3"/>
    <mergeCell ref="C6:G6"/>
    <mergeCell ref="C7:G7"/>
    <mergeCell ref="C8:G8"/>
    <mergeCell ref="B11:H13"/>
    <mergeCell ref="B14:H16"/>
    <mergeCell ref="B17:H19"/>
    <mergeCell ref="B20:H22"/>
    <mergeCell ref="B23:H24"/>
    <mergeCell ref="B27:D27"/>
    <mergeCell ref="E27:H27"/>
    <mergeCell ref="B28:D28"/>
    <mergeCell ref="E28:H28"/>
    <mergeCell ref="B29:D29"/>
    <mergeCell ref="E29:H29"/>
    <mergeCell ref="B30:D30"/>
    <mergeCell ref="E30:H30"/>
    <mergeCell ref="B31:H31"/>
    <mergeCell ref="E33:F33"/>
    <mergeCell ref="E34:F34"/>
    <mergeCell ref="E35:F35"/>
    <mergeCell ref="E36:F36"/>
    <mergeCell ref="E37:F37"/>
    <mergeCell ref="B40:H41"/>
    <mergeCell ref="B43:H43"/>
    <mergeCell ref="B44:H45"/>
    <mergeCell ref="B47:H47"/>
    <mergeCell ref="B48:H48"/>
    <mergeCell ref="B51:H53"/>
    <mergeCell ref="B55:H55"/>
    <mergeCell ref="D58:E58"/>
    <mergeCell ref="D59:E59"/>
    <mergeCell ref="D60:E60"/>
    <mergeCell ref="D61:E61"/>
    <mergeCell ref="D62:E62"/>
    <mergeCell ref="D63:E63"/>
    <mergeCell ref="B66:H68"/>
    <mergeCell ref="C69:D69"/>
    <mergeCell ref="B71:H71"/>
    <mergeCell ref="E72:F72"/>
    <mergeCell ref="E73:F73"/>
    <mergeCell ref="E74:F74"/>
    <mergeCell ref="E75:F75"/>
    <mergeCell ref="B77:H77"/>
    <mergeCell ref="E78:H78"/>
    <mergeCell ref="E79:H79"/>
    <mergeCell ref="E80:H80"/>
    <mergeCell ref="E81:H81"/>
    <mergeCell ref="B83:H83"/>
    <mergeCell ref="G84:H84"/>
    <mergeCell ref="G85:H85"/>
    <mergeCell ref="G86:H86"/>
    <mergeCell ref="G87:H87"/>
    <mergeCell ref="G88:H88"/>
    <mergeCell ref="G89:H89"/>
    <mergeCell ref="G90:H90"/>
    <mergeCell ref="F93:H93"/>
    <mergeCell ref="F94:H94"/>
    <mergeCell ref="F95:H95"/>
    <mergeCell ref="F96:H96"/>
    <mergeCell ref="F97:H97"/>
    <mergeCell ref="F98:H98"/>
    <mergeCell ref="B100:H100"/>
    <mergeCell ref="E101:F101"/>
    <mergeCell ref="E102:F102"/>
    <mergeCell ref="E103:F103"/>
    <mergeCell ref="E104:F104"/>
    <mergeCell ref="E105:F105"/>
    <mergeCell ref="E106:F106"/>
    <mergeCell ref="E107:F107"/>
    <mergeCell ref="E108:F108"/>
    <mergeCell ref="E109:F109"/>
    <mergeCell ref="E112:F112"/>
    <mergeCell ref="E113:F113"/>
    <mergeCell ref="E114:F114"/>
    <mergeCell ref="E115:F115"/>
    <mergeCell ref="E116:F116"/>
    <mergeCell ref="E117:F117"/>
    <mergeCell ref="E118:F118"/>
    <mergeCell ref="C121:G121"/>
    <mergeCell ref="D123:F123"/>
    <mergeCell ref="D124:F124"/>
    <mergeCell ref="D125:F125"/>
    <mergeCell ref="D126:F126"/>
    <mergeCell ref="D127:F127"/>
    <mergeCell ref="D128:F128"/>
    <mergeCell ref="B131:H131"/>
    <mergeCell ref="B132:H132"/>
    <mergeCell ref="B133:H133"/>
    <mergeCell ref="B134:H134"/>
    <mergeCell ref="B135:H135"/>
    <mergeCell ref="B136:H136"/>
    <mergeCell ref="B139:F139"/>
    <mergeCell ref="B140:F140"/>
    <mergeCell ref="B141:F141"/>
    <mergeCell ref="B142:F142"/>
  </mergeCells>
  <hyperlinks>
    <hyperlink ref="B3" location="'N-03 Index DMAIC'!A1" display="← Back to Index"/>
    <hyperlink ref="E34" location="'H-05 Check Sheets'!A1" display="H-05  Check Sheets"/>
    <hyperlink ref="E35" location="'L-07 Takt Cycle Lead Time'!A1" display="L-07  Takt, Cycle and Lead Time"/>
    <hyperlink ref="E36" location="'H-08 Run Chart'!A1" display="H-08  Run Chart"/>
    <hyperlink ref="E37" location="'G-02 Business Case COPQ'!A1" display="G-02  Business Case and COPQ"/>
    <hyperlink ref="E113" location="'L-16 TPM'!A1" display="L-16  TPM"/>
    <hyperlink ref="E114" location="'L-15 SMED'!A1" display="L-15  SMED"/>
    <hyperlink ref="E115" location="'L-17 Poka-Yoke'!A1" display="L-17  Poka-Yoke"/>
    <hyperlink ref="E116" location="'E-42 Full Factorial'!A1" display="E-42  Full Factorial DOE"/>
    <hyperlink ref="E117" location="'E-49 I-MR Chart'!A1" display="E-49  I-MR Chart"/>
    <hyperlink ref="E118" location="'L-14 Standard Work'!A1" display="L-14  Standard Work"/>
    <hyperlink ref="B146" location="'L-09 Theory of Constraints'!A1" display="L-09  Theory of Constraints"/>
    <hyperlink ref="C146" location="'L-15 SMED'!A1" display="L-15  SMED and Quick Changeover"/>
    <hyperlink ref="D146" location="'L-16 TPM'!A1" display="L-16  TPM and Autonomous Maintenan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13"/>
    <col collapsed="false" customWidth="true" hidden="false" outlineLevel="0" max="5" min="5" style="1" width="15"/>
    <col collapsed="false" customWidth="true" hidden="false" outlineLevel="0" max="6" min="6" style="1" width="34"/>
    <col collapsed="false" customWidth="true" hidden="false" outlineLevel="0" max="7" min="7" style="1" width="26"/>
    <col collapsed="false" customWidth="true" hidden="false" outlineLevel="0" max="10" min="8"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7951</v>
      </c>
      <c r="C2" s="148"/>
      <c r="D2" s="148"/>
      <c r="E2" s="148"/>
      <c r="F2" s="148"/>
      <c r="G2" s="148"/>
      <c r="H2" s="148"/>
      <c r="I2" s="148"/>
      <c r="J2" s="148"/>
      <c r="K2" s="179" t="s">
        <v>5137</v>
      </c>
    </row>
    <row r="3" customFormat="false" ht="28.5" hidden="false" customHeight="true" outlineLevel="0" collapsed="false">
      <c r="B3" s="150" t="s">
        <v>3</v>
      </c>
      <c r="D3" s="151" t="s">
        <v>7952</v>
      </c>
      <c r="E3" s="151"/>
      <c r="F3" s="151"/>
      <c r="G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7953</v>
      </c>
      <c r="D6" s="106"/>
      <c r="E6" s="106"/>
      <c r="F6" s="106"/>
    </row>
    <row r="7" customFormat="false" ht="31.5" hidden="false" customHeight="true" outlineLevel="0" collapsed="false">
      <c r="B7" s="105" t="s">
        <v>1394</v>
      </c>
      <c r="C7" s="106" t="s">
        <v>7954</v>
      </c>
      <c r="D7" s="106"/>
      <c r="E7" s="106"/>
      <c r="F7" s="106"/>
    </row>
    <row r="8" customFormat="false" ht="17.25" hidden="false" customHeight="true" outlineLevel="0" collapsed="false">
      <c r="B8" s="105" t="s">
        <v>1396</v>
      </c>
      <c r="C8" s="106" t="s">
        <v>7955</v>
      </c>
      <c r="D8" s="106"/>
      <c r="E8" s="106"/>
      <c r="F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7956</v>
      </c>
      <c r="C11" s="106"/>
      <c r="D11" s="106"/>
      <c r="E11" s="106"/>
      <c r="F11" s="106"/>
      <c r="G11" s="106"/>
    </row>
    <row r="12" customFormat="false" ht="10.5" hidden="false" customHeight="true" outlineLevel="0" collapsed="false">
      <c r="B12" s="106"/>
      <c r="C12" s="106"/>
      <c r="D12" s="106"/>
      <c r="E12" s="106"/>
      <c r="F12" s="106"/>
      <c r="G12" s="106"/>
    </row>
    <row r="13" customFormat="false" ht="10.5" hidden="false" customHeight="true" outlineLevel="0" collapsed="false">
      <c r="B13" s="106"/>
      <c r="C13" s="106"/>
      <c r="D13" s="106"/>
      <c r="E13" s="106"/>
      <c r="F13" s="106"/>
      <c r="G13" s="106"/>
    </row>
    <row r="14" customFormat="false" ht="9" hidden="false" customHeight="true" outlineLevel="0" collapsed="false">
      <c r="B14" s="106" t="s">
        <v>7957</v>
      </c>
      <c r="C14" s="106"/>
      <c r="D14" s="106"/>
      <c r="E14" s="106"/>
      <c r="F14" s="106"/>
      <c r="G14" s="106"/>
    </row>
    <row r="15" customFormat="false" ht="9" hidden="false" customHeight="true" outlineLevel="0" collapsed="false">
      <c r="B15" s="106"/>
      <c r="C15" s="106"/>
      <c r="D15" s="106"/>
      <c r="E15" s="106"/>
      <c r="F15" s="106"/>
      <c r="G15" s="106"/>
    </row>
    <row r="16" customFormat="false" ht="9" hidden="false" customHeight="true" outlineLevel="0" collapsed="false">
      <c r="B16" s="106"/>
      <c r="C16" s="106"/>
      <c r="D16" s="106"/>
      <c r="E16" s="106"/>
      <c r="F16" s="106"/>
      <c r="G16" s="106"/>
    </row>
    <row r="17" customFormat="false" ht="9" hidden="false" customHeight="true" outlineLevel="0" collapsed="false">
      <c r="B17" s="106"/>
      <c r="C17" s="106"/>
      <c r="D17" s="106"/>
      <c r="E17" s="106"/>
      <c r="F17" s="106"/>
      <c r="G17" s="106"/>
    </row>
    <row r="18" customFormat="false" ht="9" hidden="false" customHeight="true" outlineLevel="0" collapsed="false">
      <c r="B18" s="106"/>
      <c r="C18" s="106"/>
      <c r="D18" s="106"/>
      <c r="E18" s="106"/>
      <c r="F18" s="106"/>
      <c r="G18" s="106"/>
    </row>
    <row r="19" customFormat="false" ht="15.75" hidden="false" customHeight="true" outlineLevel="0" collapsed="false">
      <c r="B19" s="106" t="s">
        <v>7958</v>
      </c>
      <c r="C19" s="106"/>
      <c r="D19" s="106"/>
      <c r="E19" s="106"/>
      <c r="F19" s="106"/>
      <c r="G19" s="106"/>
    </row>
    <row r="20" customFormat="false" ht="15.75" hidden="false" customHeight="true" outlineLevel="0" collapsed="false">
      <c r="B20" s="106"/>
      <c r="C20" s="106"/>
      <c r="D20" s="106"/>
      <c r="E20" s="106"/>
      <c r="F20" s="106"/>
      <c r="G20" s="106"/>
    </row>
    <row r="21" customFormat="false" ht="15.75" hidden="false" customHeight="true" outlineLevel="0" collapsed="false">
      <c r="B21" s="106" t="s">
        <v>7959</v>
      </c>
      <c r="C21" s="106"/>
      <c r="D21" s="106"/>
      <c r="E21" s="106"/>
      <c r="F21" s="106"/>
      <c r="G21" s="106"/>
    </row>
    <row r="22" customFormat="false" ht="15.75" hidden="false" customHeight="true" outlineLevel="0" collapsed="false">
      <c r="B22" s="106"/>
      <c r="C22" s="106"/>
      <c r="D22" s="106"/>
      <c r="E22" s="106"/>
      <c r="F22" s="106"/>
      <c r="G22" s="106"/>
    </row>
    <row r="24" customFormat="false" ht="15.75" hidden="false" customHeight="true" outlineLevel="0" collapsed="false">
      <c r="B24" s="103" t="s">
        <v>1406</v>
      </c>
      <c r="C24" s="8"/>
      <c r="D24" s="8"/>
      <c r="E24" s="8"/>
      <c r="F24" s="8"/>
      <c r="G24" s="8"/>
      <c r="H24" s="8"/>
      <c r="I24" s="8"/>
      <c r="J24" s="8"/>
      <c r="K24" s="8"/>
    </row>
    <row r="25" customFormat="false" ht="17.25" hidden="false" customHeight="true" outlineLevel="0" collapsed="false">
      <c r="B25" s="107" t="s">
        <v>1407</v>
      </c>
      <c r="C25" s="107"/>
      <c r="D25" s="107"/>
      <c r="E25" s="107" t="s">
        <v>1408</v>
      </c>
      <c r="F25" s="107"/>
      <c r="G25" s="107"/>
    </row>
    <row r="26" customFormat="false" ht="31.5" hidden="false" customHeight="true" outlineLevel="0" collapsed="false">
      <c r="B26" s="106" t="s">
        <v>7960</v>
      </c>
      <c r="C26" s="106"/>
      <c r="D26" s="106"/>
      <c r="E26" s="106" t="s">
        <v>7961</v>
      </c>
      <c r="F26" s="106"/>
      <c r="G26" s="106"/>
    </row>
    <row r="27" customFormat="false" ht="17.25" hidden="false" customHeight="true" outlineLevel="0" collapsed="false">
      <c r="B27" s="106" t="s">
        <v>7962</v>
      </c>
      <c r="C27" s="106"/>
      <c r="D27" s="106"/>
      <c r="E27" s="106" t="s">
        <v>7963</v>
      </c>
      <c r="F27" s="106"/>
      <c r="G27" s="106"/>
    </row>
    <row r="28" customFormat="false" ht="17.25" hidden="false" customHeight="true" outlineLevel="0" collapsed="false">
      <c r="B28" s="106" t="s">
        <v>7964</v>
      </c>
      <c r="C28" s="106"/>
      <c r="D28" s="106"/>
      <c r="E28" s="106" t="s">
        <v>7965</v>
      </c>
      <c r="F28" s="106"/>
      <c r="G28" s="106"/>
    </row>
    <row r="29" customFormat="false" ht="17.25" hidden="false" customHeight="true" outlineLevel="0" collapsed="false">
      <c r="B29" s="106" t="s">
        <v>7966</v>
      </c>
      <c r="C29" s="106"/>
      <c r="D29" s="106"/>
      <c r="E29" s="106"/>
      <c r="F29" s="106"/>
      <c r="G29" s="106"/>
    </row>
    <row r="31" customFormat="false" ht="30.75" hidden="false" customHeight="true" outlineLevel="0" collapsed="false">
      <c r="B31" s="152" t="s">
        <v>6621</v>
      </c>
      <c r="C31" s="152" t="s">
        <v>1417</v>
      </c>
      <c r="D31" s="152" t="s">
        <v>1418</v>
      </c>
      <c r="E31" s="152" t="s">
        <v>1419</v>
      </c>
      <c r="F31" s="152"/>
    </row>
    <row r="32" customFormat="false" ht="44.25" hidden="false" customHeight="true" outlineLevel="0" collapsed="false">
      <c r="B32" s="15" t="s">
        <v>7967</v>
      </c>
      <c r="C32" s="15" t="s">
        <v>7968</v>
      </c>
      <c r="D32" s="15" t="s">
        <v>7969</v>
      </c>
      <c r="E32" s="153" t="s">
        <v>1113</v>
      </c>
      <c r="F32" s="153"/>
    </row>
    <row r="33" customFormat="false" ht="72" hidden="false" customHeight="true" outlineLevel="0" collapsed="false">
      <c r="B33" s="15" t="s">
        <v>7970</v>
      </c>
      <c r="C33" s="15" t="s">
        <v>7971</v>
      </c>
      <c r="D33" s="15" t="s">
        <v>7972</v>
      </c>
      <c r="E33" s="153" t="s">
        <v>6632</v>
      </c>
      <c r="F33" s="153"/>
    </row>
    <row r="34" customFormat="false" ht="58.5" hidden="false" customHeight="true" outlineLevel="0" collapsed="false">
      <c r="B34" s="15" t="s">
        <v>7973</v>
      </c>
      <c r="C34" s="15" t="s">
        <v>7974</v>
      </c>
      <c r="D34" s="15" t="s">
        <v>7975</v>
      </c>
      <c r="E34" s="153" t="s">
        <v>1262</v>
      </c>
      <c r="F34" s="153"/>
    </row>
    <row r="35" customFormat="false" ht="58.5" hidden="false" customHeight="true" outlineLevel="0" collapsed="false">
      <c r="B35" s="15" t="s">
        <v>7976</v>
      </c>
      <c r="C35" s="15" t="s">
        <v>7977</v>
      </c>
      <c r="D35" s="15" t="s">
        <v>7978</v>
      </c>
      <c r="E35" s="153" t="s">
        <v>7979</v>
      </c>
      <c r="F35" s="153"/>
    </row>
    <row r="37" customFormat="false" ht="15.75" hidden="false" customHeight="true" outlineLevel="0" collapsed="false">
      <c r="B37" s="103" t="s">
        <v>1429</v>
      </c>
      <c r="C37" s="8"/>
      <c r="D37" s="8"/>
      <c r="E37" s="8"/>
      <c r="F37" s="8"/>
      <c r="G37" s="8"/>
      <c r="H37" s="8"/>
      <c r="I37" s="8"/>
      <c r="J37" s="8"/>
      <c r="K37" s="8"/>
    </row>
    <row r="38" customFormat="false" ht="10.5" hidden="false" customHeight="true" outlineLevel="0" collapsed="false">
      <c r="B38" s="106" t="s">
        <v>7980</v>
      </c>
      <c r="C38" s="106"/>
      <c r="D38" s="106"/>
      <c r="E38" s="106"/>
      <c r="F38" s="106"/>
      <c r="G38" s="106"/>
    </row>
    <row r="39" customFormat="false" ht="10.5" hidden="false" customHeight="true" outlineLevel="0" collapsed="false">
      <c r="B39" s="106"/>
      <c r="C39" s="106"/>
      <c r="D39" s="106"/>
      <c r="E39" s="106"/>
      <c r="F39" s="106"/>
      <c r="G39" s="106"/>
    </row>
    <row r="40" customFormat="false" ht="10.5" hidden="false" customHeight="true" outlineLevel="0" collapsed="false">
      <c r="B40" s="106"/>
      <c r="C40" s="106"/>
      <c r="D40" s="106"/>
      <c r="E40" s="106"/>
      <c r="F40" s="106"/>
      <c r="G40" s="106"/>
    </row>
    <row r="41" customFormat="false" ht="15" hidden="false" customHeight="true" outlineLevel="0" collapsed="false">
      <c r="B41" s="122"/>
    </row>
    <row r="42" customFormat="false" ht="16.5" hidden="false" customHeight="true" outlineLevel="0" collapsed="false">
      <c r="B42" s="122" t="s">
        <v>7981</v>
      </c>
    </row>
    <row r="43" customFormat="false" ht="10.5" hidden="false" customHeight="true" outlineLevel="0" collapsed="false">
      <c r="B43" s="106" t="s">
        <v>7982</v>
      </c>
      <c r="C43" s="106"/>
      <c r="D43" s="106"/>
      <c r="E43" s="106"/>
      <c r="F43" s="106"/>
      <c r="G43" s="106"/>
    </row>
    <row r="44" customFormat="false" ht="10.5" hidden="false" customHeight="true" outlineLevel="0" collapsed="false">
      <c r="B44" s="106"/>
      <c r="C44" s="106"/>
      <c r="D44" s="106"/>
      <c r="E44" s="106"/>
      <c r="F44" s="106"/>
      <c r="G44" s="106"/>
    </row>
    <row r="45" customFormat="false" ht="10.5" hidden="false" customHeight="true" outlineLevel="0" collapsed="false">
      <c r="B45" s="106"/>
      <c r="C45" s="106"/>
      <c r="D45" s="106"/>
      <c r="E45" s="106"/>
      <c r="F45" s="106"/>
      <c r="G45" s="106"/>
    </row>
    <row r="46" customFormat="false" ht="16.5" hidden="false" customHeight="true" outlineLevel="0" collapsed="false">
      <c r="B46" s="122" t="s">
        <v>7983</v>
      </c>
    </row>
    <row r="47" customFormat="false" ht="15" hidden="false" customHeight="true" outlineLevel="0" collapsed="false">
      <c r="B47" s="122"/>
    </row>
    <row r="48" customFormat="false" ht="17.25" hidden="false" customHeight="true" outlineLevel="0" collapsed="false">
      <c r="B48" s="106" t="s">
        <v>7984</v>
      </c>
      <c r="C48" s="106"/>
      <c r="D48" s="106"/>
      <c r="E48" s="106"/>
      <c r="F48" s="106"/>
      <c r="G48" s="106"/>
    </row>
    <row r="50" customFormat="false" ht="15.75" hidden="false" customHeight="true" outlineLevel="0" collapsed="false">
      <c r="B50" s="103" t="s">
        <v>1437</v>
      </c>
      <c r="C50" s="8"/>
      <c r="D50" s="8"/>
      <c r="E50" s="8"/>
      <c r="F50" s="8"/>
      <c r="G50" s="8"/>
      <c r="H50" s="8"/>
      <c r="I50" s="8"/>
      <c r="J50" s="8"/>
      <c r="K50" s="8"/>
    </row>
    <row r="51" customFormat="false" ht="16.5" hidden="false" customHeight="true" outlineLevel="0" collapsed="false">
      <c r="B51" s="152" t="s">
        <v>1438</v>
      </c>
      <c r="C51" s="152" t="s">
        <v>1439</v>
      </c>
      <c r="D51" s="152" t="s">
        <v>1440</v>
      </c>
    </row>
    <row r="52" customFormat="false" ht="16.5" hidden="false" customHeight="true" outlineLevel="0" collapsed="false">
      <c r="B52" s="15" t="s">
        <v>4079</v>
      </c>
      <c r="C52" s="15" t="s">
        <v>7985</v>
      </c>
      <c r="D52" s="15" t="s">
        <v>7986</v>
      </c>
    </row>
    <row r="53" customFormat="false" ht="58.5" hidden="false" customHeight="true" outlineLevel="0" collapsed="false">
      <c r="B53" s="15" t="s">
        <v>7987</v>
      </c>
      <c r="C53" s="15" t="s">
        <v>7988</v>
      </c>
      <c r="D53" s="15" t="s">
        <v>7989</v>
      </c>
    </row>
    <row r="54" customFormat="false" ht="30.75" hidden="false" customHeight="true" outlineLevel="0" collapsed="false">
      <c r="B54" s="15" t="s">
        <v>3248</v>
      </c>
      <c r="C54" s="15" t="s">
        <v>7990</v>
      </c>
      <c r="D54" s="15" t="s">
        <v>7991</v>
      </c>
    </row>
    <row r="55" customFormat="false" ht="30.75" hidden="false" customHeight="true" outlineLevel="0" collapsed="false">
      <c r="B55" s="15" t="s">
        <v>7992</v>
      </c>
      <c r="C55" s="15" t="s">
        <v>7993</v>
      </c>
      <c r="D55" s="15" t="s">
        <v>7994</v>
      </c>
    </row>
    <row r="57" customFormat="false" ht="15.75" hidden="false" customHeight="true" outlineLevel="0" collapsed="false">
      <c r="B57" s="103" t="s">
        <v>1454</v>
      </c>
      <c r="C57" s="8"/>
      <c r="D57" s="8"/>
      <c r="E57" s="8"/>
      <c r="F57" s="8"/>
      <c r="G57" s="8"/>
      <c r="H57" s="8"/>
      <c r="I57" s="8"/>
      <c r="J57" s="8"/>
      <c r="K57" s="8"/>
    </row>
    <row r="58" customFormat="false" ht="15.75" hidden="false" customHeight="true" outlineLevel="0" collapsed="false">
      <c r="B58" s="106" t="s">
        <v>7995</v>
      </c>
      <c r="C58" s="106"/>
      <c r="D58" s="106"/>
      <c r="E58" s="106"/>
      <c r="F58" s="106"/>
      <c r="G58" s="106"/>
    </row>
    <row r="59" customFormat="false" ht="15.75" hidden="false" customHeight="true" outlineLevel="0" collapsed="false">
      <c r="B59" s="106"/>
      <c r="C59" s="106"/>
      <c r="D59" s="106"/>
      <c r="E59" s="106"/>
      <c r="F59" s="106"/>
      <c r="G59" s="106"/>
    </row>
    <row r="60" customFormat="false" ht="17.25" hidden="false" customHeight="true" outlineLevel="0" collapsed="false">
      <c r="B60" s="112" t="s">
        <v>85</v>
      </c>
      <c r="C60" s="113" t="s">
        <v>86</v>
      </c>
      <c r="D60" s="113"/>
    </row>
    <row r="62" customFormat="false" ht="17.25" hidden="false" customHeight="true" outlineLevel="0" collapsed="false">
      <c r="B62" s="107" t="s">
        <v>7996</v>
      </c>
      <c r="C62" s="107"/>
      <c r="D62" s="107"/>
      <c r="E62" s="107"/>
      <c r="F62" s="107"/>
      <c r="G62" s="107"/>
    </row>
    <row r="63" customFormat="false" ht="17.25" hidden="false" customHeight="true" outlineLevel="0" collapsed="false">
      <c r="B63" s="152" t="s">
        <v>7997</v>
      </c>
      <c r="C63" s="152" t="s">
        <v>7998</v>
      </c>
      <c r="D63" s="152"/>
      <c r="E63" s="152"/>
      <c r="F63" s="152"/>
    </row>
    <row r="64" customFormat="false" ht="17.25" hidden="false" customHeight="true" outlineLevel="0" collapsed="false">
      <c r="B64" s="15" t="s">
        <v>7631</v>
      </c>
      <c r="C64" s="15" t="s">
        <v>7999</v>
      </c>
      <c r="D64" s="15"/>
      <c r="E64" s="15"/>
      <c r="F64" s="15"/>
    </row>
    <row r="65" customFormat="false" ht="17.25" hidden="false" customHeight="true" outlineLevel="0" collapsed="false">
      <c r="B65" s="15" t="s">
        <v>34</v>
      </c>
      <c r="C65" s="15" t="s">
        <v>8000</v>
      </c>
      <c r="D65" s="15"/>
      <c r="E65" s="15"/>
      <c r="F65" s="15"/>
    </row>
    <row r="66" customFormat="false" ht="17.25" hidden="false" customHeight="true" outlineLevel="0" collapsed="false">
      <c r="B66" s="15" t="s">
        <v>6922</v>
      </c>
      <c r="C66" s="15" t="s">
        <v>8001</v>
      </c>
      <c r="D66" s="15"/>
      <c r="E66" s="15"/>
      <c r="F66" s="15"/>
    </row>
    <row r="67" customFormat="false" ht="17.25" hidden="false" customHeight="true" outlineLevel="0" collapsed="false">
      <c r="B67" s="15" t="s">
        <v>6926</v>
      </c>
      <c r="C67" s="15" t="s">
        <v>8002</v>
      </c>
      <c r="D67" s="15"/>
      <c r="E67" s="15"/>
      <c r="F67" s="15"/>
    </row>
    <row r="68" customFormat="false" ht="17.25" hidden="false" customHeight="true" outlineLevel="0" collapsed="false">
      <c r="B68" s="15" t="s">
        <v>6931</v>
      </c>
      <c r="C68" s="15" t="s">
        <v>8003</v>
      </c>
      <c r="D68" s="15"/>
      <c r="E68" s="15"/>
      <c r="F68" s="15"/>
    </row>
    <row r="70" customFormat="false" ht="17.25" hidden="false" customHeight="true" outlineLevel="0" collapsed="false">
      <c r="B70" s="152" t="s">
        <v>8004</v>
      </c>
      <c r="C70" s="152" t="s">
        <v>8005</v>
      </c>
      <c r="D70" s="152" t="s">
        <v>8006</v>
      </c>
      <c r="E70" s="152" t="s">
        <v>8007</v>
      </c>
      <c r="F70" s="152"/>
    </row>
    <row r="71" customFormat="false" ht="18.75" hidden="false" customHeight="true" outlineLevel="0" collapsed="false">
      <c r="B71" s="140" t="s">
        <v>8008</v>
      </c>
      <c r="C71" s="32"/>
      <c r="D71" s="32"/>
      <c r="E71" s="183"/>
      <c r="F71" s="183"/>
    </row>
    <row r="72" customFormat="false" ht="30.75" hidden="false" customHeight="true" outlineLevel="0" collapsed="false">
      <c r="B72" s="15" t="s">
        <v>8009</v>
      </c>
      <c r="C72" s="155" t="n">
        <v>3</v>
      </c>
      <c r="D72" s="184" t="n">
        <f aca="false">IFERROR(C72/4,0)</f>
        <v>0.75</v>
      </c>
      <c r="E72" s="177"/>
      <c r="F72" s="177"/>
    </row>
    <row r="73" customFormat="false" ht="30.75" hidden="false" customHeight="true" outlineLevel="0" collapsed="false">
      <c r="B73" s="15" t="s">
        <v>8010</v>
      </c>
      <c r="C73" s="155" t="n">
        <v>2</v>
      </c>
      <c r="D73" s="184" t="n">
        <f aca="false">IFERROR(C73/4,0)</f>
        <v>0.5</v>
      </c>
      <c r="E73" s="177"/>
      <c r="F73" s="177"/>
    </row>
    <row r="74" customFormat="false" ht="30.75" hidden="false" customHeight="true" outlineLevel="0" collapsed="false">
      <c r="B74" s="15" t="s">
        <v>8011</v>
      </c>
      <c r="C74" s="155" t="n">
        <v>1</v>
      </c>
      <c r="D74" s="184" t="n">
        <f aca="false">IFERROR(C74/4,0)</f>
        <v>0.25</v>
      </c>
      <c r="E74" s="177"/>
      <c r="F74" s="177"/>
    </row>
    <row r="75" customFormat="false" ht="30.75" hidden="false" customHeight="true" outlineLevel="0" collapsed="false">
      <c r="B75" s="15" t="s">
        <v>8012</v>
      </c>
      <c r="C75" s="155" t="n">
        <v>2</v>
      </c>
      <c r="D75" s="184" t="n">
        <f aca="false">IFERROR(C75/4,0)</f>
        <v>0.5</v>
      </c>
      <c r="E75" s="177"/>
      <c r="F75" s="177"/>
    </row>
    <row r="76" customFormat="false" ht="18.75" hidden="false" customHeight="true" outlineLevel="0" collapsed="false">
      <c r="B76" s="140" t="s">
        <v>8013</v>
      </c>
      <c r="C76" s="32"/>
      <c r="D76" s="32"/>
      <c r="E76" s="183"/>
      <c r="F76" s="183"/>
    </row>
    <row r="77" customFormat="false" ht="30.75" hidden="false" customHeight="true" outlineLevel="0" collapsed="false">
      <c r="B77" s="15" t="s">
        <v>8014</v>
      </c>
      <c r="C77" s="155" t="n">
        <v>2</v>
      </c>
      <c r="D77" s="184" t="n">
        <f aca="false">IFERROR(C77/4,0)</f>
        <v>0.5</v>
      </c>
      <c r="E77" s="177"/>
      <c r="F77" s="177"/>
    </row>
    <row r="78" customFormat="false" ht="30.75" hidden="false" customHeight="true" outlineLevel="0" collapsed="false">
      <c r="B78" s="15" t="s">
        <v>8015</v>
      </c>
      <c r="C78" s="155" t="n">
        <v>1</v>
      </c>
      <c r="D78" s="184" t="n">
        <f aca="false">IFERROR(C78/4,0)</f>
        <v>0.25</v>
      </c>
      <c r="E78" s="177"/>
      <c r="F78" s="177"/>
    </row>
    <row r="79" customFormat="false" ht="30.75" hidden="false" customHeight="true" outlineLevel="0" collapsed="false">
      <c r="B79" s="15" t="s">
        <v>8016</v>
      </c>
      <c r="C79" s="155" t="n">
        <v>3</v>
      </c>
      <c r="D79" s="184" t="n">
        <f aca="false">IFERROR(C79/4,0)</f>
        <v>0.75</v>
      </c>
      <c r="E79" s="177"/>
      <c r="F79" s="177"/>
    </row>
    <row r="80" customFormat="false" ht="44.25" hidden="false" customHeight="true" outlineLevel="0" collapsed="false">
      <c r="B80" s="15" t="s">
        <v>8017</v>
      </c>
      <c r="C80" s="155" t="n">
        <v>2</v>
      </c>
      <c r="D80" s="184" t="n">
        <f aca="false">IFERROR(C80/4,0)</f>
        <v>0.5</v>
      </c>
      <c r="E80" s="177"/>
      <c r="F80" s="177"/>
    </row>
    <row r="81" customFormat="false" ht="18.75" hidden="false" customHeight="true" outlineLevel="0" collapsed="false">
      <c r="B81" s="140" t="s">
        <v>8018</v>
      </c>
      <c r="C81" s="32"/>
      <c r="D81" s="32"/>
      <c r="E81" s="183"/>
      <c r="F81" s="183"/>
    </row>
    <row r="82" customFormat="false" ht="30.75" hidden="false" customHeight="true" outlineLevel="0" collapsed="false">
      <c r="B82" s="15" t="s">
        <v>8019</v>
      </c>
      <c r="C82" s="155" t="n">
        <v>3</v>
      </c>
      <c r="D82" s="184" t="n">
        <f aca="false">IFERROR(C82/4,0)</f>
        <v>0.75</v>
      </c>
      <c r="E82" s="177"/>
      <c r="F82" s="177"/>
    </row>
    <row r="83" customFormat="false" ht="44.25" hidden="false" customHeight="true" outlineLevel="0" collapsed="false">
      <c r="B83" s="15" t="s">
        <v>8020</v>
      </c>
      <c r="C83" s="155" t="n">
        <v>2</v>
      </c>
      <c r="D83" s="184" t="n">
        <f aca="false">IFERROR(C83/4,0)</f>
        <v>0.5</v>
      </c>
      <c r="E83" s="177"/>
      <c r="F83" s="177"/>
    </row>
    <row r="84" customFormat="false" ht="30.75" hidden="false" customHeight="true" outlineLevel="0" collapsed="false">
      <c r="B84" s="15" t="s">
        <v>8021</v>
      </c>
      <c r="C84" s="155" t="n">
        <v>2</v>
      </c>
      <c r="D84" s="184" t="n">
        <f aca="false">IFERROR(C84/4,0)</f>
        <v>0.5</v>
      </c>
      <c r="E84" s="177"/>
      <c r="F84" s="177"/>
    </row>
    <row r="85" customFormat="false" ht="30.75" hidden="false" customHeight="true" outlineLevel="0" collapsed="false">
      <c r="B85" s="15" t="s">
        <v>8022</v>
      </c>
      <c r="C85" s="155" t="n">
        <v>1</v>
      </c>
      <c r="D85" s="184" t="n">
        <f aca="false">IFERROR(C85/4,0)</f>
        <v>0.25</v>
      </c>
      <c r="E85" s="177"/>
      <c r="F85" s="177"/>
    </row>
    <row r="86" customFormat="false" ht="18.75" hidden="false" customHeight="true" outlineLevel="0" collapsed="false">
      <c r="B86" s="140" t="s">
        <v>8023</v>
      </c>
      <c r="C86" s="32"/>
      <c r="D86" s="32"/>
      <c r="E86" s="183"/>
      <c r="F86" s="183"/>
    </row>
    <row r="87" customFormat="false" ht="44.25" hidden="false" customHeight="true" outlineLevel="0" collapsed="false">
      <c r="B87" s="15" t="s">
        <v>8024</v>
      </c>
      <c r="C87" s="155" t="n">
        <v>2</v>
      </c>
      <c r="D87" s="184" t="n">
        <f aca="false">IFERROR(C87/4,0)</f>
        <v>0.5</v>
      </c>
      <c r="E87" s="177"/>
      <c r="F87" s="177"/>
    </row>
    <row r="88" customFormat="false" ht="44.25" hidden="false" customHeight="true" outlineLevel="0" collapsed="false">
      <c r="B88" s="15" t="s">
        <v>8025</v>
      </c>
      <c r="C88" s="155" t="n">
        <v>2</v>
      </c>
      <c r="D88" s="184" t="n">
        <f aca="false">IFERROR(C88/4,0)</f>
        <v>0.5</v>
      </c>
      <c r="E88" s="177"/>
      <c r="F88" s="177"/>
    </row>
    <row r="89" customFormat="false" ht="30.75" hidden="false" customHeight="true" outlineLevel="0" collapsed="false">
      <c r="B89" s="15" t="s">
        <v>8026</v>
      </c>
      <c r="C89" s="155" t="n">
        <v>1</v>
      </c>
      <c r="D89" s="184" t="n">
        <f aca="false">IFERROR(C89/4,0)</f>
        <v>0.25</v>
      </c>
      <c r="E89" s="177"/>
      <c r="F89" s="177"/>
    </row>
    <row r="90" customFormat="false" ht="30.75" hidden="false" customHeight="true" outlineLevel="0" collapsed="false">
      <c r="B90" s="15" t="s">
        <v>8027</v>
      </c>
      <c r="C90" s="155" t="n">
        <v>2</v>
      </c>
      <c r="D90" s="184" t="n">
        <f aca="false">IFERROR(C90/4,0)</f>
        <v>0.5</v>
      </c>
      <c r="E90" s="177"/>
      <c r="F90" s="177"/>
    </row>
    <row r="91" customFormat="false" ht="18.75" hidden="false" customHeight="true" outlineLevel="0" collapsed="false">
      <c r="B91" s="140" t="s">
        <v>8028</v>
      </c>
      <c r="C91" s="32"/>
      <c r="D91" s="32"/>
      <c r="E91" s="183"/>
      <c r="F91" s="183"/>
    </row>
    <row r="92" customFormat="false" ht="30.75" hidden="false" customHeight="true" outlineLevel="0" collapsed="false">
      <c r="B92" s="15" t="s">
        <v>8029</v>
      </c>
      <c r="C92" s="155" t="n">
        <v>2</v>
      </c>
      <c r="D92" s="184" t="n">
        <f aca="false">IFERROR(C92/4,0)</f>
        <v>0.5</v>
      </c>
      <c r="E92" s="177"/>
      <c r="F92" s="177"/>
    </row>
    <row r="93" customFormat="false" ht="30.75" hidden="false" customHeight="true" outlineLevel="0" collapsed="false">
      <c r="B93" s="15" t="s">
        <v>8030</v>
      </c>
      <c r="C93" s="155" t="n">
        <v>1</v>
      </c>
      <c r="D93" s="184" t="n">
        <f aca="false">IFERROR(C93/4,0)</f>
        <v>0.25</v>
      </c>
      <c r="E93" s="177"/>
      <c r="F93" s="177"/>
    </row>
    <row r="94" customFormat="false" ht="30.75" hidden="false" customHeight="true" outlineLevel="0" collapsed="false">
      <c r="B94" s="15" t="s">
        <v>8031</v>
      </c>
      <c r="C94" s="155" t="n">
        <v>1</v>
      </c>
      <c r="D94" s="184" t="n">
        <f aca="false">IFERROR(C94/4,0)</f>
        <v>0.25</v>
      </c>
      <c r="E94" s="177"/>
      <c r="F94" s="177"/>
    </row>
    <row r="95" customFormat="false" ht="30.75" hidden="false" customHeight="true" outlineLevel="0" collapsed="false">
      <c r="B95" s="15" t="s">
        <v>8032</v>
      </c>
      <c r="C95" s="155" t="n">
        <v>1</v>
      </c>
      <c r="D95" s="184" t="n">
        <f aca="false">IFERROR(C95/4,0)</f>
        <v>0.25</v>
      </c>
      <c r="E95" s="177"/>
      <c r="F95" s="177"/>
    </row>
    <row r="97" customFormat="false" ht="15" hidden="false" customHeight="true" outlineLevel="0" collapsed="false">
      <c r="B97" s="105" t="s">
        <v>8033</v>
      </c>
    </row>
    <row r="98" customFormat="false" ht="16.5" hidden="false" customHeight="true" outlineLevel="0" collapsed="false">
      <c r="B98" s="152" t="s">
        <v>5923</v>
      </c>
      <c r="C98" s="152" t="s">
        <v>7997</v>
      </c>
      <c r="D98" s="152" t="s">
        <v>8034</v>
      </c>
      <c r="E98" s="152" t="s">
        <v>8006</v>
      </c>
      <c r="F98" s="152" t="s">
        <v>6916</v>
      </c>
    </row>
    <row r="99" customFormat="false" ht="16.5" hidden="false" customHeight="true" outlineLevel="0" collapsed="false">
      <c r="B99" s="15" t="s">
        <v>8008</v>
      </c>
      <c r="C99" s="161" t="n">
        <f aca="false">SUM(C72:C75)</f>
        <v>8</v>
      </c>
      <c r="D99" s="15" t="s">
        <v>8035</v>
      </c>
      <c r="E99" s="184" t="n">
        <f aca="false">IFERROR(C99/16,0)</f>
        <v>0.5</v>
      </c>
      <c r="F99" s="167" t="str">
        <f aca="false">IF(E99&gt;=0.75,"Sustaining",IF(E99&gt;=0.5,"Established","Weak — start here"))</f>
        <v>Established</v>
      </c>
    </row>
    <row r="100" customFormat="false" ht="16.5" hidden="false" customHeight="true" outlineLevel="0" collapsed="false">
      <c r="B100" s="15" t="s">
        <v>8013</v>
      </c>
      <c r="C100" s="161" t="n">
        <f aca="false">SUM(C77:C80)</f>
        <v>8</v>
      </c>
      <c r="D100" s="15" t="s">
        <v>8035</v>
      </c>
      <c r="E100" s="184" t="n">
        <f aca="false">IFERROR(C100/16,0)</f>
        <v>0.5</v>
      </c>
      <c r="F100" s="167" t="str">
        <f aca="false">IF(E100&gt;=0.75,"Sustaining",IF(E100&gt;=0.5,"Established","Weak — start here"))</f>
        <v>Established</v>
      </c>
    </row>
    <row r="101" customFormat="false" ht="16.5" hidden="false" customHeight="true" outlineLevel="0" collapsed="false">
      <c r="B101" s="15" t="s">
        <v>8018</v>
      </c>
      <c r="C101" s="161" t="n">
        <f aca="false">SUM(C82:C85)</f>
        <v>8</v>
      </c>
      <c r="D101" s="15" t="s">
        <v>8035</v>
      </c>
      <c r="E101" s="184" t="n">
        <f aca="false">IFERROR(C101/16,0)</f>
        <v>0.5</v>
      </c>
      <c r="F101" s="167" t="str">
        <f aca="false">IF(E101&gt;=0.75,"Sustaining",IF(E101&gt;=0.5,"Established","Weak — start here"))</f>
        <v>Established</v>
      </c>
    </row>
    <row r="102" customFormat="false" ht="16.5" hidden="false" customHeight="true" outlineLevel="0" collapsed="false">
      <c r="B102" s="15" t="s">
        <v>8023</v>
      </c>
      <c r="C102" s="161" t="n">
        <f aca="false">SUM(C87:C90)</f>
        <v>7</v>
      </c>
      <c r="D102" s="15" t="s">
        <v>8035</v>
      </c>
      <c r="E102" s="184" t="n">
        <f aca="false">IFERROR(C102/16,0)</f>
        <v>0.4375</v>
      </c>
      <c r="F102" s="167" t="str">
        <f aca="false">IF(E102&gt;=0.75,"Sustaining",IF(E102&gt;=0.5,"Established","Weak — start here"))</f>
        <v>Weak — start here</v>
      </c>
    </row>
    <row r="103" customFormat="false" ht="16.5" hidden="false" customHeight="true" outlineLevel="0" collapsed="false">
      <c r="B103" s="15" t="s">
        <v>8028</v>
      </c>
      <c r="C103" s="161" t="n">
        <f aca="false">SUM(C92:C95)</f>
        <v>5</v>
      </c>
      <c r="D103" s="15" t="s">
        <v>8035</v>
      </c>
      <c r="E103" s="184" t="n">
        <f aca="false">IFERROR(C103/16,0)</f>
        <v>0.3125</v>
      </c>
      <c r="F103" s="167" t="str">
        <f aca="false">IF(E103&gt;=0.75,"Sustaining",IF(E103&gt;=0.5,"Established","Weak — start here"))</f>
        <v>Weak — start here</v>
      </c>
    </row>
    <row r="104" customFormat="false" ht="16.5" hidden="false" customHeight="true" outlineLevel="0" collapsed="false">
      <c r="B104" s="162" t="s">
        <v>8036</v>
      </c>
      <c r="C104" s="185" t="n">
        <f aca="false">SUM(C99:C103)</f>
        <v>36</v>
      </c>
      <c r="D104" s="15" t="s">
        <v>5440</v>
      </c>
      <c r="E104" s="186" t="n">
        <f aca="false">IFERROR(C104/80,0)</f>
        <v>0.45</v>
      </c>
      <c r="F104" s="187" t="str">
        <f aca="false">IF(E104&gt;=0.8,"Level 4 — self-sustaining",IF(E104&gt;=0.6,"Level 3 — standardised",IF(E104&gt;=0.4,"Level 2 — organised","Level 1 — starting")))</f>
        <v>Level 2 — organised</v>
      </c>
    </row>
    <row r="106" customFormat="false" ht="17.25" hidden="false" customHeight="true" outlineLevel="0" collapsed="false">
      <c r="B106" s="107" t="s">
        <v>8037</v>
      </c>
      <c r="C106" s="107"/>
      <c r="D106" s="107"/>
      <c r="E106" s="107"/>
      <c r="F106" s="107"/>
      <c r="G106" s="107"/>
    </row>
    <row r="107" customFormat="false" ht="30.75" hidden="false" customHeight="true" outlineLevel="0" collapsed="false">
      <c r="B107" s="152" t="s">
        <v>8038</v>
      </c>
      <c r="C107" s="152" t="s">
        <v>51</v>
      </c>
      <c r="D107" s="152" t="s">
        <v>8039</v>
      </c>
      <c r="E107" s="152" t="s">
        <v>8006</v>
      </c>
      <c r="F107" s="152" t="s">
        <v>8040</v>
      </c>
      <c r="G107" s="152" t="s">
        <v>8041</v>
      </c>
    </row>
    <row r="108" customFormat="false" ht="16.5" hidden="false" customHeight="true" outlineLevel="0" collapsed="false">
      <c r="B108" s="15" t="s">
        <v>8042</v>
      </c>
      <c r="C108" s="177" t="s">
        <v>8043</v>
      </c>
      <c r="D108" s="155" t="n">
        <v>31</v>
      </c>
      <c r="E108" s="184" t="n">
        <f aca="false">IFERROR(D108/80,0)</f>
        <v>0.3875</v>
      </c>
      <c r="F108" s="15" t="s">
        <v>6909</v>
      </c>
      <c r="G108" s="155" t="n">
        <v>0</v>
      </c>
    </row>
    <row r="109" customFormat="false" ht="16.5" hidden="false" customHeight="true" outlineLevel="0" collapsed="false">
      <c r="B109" s="15" t="s">
        <v>8044</v>
      </c>
      <c r="C109" s="177" t="s">
        <v>8045</v>
      </c>
      <c r="D109" s="155" t="n">
        <v>38</v>
      </c>
      <c r="E109" s="184" t="n">
        <f aca="false">IFERROR(D109/80,0)</f>
        <v>0.475</v>
      </c>
      <c r="F109" s="188" t="n">
        <f aca="false">D109-D108</f>
        <v>7</v>
      </c>
      <c r="G109" s="155" t="n">
        <v>6</v>
      </c>
    </row>
    <row r="110" customFormat="false" ht="16.5" hidden="false" customHeight="true" outlineLevel="0" collapsed="false">
      <c r="B110" s="15" t="s">
        <v>8046</v>
      </c>
      <c r="C110" s="177" t="s">
        <v>8047</v>
      </c>
      <c r="D110" s="155" t="n">
        <v>41</v>
      </c>
      <c r="E110" s="184" t="n">
        <f aca="false">IFERROR(D110/80,0)</f>
        <v>0.5125</v>
      </c>
      <c r="F110" s="188" t="n">
        <f aca="false">D110-D109</f>
        <v>3</v>
      </c>
      <c r="G110" s="155" t="n">
        <v>4</v>
      </c>
    </row>
    <row r="111" customFormat="false" ht="16.5" hidden="false" customHeight="true" outlineLevel="0" collapsed="false">
      <c r="B111" s="15" t="s">
        <v>8048</v>
      </c>
      <c r="C111" s="177" t="s">
        <v>61</v>
      </c>
      <c r="D111" s="161" t="n">
        <f aca="false">C104</f>
        <v>36</v>
      </c>
      <c r="E111" s="184" t="n">
        <f aca="false">IFERROR(D111/80,0)</f>
        <v>0.45</v>
      </c>
      <c r="F111" s="188" t="n">
        <f aca="false">D111-D110</f>
        <v>-5</v>
      </c>
      <c r="G111" s="155" t="n">
        <v>5</v>
      </c>
    </row>
    <row r="113" customFormat="false" ht="15.75" hidden="false" customHeight="true" outlineLevel="0" collapsed="false">
      <c r="B113" s="103" t="s">
        <v>1493</v>
      </c>
      <c r="C113" s="8"/>
      <c r="D113" s="8"/>
      <c r="E113" s="8"/>
      <c r="F113" s="8"/>
      <c r="G113" s="8"/>
      <c r="H113" s="8"/>
      <c r="I113" s="8"/>
      <c r="J113" s="8"/>
      <c r="K113" s="8"/>
    </row>
    <row r="114" customFormat="false" ht="49.5" hidden="false" customHeight="true" outlineLevel="0" collapsed="false">
      <c r="B114" s="105" t="s">
        <v>1494</v>
      </c>
      <c r="C114" s="168" t="str">
        <f aca="false">"5S score "&amp;TEXT(C104,"0")&amp;"/80 ("&amp;TEXT(E104,"0%")&amp;"), "&amp;F104&amp;". "&amp;"The weakest S is "&amp;INDEX(B99:B103,MATCH(MIN(C99:C103),C99:C103,0))&amp;" at "&amp;TEXT(MIN(C99:C103),"0")&amp;"/16. "&amp;IF(C103&lt;C99,"Sustain is scoring below Sort, which is the classic pattern of a 5S programme that is repeatedly re-launched rather than sustained: fix the audit cadence and the standard before cleaning again.","Work the weakest S next — the five build on each other and skipping ahead does not hold.")</f>
        <v>5S score 36/80 (45%), Level 2 — organised. The weakest S is 5S  SUSTAIN (Shitsuke) at 5/16. Sustain is scoring below Sort, which is the classic pattern of a 5S programme that is repeatedly re-launched rather than sustained: fix the audit cadence and the standard before cleaning again.</v>
      </c>
      <c r="D114" s="168"/>
      <c r="E114" s="168"/>
      <c r="F114" s="168"/>
      <c r="G114" s="168"/>
    </row>
    <row r="116" customFormat="false" ht="17.25" hidden="false" customHeight="true" outlineLevel="0" collapsed="false">
      <c r="B116" s="152" t="s">
        <v>1495</v>
      </c>
      <c r="C116" s="152" t="s">
        <v>1496</v>
      </c>
      <c r="D116" s="152" t="s">
        <v>1497</v>
      </c>
      <c r="E116" s="152"/>
    </row>
    <row r="117" customFormat="false" ht="86.25" hidden="false" customHeight="true" outlineLevel="0" collapsed="false">
      <c r="B117" s="15" t="s">
        <v>8039</v>
      </c>
      <c r="C117" s="15" t="s">
        <v>8049</v>
      </c>
      <c r="D117" s="15" t="s">
        <v>8050</v>
      </c>
      <c r="E117" s="15"/>
    </row>
    <row r="118" customFormat="false" ht="44.25" hidden="false" customHeight="true" outlineLevel="0" collapsed="false">
      <c r="B118" s="15" t="s">
        <v>8051</v>
      </c>
      <c r="C118" s="15" t="s">
        <v>8052</v>
      </c>
      <c r="D118" s="15" t="s">
        <v>8053</v>
      </c>
      <c r="E118" s="15"/>
    </row>
    <row r="119" customFormat="false" ht="31.5" hidden="false" customHeight="true" outlineLevel="0" collapsed="false">
      <c r="B119" s="15" t="s">
        <v>8054</v>
      </c>
      <c r="C119" s="15" t="s">
        <v>8055</v>
      </c>
      <c r="D119" s="15" t="s">
        <v>8056</v>
      </c>
      <c r="E119" s="15"/>
    </row>
    <row r="120" customFormat="false" ht="44.25" hidden="false" customHeight="true" outlineLevel="0" collapsed="false">
      <c r="B120" s="15" t="s">
        <v>8057</v>
      </c>
      <c r="C120" s="15" t="s">
        <v>8058</v>
      </c>
      <c r="D120" s="15" t="s">
        <v>8059</v>
      </c>
      <c r="E120" s="15"/>
    </row>
    <row r="122" customFormat="false" ht="15" hidden="false" customHeight="true" outlineLevel="0" collapsed="false">
      <c r="B122" s="105" t="s">
        <v>1507</v>
      </c>
    </row>
    <row r="123" customFormat="false" ht="17.25" hidden="false" customHeight="true" outlineLevel="0" collapsed="false">
      <c r="B123" s="106" t="s">
        <v>8060</v>
      </c>
      <c r="C123" s="106"/>
      <c r="D123" s="106"/>
      <c r="E123" s="106"/>
      <c r="F123" s="106"/>
      <c r="G123" s="106"/>
    </row>
    <row r="124" customFormat="false" ht="17.25" hidden="false" customHeight="true" outlineLevel="0" collapsed="false">
      <c r="B124" s="106" t="s">
        <v>8061</v>
      </c>
      <c r="C124" s="106"/>
      <c r="D124" s="106"/>
      <c r="E124" s="106"/>
      <c r="F124" s="106"/>
      <c r="G124" s="106"/>
    </row>
    <row r="125" customFormat="false" ht="17.25" hidden="false" customHeight="true" outlineLevel="0" collapsed="false">
      <c r="B125" s="106" t="s">
        <v>8062</v>
      </c>
      <c r="C125" s="106"/>
      <c r="D125" s="106"/>
      <c r="E125" s="106"/>
      <c r="F125" s="106"/>
      <c r="G125" s="106"/>
    </row>
    <row r="126" customFormat="false" ht="17.25" hidden="false" customHeight="true" outlineLevel="0" collapsed="false">
      <c r="B126" s="106" t="s">
        <v>8063</v>
      </c>
      <c r="C126" s="106"/>
      <c r="D126" s="106"/>
      <c r="E126" s="106"/>
      <c r="F126" s="106"/>
      <c r="G126" s="106"/>
    </row>
    <row r="127" customFormat="false" ht="17.25" hidden="false" customHeight="true" outlineLevel="0" collapsed="false">
      <c r="B127" s="106" t="s">
        <v>8064</v>
      </c>
      <c r="C127" s="106"/>
      <c r="D127" s="106"/>
      <c r="E127" s="106"/>
      <c r="F127" s="106"/>
      <c r="G127" s="106"/>
    </row>
    <row r="129" customFormat="false" ht="15.75" hidden="false" customHeight="true" outlineLevel="0" collapsed="false">
      <c r="B129" s="103" t="s">
        <v>1513</v>
      </c>
      <c r="C129" s="8"/>
      <c r="D129" s="8"/>
      <c r="E129" s="8"/>
      <c r="F129" s="8"/>
      <c r="G129" s="8"/>
      <c r="H129" s="8"/>
      <c r="I129" s="8"/>
      <c r="J129" s="8"/>
      <c r="K129" s="8"/>
    </row>
    <row r="130" customFormat="false" ht="17.25" hidden="false" customHeight="true" outlineLevel="0" collapsed="false">
      <c r="B130" s="106" t="s">
        <v>6712</v>
      </c>
      <c r="C130" s="106"/>
      <c r="D130" s="106"/>
      <c r="E130" s="106"/>
      <c r="F130" s="106"/>
      <c r="N130" s="169" t="s">
        <v>1515</v>
      </c>
    </row>
    <row r="131" customFormat="false" ht="44.25" hidden="false" customHeight="true" outlineLevel="0" collapsed="false">
      <c r="B131" s="106" t="s">
        <v>8065</v>
      </c>
      <c r="C131" s="106"/>
      <c r="D131" s="106"/>
      <c r="E131" s="106"/>
      <c r="F131" s="106"/>
      <c r="N131" s="120" t="s">
        <v>8066</v>
      </c>
    </row>
    <row r="132" customFormat="false" ht="44.25" hidden="false" customHeight="true" outlineLevel="0" collapsed="false">
      <c r="B132" s="106" t="s">
        <v>8067</v>
      </c>
      <c r="C132" s="106"/>
      <c r="D132" s="106"/>
      <c r="E132" s="106"/>
      <c r="F132" s="106"/>
      <c r="N132" s="120" t="s">
        <v>8068</v>
      </c>
    </row>
    <row r="133" customFormat="false" ht="44.25" hidden="false" customHeight="true" outlineLevel="0" collapsed="false">
      <c r="B133" s="106" t="s">
        <v>8069</v>
      </c>
      <c r="C133" s="106"/>
      <c r="D133" s="106"/>
      <c r="E133" s="106"/>
      <c r="F133" s="106"/>
      <c r="N133" s="120" t="s">
        <v>8070</v>
      </c>
    </row>
    <row r="135" customFormat="false" ht="15.75" hidden="false" customHeight="true" outlineLevel="0" collapsed="false">
      <c r="B135" s="103" t="s">
        <v>1522</v>
      </c>
      <c r="C135" s="8"/>
      <c r="D135" s="8"/>
      <c r="E135" s="8"/>
      <c r="F135" s="8"/>
      <c r="G135" s="8"/>
      <c r="H135" s="8"/>
      <c r="I135" s="8"/>
      <c r="J135" s="8"/>
      <c r="K135" s="8"/>
    </row>
    <row r="136" customFormat="false" ht="30.75" hidden="false" customHeight="true" outlineLevel="0" collapsed="false">
      <c r="B136" s="152" t="s">
        <v>1523</v>
      </c>
      <c r="C136" s="152" t="s">
        <v>1524</v>
      </c>
      <c r="D136" s="152" t="s">
        <v>6719</v>
      </c>
    </row>
    <row r="137" customFormat="false" ht="30.75" hidden="false" customHeight="true" outlineLevel="0" collapsed="false">
      <c r="B137" s="170" t="s">
        <v>1111</v>
      </c>
      <c r="C137" s="170" t="s">
        <v>1223</v>
      </c>
      <c r="D137" s="170" t="s">
        <v>1101</v>
      </c>
    </row>
  </sheetData>
  <mergeCells count="77">
    <mergeCell ref="B2:J2"/>
    <mergeCell ref="D3:G3"/>
    <mergeCell ref="C6:F6"/>
    <mergeCell ref="C7:F7"/>
    <mergeCell ref="C8:F8"/>
    <mergeCell ref="B11:G13"/>
    <mergeCell ref="B14:G18"/>
    <mergeCell ref="B19:G20"/>
    <mergeCell ref="B21:G22"/>
    <mergeCell ref="B25:D25"/>
    <mergeCell ref="E25:G25"/>
    <mergeCell ref="B26:D26"/>
    <mergeCell ref="E26:G26"/>
    <mergeCell ref="B27:D27"/>
    <mergeCell ref="E27:G27"/>
    <mergeCell ref="B28:D28"/>
    <mergeCell ref="E28:G28"/>
    <mergeCell ref="B29:G29"/>
    <mergeCell ref="E31:F31"/>
    <mergeCell ref="E32:F32"/>
    <mergeCell ref="E33:F33"/>
    <mergeCell ref="E34:F34"/>
    <mergeCell ref="E35:F35"/>
    <mergeCell ref="B38:G40"/>
    <mergeCell ref="B43:G45"/>
    <mergeCell ref="B48:G48"/>
    <mergeCell ref="B58:G59"/>
    <mergeCell ref="C60:D60"/>
    <mergeCell ref="B62:G62"/>
    <mergeCell ref="C63:F63"/>
    <mergeCell ref="C64:F64"/>
    <mergeCell ref="C65:F65"/>
    <mergeCell ref="C66:F66"/>
    <mergeCell ref="C67:F67"/>
    <mergeCell ref="C68:F68"/>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B106:G106"/>
    <mergeCell ref="C114:G114"/>
    <mergeCell ref="D116:E116"/>
    <mergeCell ref="D117:E117"/>
    <mergeCell ref="D118:E118"/>
    <mergeCell ref="D119:E119"/>
    <mergeCell ref="D120:E120"/>
    <mergeCell ref="B123:G123"/>
    <mergeCell ref="B124:G124"/>
    <mergeCell ref="B125:G125"/>
    <mergeCell ref="B126:G126"/>
    <mergeCell ref="B127:G127"/>
    <mergeCell ref="B130:F130"/>
    <mergeCell ref="B131:F131"/>
    <mergeCell ref="B132:F132"/>
    <mergeCell ref="B133:F133"/>
  </mergeCells>
  <hyperlinks>
    <hyperlink ref="B3" location="'N-03 Index DMAIC'!A1" display="← Back to Index"/>
    <hyperlink ref="E32" location="'L-22 Gemba Walk'!A1" display="L-22  Gemba Walk"/>
    <hyperlink ref="E33" location="'H-05 Check Sheets'!A1" display="H-05  Check Sheets"/>
    <hyperlink ref="E34" location="'G-04 RACI Matrix'!A1" display="G-04  RACI Matrix"/>
    <hyperlink ref="E35" location="'L-23 PDCA'!A1" display="L-23  PDCA / PDSA Cycle"/>
    <hyperlink ref="B137" location="'L-05 Spaghetti Diagram'!A1" display="L-05  Spaghetti Diagram"/>
    <hyperlink ref="C137" location="'L-13 Visual Management'!A1" display="L-13  Visual Management"/>
    <hyperlink ref="D137" location="'L-16 TPM'!A1" display="L-16  TPM and Autonomous Maintenan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N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4"/>
    <col collapsed="false" customWidth="true" hidden="false" outlineLevel="0" max="4" min="4" style="1" width="12"/>
    <col collapsed="false" customWidth="true" hidden="false" outlineLevel="0" max="5" min="5" style="1" width="16"/>
    <col collapsed="false" customWidth="true" hidden="false" outlineLevel="0" max="7" min="6" style="1" width="15"/>
    <col collapsed="false" customWidth="true" hidden="false" outlineLevel="0" max="8" min="8" style="1" width="12"/>
    <col collapsed="false" customWidth="true" hidden="false" outlineLevel="0" max="9" min="9" style="1" width="40"/>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8071</v>
      </c>
      <c r="C2" s="148"/>
      <c r="D2" s="148"/>
      <c r="E2" s="148"/>
      <c r="F2" s="148"/>
      <c r="G2" s="148"/>
      <c r="H2" s="148"/>
      <c r="I2" s="148"/>
      <c r="J2" s="148"/>
      <c r="K2" s="189" t="s">
        <v>5631</v>
      </c>
    </row>
    <row r="3" customFormat="false" ht="42" hidden="false" customHeight="true" outlineLevel="0" collapsed="false">
      <c r="B3" s="150" t="s">
        <v>3</v>
      </c>
      <c r="D3" s="151" t="s">
        <v>8072</v>
      </c>
      <c r="E3" s="151"/>
      <c r="F3" s="151"/>
      <c r="G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8073</v>
      </c>
      <c r="D6" s="106"/>
    </row>
    <row r="7" customFormat="false" ht="31.5" hidden="false" customHeight="true" outlineLevel="0" collapsed="false">
      <c r="B7" s="105" t="s">
        <v>1394</v>
      </c>
      <c r="C7" s="106" t="s">
        <v>8074</v>
      </c>
      <c r="D7" s="106"/>
    </row>
    <row r="8" customFormat="false" ht="31.5" hidden="false" customHeight="true" outlineLevel="0" collapsed="false">
      <c r="B8" s="105" t="s">
        <v>1396</v>
      </c>
      <c r="C8" s="106" t="s">
        <v>8075</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8076</v>
      </c>
      <c r="C11" s="106"/>
      <c r="D11" s="106"/>
      <c r="E11" s="106"/>
      <c r="F11" s="106"/>
      <c r="G11" s="106"/>
    </row>
    <row r="12" customFormat="false" ht="10.5" hidden="false" customHeight="true" outlineLevel="0" collapsed="false">
      <c r="B12" s="106"/>
      <c r="C12" s="106"/>
      <c r="D12" s="106"/>
      <c r="E12" s="106"/>
      <c r="F12" s="106"/>
      <c r="G12" s="106"/>
    </row>
    <row r="13" customFormat="false" ht="10.5" hidden="false" customHeight="true" outlineLevel="0" collapsed="false">
      <c r="B13" s="106"/>
      <c r="C13" s="106"/>
      <c r="D13" s="106"/>
      <c r="E13" s="106"/>
      <c r="F13" s="106"/>
      <c r="G13" s="106"/>
    </row>
    <row r="14" customFormat="false" ht="15.75" hidden="false" customHeight="true" outlineLevel="0" collapsed="false">
      <c r="B14" s="106" t="s">
        <v>8077</v>
      </c>
      <c r="C14" s="106"/>
      <c r="D14" s="106"/>
      <c r="E14" s="106"/>
      <c r="F14" s="106"/>
      <c r="G14" s="106"/>
    </row>
    <row r="15" customFormat="false" ht="15.75" hidden="false" customHeight="true" outlineLevel="0" collapsed="false">
      <c r="B15" s="106"/>
      <c r="C15" s="106"/>
      <c r="D15" s="106"/>
      <c r="E15" s="106"/>
      <c r="F15" s="106"/>
      <c r="G15" s="106"/>
    </row>
    <row r="16" customFormat="false" ht="17.25" hidden="false" customHeight="true" outlineLevel="0" collapsed="false">
      <c r="B16" s="106" t="s">
        <v>8078</v>
      </c>
      <c r="C16" s="106"/>
      <c r="D16" s="106"/>
      <c r="E16" s="106"/>
      <c r="F16" s="106"/>
      <c r="G16" s="106"/>
    </row>
    <row r="17" customFormat="false" ht="7.5" hidden="false" customHeight="true" outlineLevel="0" collapsed="false">
      <c r="B17" s="106" t="s">
        <v>8079</v>
      </c>
      <c r="C17" s="106"/>
      <c r="D17" s="106"/>
      <c r="E17" s="106"/>
      <c r="F17" s="106"/>
      <c r="G17" s="106"/>
    </row>
    <row r="18" customFormat="false" ht="7.5" hidden="false" customHeight="true" outlineLevel="0" collapsed="false">
      <c r="B18" s="106"/>
      <c r="C18" s="106"/>
      <c r="D18" s="106"/>
      <c r="E18" s="106"/>
      <c r="F18" s="106"/>
      <c r="G18" s="106"/>
    </row>
    <row r="19" customFormat="false" ht="7.5" hidden="false" customHeight="true" outlineLevel="0" collapsed="false">
      <c r="B19" s="106"/>
      <c r="C19" s="106"/>
      <c r="D19" s="106"/>
      <c r="E19" s="106"/>
      <c r="F19" s="106"/>
      <c r="G19" s="106"/>
    </row>
    <row r="20" customFormat="false" ht="7.5" hidden="false" customHeight="true" outlineLevel="0" collapsed="false">
      <c r="B20" s="106"/>
      <c r="C20" s="106"/>
      <c r="D20" s="106"/>
      <c r="E20" s="106"/>
      <c r="F20" s="106"/>
      <c r="G20" s="106"/>
    </row>
    <row r="21" customFormat="false" ht="10.5" hidden="false" customHeight="true" outlineLevel="0" collapsed="false">
      <c r="B21" s="106" t="s">
        <v>8080</v>
      </c>
      <c r="C21" s="106"/>
      <c r="D21" s="106"/>
      <c r="E21" s="106"/>
      <c r="F21" s="106"/>
      <c r="G21" s="106"/>
    </row>
    <row r="22" customFormat="false" ht="10.5" hidden="false" customHeight="true" outlineLevel="0" collapsed="false">
      <c r="B22" s="106"/>
      <c r="C22" s="106"/>
      <c r="D22" s="106"/>
      <c r="E22" s="106"/>
      <c r="F22" s="106"/>
      <c r="G22" s="106"/>
    </row>
    <row r="23" customFormat="false" ht="10.5" hidden="false" customHeight="true" outlineLevel="0" collapsed="false">
      <c r="B23" s="106"/>
      <c r="C23" s="106"/>
      <c r="D23" s="106"/>
      <c r="E23" s="106"/>
      <c r="F23" s="106"/>
      <c r="G23" s="106"/>
    </row>
    <row r="25" customFormat="false" ht="15.75" hidden="false" customHeight="true" outlineLevel="0" collapsed="false">
      <c r="B25" s="103" t="s">
        <v>1406</v>
      </c>
      <c r="C25" s="8"/>
      <c r="D25" s="8"/>
      <c r="E25" s="8"/>
      <c r="F25" s="8"/>
      <c r="G25" s="8"/>
      <c r="H25" s="8"/>
      <c r="I25" s="8"/>
      <c r="J25" s="8"/>
      <c r="K25" s="8"/>
    </row>
    <row r="26" customFormat="false" ht="17.25" hidden="false" customHeight="true" outlineLevel="0" collapsed="false">
      <c r="B26" s="107" t="s">
        <v>1407</v>
      </c>
      <c r="C26" s="107"/>
      <c r="D26" s="107"/>
      <c r="E26" s="107" t="s">
        <v>1408</v>
      </c>
      <c r="F26" s="107"/>
      <c r="G26" s="107"/>
    </row>
    <row r="27" customFormat="false" ht="31.5" hidden="false" customHeight="true" outlineLevel="0" collapsed="false">
      <c r="B27" s="106" t="s">
        <v>8081</v>
      </c>
      <c r="C27" s="106"/>
      <c r="D27" s="106"/>
      <c r="E27" s="106" t="s">
        <v>8082</v>
      </c>
      <c r="F27" s="106"/>
      <c r="G27" s="106"/>
    </row>
    <row r="28" customFormat="false" ht="17.25" hidden="false" customHeight="true" outlineLevel="0" collapsed="false">
      <c r="B28" s="106" t="s">
        <v>8083</v>
      </c>
      <c r="C28" s="106"/>
      <c r="D28" s="106"/>
      <c r="E28" s="106" t="s">
        <v>8084</v>
      </c>
      <c r="F28" s="106"/>
      <c r="G28" s="106"/>
    </row>
    <row r="29" customFormat="false" ht="31.5" hidden="false" customHeight="true" outlineLevel="0" collapsed="false">
      <c r="B29" s="106" t="s">
        <v>8085</v>
      </c>
      <c r="C29" s="106"/>
      <c r="D29" s="106"/>
      <c r="E29" s="106" t="s">
        <v>8086</v>
      </c>
      <c r="F29" s="106"/>
      <c r="G29" s="106"/>
    </row>
    <row r="30" customFormat="false" ht="17.25" hidden="false" customHeight="true" outlineLevel="0" collapsed="false">
      <c r="B30" s="106" t="s">
        <v>8087</v>
      </c>
      <c r="C30" s="106"/>
      <c r="D30" s="106"/>
      <c r="E30" s="106"/>
      <c r="F30" s="106"/>
      <c r="G30" s="106"/>
    </row>
    <row r="32" customFormat="false" ht="30.75" hidden="false" customHeight="true" outlineLevel="0" collapsed="false">
      <c r="B32" s="152" t="s">
        <v>6621</v>
      </c>
      <c r="C32" s="152" t="s">
        <v>1417</v>
      </c>
      <c r="D32" s="152" t="s">
        <v>1418</v>
      </c>
      <c r="E32" s="152" t="s">
        <v>1419</v>
      </c>
      <c r="F32" s="152"/>
      <c r="G32" s="152"/>
    </row>
    <row r="33" customFormat="false" ht="58.5" hidden="false" customHeight="true" outlineLevel="0" collapsed="false">
      <c r="B33" s="15" t="s">
        <v>8088</v>
      </c>
      <c r="C33" s="15" t="s">
        <v>8089</v>
      </c>
      <c r="D33" s="15" t="s">
        <v>8090</v>
      </c>
      <c r="E33" s="153" t="s">
        <v>1262</v>
      </c>
      <c r="F33" s="153"/>
      <c r="G33" s="153"/>
    </row>
    <row r="34" customFormat="false" ht="86.25" hidden="false" customHeight="true" outlineLevel="0" collapsed="false">
      <c r="B34" s="15" t="s">
        <v>8091</v>
      </c>
      <c r="C34" s="15" t="s">
        <v>8092</v>
      </c>
      <c r="D34" s="15" t="s">
        <v>8093</v>
      </c>
      <c r="E34" s="153" t="s">
        <v>8094</v>
      </c>
      <c r="F34" s="153"/>
      <c r="G34" s="153"/>
    </row>
    <row r="35" customFormat="false" ht="99.75" hidden="false" customHeight="true" outlineLevel="0" collapsed="false">
      <c r="B35" s="15" t="s">
        <v>8095</v>
      </c>
      <c r="C35" s="15" t="s">
        <v>8096</v>
      </c>
      <c r="D35" s="15" t="s">
        <v>8097</v>
      </c>
      <c r="E35" s="153" t="s">
        <v>1113</v>
      </c>
      <c r="F35" s="153"/>
      <c r="G35" s="153"/>
    </row>
    <row r="36" customFormat="false" ht="99.75" hidden="false" customHeight="true" outlineLevel="0" collapsed="false">
      <c r="B36" s="15" t="s">
        <v>8098</v>
      </c>
      <c r="C36" s="15" t="s">
        <v>8099</v>
      </c>
      <c r="D36" s="15" t="s">
        <v>8100</v>
      </c>
      <c r="E36" s="153" t="s">
        <v>6744</v>
      </c>
      <c r="F36" s="153"/>
      <c r="G36" s="153"/>
    </row>
    <row r="38" customFormat="false" ht="15.75" hidden="false" customHeight="true" outlineLevel="0" collapsed="false">
      <c r="B38" s="103" t="s">
        <v>1429</v>
      </c>
      <c r="C38" s="8"/>
      <c r="D38" s="8"/>
      <c r="E38" s="8"/>
      <c r="F38" s="8"/>
      <c r="G38" s="8"/>
      <c r="H38" s="8"/>
      <c r="I38" s="8"/>
      <c r="J38" s="8"/>
      <c r="K38" s="8"/>
    </row>
    <row r="39" customFormat="false" ht="10.5" hidden="false" customHeight="true" outlineLevel="0" collapsed="false">
      <c r="B39" s="106" t="s">
        <v>8101</v>
      </c>
      <c r="C39" s="106"/>
      <c r="D39" s="106"/>
      <c r="E39" s="106"/>
      <c r="F39" s="106"/>
      <c r="G39" s="106"/>
    </row>
    <row r="40" customFormat="false" ht="10.5" hidden="false" customHeight="true" outlineLevel="0" collapsed="false">
      <c r="B40" s="106"/>
      <c r="C40" s="106"/>
      <c r="D40" s="106"/>
      <c r="E40" s="106"/>
      <c r="F40" s="106"/>
      <c r="G40" s="106"/>
    </row>
    <row r="41" customFormat="false" ht="10.5" hidden="false" customHeight="true" outlineLevel="0" collapsed="false">
      <c r="B41" s="106"/>
      <c r="C41" s="106"/>
      <c r="D41" s="106"/>
      <c r="E41" s="106"/>
      <c r="F41" s="106"/>
      <c r="G41" s="106"/>
    </row>
    <row r="42" customFormat="false" ht="15" hidden="false" customHeight="true" outlineLevel="0" collapsed="false">
      <c r="B42" s="122"/>
    </row>
    <row r="43" customFormat="false" ht="17.25" hidden="false" customHeight="true" outlineLevel="0" collapsed="false">
      <c r="B43" s="106" t="s">
        <v>8102</v>
      </c>
      <c r="C43" s="106"/>
      <c r="D43" s="106"/>
      <c r="E43" s="106"/>
      <c r="F43" s="106"/>
      <c r="G43" s="106"/>
    </row>
    <row r="44" customFormat="false" ht="7.5" hidden="false" customHeight="true" outlineLevel="0" collapsed="false">
      <c r="B44" s="106" t="s">
        <v>8103</v>
      </c>
      <c r="C44" s="106"/>
      <c r="D44" s="106"/>
      <c r="E44" s="106"/>
      <c r="F44" s="106"/>
      <c r="G44" s="106"/>
    </row>
    <row r="45" customFormat="false" ht="7.5" hidden="false" customHeight="true" outlineLevel="0" collapsed="false">
      <c r="B45" s="106"/>
      <c r="C45" s="106"/>
      <c r="D45" s="106"/>
      <c r="E45" s="106"/>
      <c r="F45" s="106"/>
      <c r="G45" s="106"/>
    </row>
    <row r="46" customFormat="false" ht="7.5" hidden="false" customHeight="true" outlineLevel="0" collapsed="false">
      <c r="B46" s="106"/>
      <c r="C46" s="106"/>
      <c r="D46" s="106"/>
      <c r="E46" s="106"/>
      <c r="F46" s="106"/>
      <c r="G46" s="106"/>
    </row>
    <row r="47" customFormat="false" ht="7.5" hidden="false" customHeight="true" outlineLevel="0" collapsed="false">
      <c r="B47" s="106"/>
      <c r="C47" s="106"/>
      <c r="D47" s="106"/>
      <c r="E47" s="106"/>
      <c r="F47" s="106"/>
      <c r="G47" s="106"/>
    </row>
    <row r="48" customFormat="false" ht="15" hidden="false" customHeight="true" outlineLevel="0" collapsed="false">
      <c r="B48" s="122"/>
    </row>
    <row r="49" customFormat="false" ht="17.25" hidden="false" customHeight="true" outlineLevel="0" collapsed="false">
      <c r="B49" s="106" t="s">
        <v>8104</v>
      </c>
      <c r="C49" s="106"/>
      <c r="D49" s="106"/>
      <c r="E49" s="106"/>
      <c r="F49" s="106"/>
      <c r="G49" s="106"/>
    </row>
    <row r="51" customFormat="false" ht="15.75" hidden="false" customHeight="true" outlineLevel="0" collapsed="false">
      <c r="B51" s="103" t="s">
        <v>1437</v>
      </c>
      <c r="C51" s="8"/>
      <c r="D51" s="8"/>
      <c r="E51" s="8"/>
      <c r="F51" s="8"/>
      <c r="G51" s="8"/>
      <c r="H51" s="8"/>
      <c r="I51" s="8"/>
      <c r="J51" s="8"/>
      <c r="K51" s="8"/>
    </row>
    <row r="52" customFormat="false" ht="17.25" hidden="false" customHeight="true" outlineLevel="0" collapsed="false">
      <c r="B52" s="152" t="s">
        <v>1438</v>
      </c>
      <c r="C52" s="152" t="s">
        <v>1439</v>
      </c>
      <c r="D52" s="152" t="s">
        <v>1440</v>
      </c>
      <c r="E52" s="152"/>
      <c r="F52" s="152"/>
      <c r="G52" s="152"/>
    </row>
    <row r="53" customFormat="false" ht="17.25" hidden="false" customHeight="true" outlineLevel="0" collapsed="false">
      <c r="B53" s="15" t="s">
        <v>4079</v>
      </c>
      <c r="C53" s="15" t="s">
        <v>4080</v>
      </c>
      <c r="D53" s="15" t="s">
        <v>8105</v>
      </c>
      <c r="E53" s="15"/>
      <c r="F53" s="15"/>
      <c r="G53" s="15"/>
    </row>
    <row r="54" customFormat="false" ht="17.25" hidden="false" customHeight="true" outlineLevel="0" collapsed="false">
      <c r="B54" s="15" t="s">
        <v>1920</v>
      </c>
      <c r="C54" s="15" t="s">
        <v>8106</v>
      </c>
      <c r="D54" s="15" t="s">
        <v>8107</v>
      </c>
      <c r="E54" s="15"/>
      <c r="F54" s="15"/>
      <c r="G54" s="15"/>
    </row>
    <row r="55" customFormat="false" ht="30.75" hidden="false" customHeight="true" outlineLevel="0" collapsed="false">
      <c r="B55" s="15" t="s">
        <v>3248</v>
      </c>
      <c r="C55" s="15" t="s">
        <v>8108</v>
      </c>
      <c r="D55" s="15" t="s">
        <v>8109</v>
      </c>
      <c r="E55" s="15"/>
      <c r="F55" s="15"/>
      <c r="G55" s="15"/>
    </row>
    <row r="56" customFormat="false" ht="17.25" hidden="false" customHeight="true" outlineLevel="0" collapsed="false">
      <c r="B56" s="15" t="s">
        <v>1839</v>
      </c>
      <c r="C56" s="15" t="s">
        <v>6647</v>
      </c>
      <c r="D56" s="15" t="s">
        <v>8110</v>
      </c>
      <c r="E56" s="15"/>
      <c r="F56" s="15"/>
      <c r="G56" s="15"/>
    </row>
    <row r="58" customFormat="false" ht="15.75" hidden="false" customHeight="true" outlineLevel="0" collapsed="false">
      <c r="B58" s="103" t="s">
        <v>1454</v>
      </c>
      <c r="C58" s="8"/>
      <c r="D58" s="8"/>
      <c r="E58" s="8"/>
      <c r="F58" s="8"/>
      <c r="G58" s="8"/>
      <c r="H58" s="8"/>
      <c r="I58" s="8"/>
      <c r="J58" s="8"/>
      <c r="K58" s="8"/>
    </row>
    <row r="59" customFormat="false" ht="10.5" hidden="false" customHeight="true" outlineLevel="0" collapsed="false">
      <c r="B59" s="106" t="s">
        <v>8111</v>
      </c>
      <c r="C59" s="106"/>
      <c r="D59" s="106"/>
      <c r="E59" s="106"/>
      <c r="F59" s="106"/>
      <c r="G59" s="106"/>
    </row>
    <row r="60" customFormat="false" ht="10.5" hidden="false" customHeight="true" outlineLevel="0" collapsed="false">
      <c r="B60" s="106"/>
      <c r="C60" s="106"/>
      <c r="D60" s="106"/>
      <c r="E60" s="106"/>
      <c r="F60" s="106"/>
      <c r="G60" s="106"/>
    </row>
    <row r="61" customFormat="false" ht="10.5" hidden="false" customHeight="true" outlineLevel="0" collapsed="false">
      <c r="B61" s="106"/>
      <c r="C61" s="106"/>
      <c r="D61" s="106"/>
      <c r="E61" s="106"/>
      <c r="F61" s="106"/>
      <c r="G61" s="106"/>
    </row>
    <row r="62" customFormat="false" ht="15" hidden="false" customHeight="true" outlineLevel="0" collapsed="false">
      <c r="B62" s="112" t="s">
        <v>85</v>
      </c>
      <c r="C62" s="154" t="s">
        <v>86</v>
      </c>
    </row>
    <row r="64" customFormat="false" ht="17.25" hidden="false" customHeight="true" outlineLevel="0" collapsed="false">
      <c r="B64" s="107" t="s">
        <v>8112</v>
      </c>
      <c r="C64" s="107"/>
      <c r="D64" s="107"/>
      <c r="E64" s="107"/>
      <c r="F64" s="107"/>
      <c r="G64" s="107"/>
    </row>
    <row r="65" customFormat="false" ht="16.5" hidden="false" customHeight="true" outlineLevel="0" collapsed="false">
      <c r="B65" s="152" t="s">
        <v>8113</v>
      </c>
      <c r="C65" s="152" t="s">
        <v>8114</v>
      </c>
      <c r="D65" s="152" t="s">
        <v>8115</v>
      </c>
      <c r="E65" s="152" t="s">
        <v>8116</v>
      </c>
      <c r="F65" s="152" t="s">
        <v>8117</v>
      </c>
      <c r="G65" s="152" t="s">
        <v>8118</v>
      </c>
      <c r="H65" s="152" t="s">
        <v>8119</v>
      </c>
      <c r="I65" s="152" t="s">
        <v>7522</v>
      </c>
    </row>
    <row r="66" customFormat="false" ht="30.75" hidden="false" customHeight="true" outlineLevel="0" collapsed="false">
      <c r="B66" s="15" t="s">
        <v>8120</v>
      </c>
      <c r="C66" s="15" t="s">
        <v>8121</v>
      </c>
      <c r="D66" s="155" t="n">
        <v>1</v>
      </c>
      <c r="E66" s="177" t="s">
        <v>8122</v>
      </c>
      <c r="F66" s="177" t="s">
        <v>8123</v>
      </c>
      <c r="G66" s="155" t="n">
        <v>1</v>
      </c>
      <c r="H66" s="161" t="n">
        <f aca="false">D66+G66</f>
        <v>2</v>
      </c>
      <c r="I66" s="167" t="str">
        <f aca="false">IF(D66=0,"MISSING — create it",IF(G66=0,"Present but decorative — link it to a response","Working — it shows a gap and something happens"))</f>
        <v>Working — it shows a gap and something happens</v>
      </c>
    </row>
    <row r="67" customFormat="false" ht="30.75" hidden="false" customHeight="true" outlineLevel="0" collapsed="false">
      <c r="B67" s="15" t="s">
        <v>8124</v>
      </c>
      <c r="C67" s="15" t="s">
        <v>8125</v>
      </c>
      <c r="D67" s="155" t="n">
        <v>1</v>
      </c>
      <c r="E67" s="177" t="s">
        <v>8126</v>
      </c>
      <c r="F67" s="177" t="s">
        <v>1935</v>
      </c>
      <c r="G67" s="155" t="n">
        <v>1</v>
      </c>
      <c r="H67" s="161" t="n">
        <f aca="false">D67+G67</f>
        <v>2</v>
      </c>
      <c r="I67" s="167" t="str">
        <f aca="false">IF(D67=0,"MISSING — create it",IF(G67=0,"Present but decorative — link it to a response","Working — it shows a gap and something happens"))</f>
        <v>Working — it shows a gap and something happens</v>
      </c>
    </row>
    <row r="68" customFormat="false" ht="30.75" hidden="false" customHeight="true" outlineLevel="0" collapsed="false">
      <c r="B68" s="15" t="s">
        <v>8127</v>
      </c>
      <c r="C68" s="15" t="s">
        <v>8128</v>
      </c>
      <c r="D68" s="155" t="n">
        <v>1</v>
      </c>
      <c r="E68" s="177" t="s">
        <v>8129</v>
      </c>
      <c r="F68" s="177" t="s">
        <v>8130</v>
      </c>
      <c r="G68" s="155" t="n">
        <v>0</v>
      </c>
      <c r="H68" s="161" t="n">
        <f aca="false">D68+G68</f>
        <v>1</v>
      </c>
      <c r="I68" s="167" t="str">
        <f aca="false">IF(D68=0,"MISSING — create it",IF(G68=0,"Present but decorative — link it to a response","Working — it shows a gap and something happens"))</f>
        <v>Present but decorative — link it to a response</v>
      </c>
    </row>
    <row r="69" customFormat="false" ht="30.75" hidden="false" customHeight="true" outlineLevel="0" collapsed="false">
      <c r="B69" s="15" t="s">
        <v>8131</v>
      </c>
      <c r="C69" s="15" t="s">
        <v>8132</v>
      </c>
      <c r="D69" s="155" t="n">
        <v>1</v>
      </c>
      <c r="E69" s="177" t="s">
        <v>6453</v>
      </c>
      <c r="F69" s="177" t="s">
        <v>8133</v>
      </c>
      <c r="G69" s="155" t="n">
        <v>1</v>
      </c>
      <c r="H69" s="161" t="n">
        <f aca="false">D69+G69</f>
        <v>2</v>
      </c>
      <c r="I69" s="167" t="str">
        <f aca="false">IF(D69=0,"MISSING — create it",IF(G69=0,"Present but decorative — link it to a response","Working — it shows a gap and something happens"))</f>
        <v>Working — it shows a gap and something happens</v>
      </c>
    </row>
    <row r="70" customFormat="false" ht="16.5" hidden="false" customHeight="true" outlineLevel="0" collapsed="false">
      <c r="B70" s="15" t="s">
        <v>8134</v>
      </c>
      <c r="C70" s="15" t="s">
        <v>8135</v>
      </c>
      <c r="D70" s="155" t="n">
        <v>0</v>
      </c>
      <c r="E70" s="177" t="s">
        <v>6909</v>
      </c>
      <c r="F70" s="177" t="s">
        <v>6909</v>
      </c>
      <c r="G70" s="155" t="n">
        <v>0</v>
      </c>
      <c r="H70" s="161" t="n">
        <f aca="false">D70+G70</f>
        <v>0</v>
      </c>
      <c r="I70" s="167" t="str">
        <f aca="false">IF(D70=0,"MISSING — create it",IF(G70=0,"Present but decorative — link it to a response","Working — it shows a gap and something happens"))</f>
        <v>MISSING — create it</v>
      </c>
    </row>
    <row r="71" customFormat="false" ht="30.75" hidden="false" customHeight="true" outlineLevel="0" collapsed="false">
      <c r="B71" s="15" t="s">
        <v>8136</v>
      </c>
      <c r="C71" s="15" t="s">
        <v>8137</v>
      </c>
      <c r="D71" s="155" t="n">
        <v>1</v>
      </c>
      <c r="E71" s="177" t="s">
        <v>8138</v>
      </c>
      <c r="F71" s="177" t="s">
        <v>8139</v>
      </c>
      <c r="G71" s="155" t="n">
        <v>0</v>
      </c>
      <c r="H71" s="161" t="n">
        <f aca="false">D71+G71</f>
        <v>1</v>
      </c>
      <c r="I71" s="167" t="str">
        <f aca="false">IF(D71=0,"MISSING — create it",IF(G71=0,"Present but decorative — link it to a response","Working — it shows a gap and something happens"))</f>
        <v>Present but decorative — link it to a response</v>
      </c>
    </row>
    <row r="72" customFormat="false" ht="30.75" hidden="false" customHeight="true" outlineLevel="0" collapsed="false">
      <c r="B72" s="15" t="s">
        <v>8140</v>
      </c>
      <c r="C72" s="15" t="s">
        <v>8141</v>
      </c>
      <c r="D72" s="155" t="n">
        <v>0</v>
      </c>
      <c r="E72" s="177" t="s">
        <v>6909</v>
      </c>
      <c r="F72" s="177" t="s">
        <v>6909</v>
      </c>
      <c r="G72" s="155" t="n">
        <v>0</v>
      </c>
      <c r="H72" s="161" t="n">
        <f aca="false">D72+G72</f>
        <v>0</v>
      </c>
      <c r="I72" s="167" t="str">
        <f aca="false">IF(D72=0,"MISSING — create it",IF(G72=0,"Present but decorative — link it to a response","Working — it shows a gap and something happens"))</f>
        <v>MISSING — create it</v>
      </c>
    </row>
    <row r="73" customFormat="false" ht="30.75" hidden="false" customHeight="true" outlineLevel="0" collapsed="false">
      <c r="B73" s="15" t="s">
        <v>8142</v>
      </c>
      <c r="C73" s="15" t="s">
        <v>8143</v>
      </c>
      <c r="D73" s="155" t="n">
        <v>1</v>
      </c>
      <c r="E73" s="177" t="s">
        <v>8129</v>
      </c>
      <c r="F73" s="177" t="s">
        <v>8144</v>
      </c>
      <c r="G73" s="155" t="n">
        <v>1</v>
      </c>
      <c r="H73" s="161" t="n">
        <f aca="false">D73+G73</f>
        <v>2</v>
      </c>
      <c r="I73" s="167" t="str">
        <f aca="false">IF(D73=0,"MISSING — create it",IF(G73=0,"Present but decorative — link it to a response","Working — it shows a gap and something happens"))</f>
        <v>Working — it shows a gap and something happens</v>
      </c>
    </row>
    <row r="74" customFormat="false" ht="30.75" hidden="false" customHeight="true" outlineLevel="0" collapsed="false">
      <c r="B74" s="15" t="s">
        <v>8145</v>
      </c>
      <c r="C74" s="15" t="s">
        <v>8146</v>
      </c>
      <c r="D74" s="155" t="n">
        <v>1</v>
      </c>
      <c r="E74" s="177" t="s">
        <v>8129</v>
      </c>
      <c r="F74" s="177" t="s">
        <v>8147</v>
      </c>
      <c r="G74" s="155" t="n">
        <v>1</v>
      </c>
      <c r="H74" s="161" t="n">
        <f aca="false">D74+G74</f>
        <v>2</v>
      </c>
      <c r="I74" s="167" t="str">
        <f aca="false">IF(D74=0,"MISSING — create it",IF(G74=0,"Present but decorative — link it to a response","Working — it shows a gap and something happens"))</f>
        <v>Working — it shows a gap and something happens</v>
      </c>
    </row>
    <row r="75" customFormat="false" ht="30.75" hidden="false" customHeight="true" outlineLevel="0" collapsed="false">
      <c r="B75" s="15" t="s">
        <v>8148</v>
      </c>
      <c r="C75" s="15" t="s">
        <v>8149</v>
      </c>
      <c r="D75" s="155" t="n">
        <v>1</v>
      </c>
      <c r="E75" s="177" t="s">
        <v>8138</v>
      </c>
      <c r="F75" s="177" t="s">
        <v>8150</v>
      </c>
      <c r="G75" s="155" t="n">
        <v>0</v>
      </c>
      <c r="H75" s="161" t="n">
        <f aca="false">D75+G75</f>
        <v>1</v>
      </c>
      <c r="I75" s="167" t="str">
        <f aca="false">IF(D75=0,"MISSING — create it",IF(G75=0,"Present but decorative — link it to a response","Working — it shows a gap and something happens"))</f>
        <v>Present but decorative — link it to a response</v>
      </c>
    </row>
    <row r="76" customFormat="false" ht="30.75" hidden="false" customHeight="true" outlineLevel="0" collapsed="false">
      <c r="B76" s="15" t="s">
        <v>8151</v>
      </c>
      <c r="C76" s="15" t="s">
        <v>8152</v>
      </c>
      <c r="D76" s="155" t="n">
        <v>0</v>
      </c>
      <c r="E76" s="177" t="s">
        <v>6909</v>
      </c>
      <c r="F76" s="177" t="s">
        <v>6909</v>
      </c>
      <c r="G76" s="155" t="n">
        <v>0</v>
      </c>
      <c r="H76" s="161" t="n">
        <f aca="false">D76+G76</f>
        <v>0</v>
      </c>
      <c r="I76" s="167" t="str">
        <f aca="false">IF(D76=0,"MISSING — create it",IF(G76=0,"Present but decorative — link it to a response","Working — it shows a gap and something happens"))</f>
        <v>MISSING — create it</v>
      </c>
    </row>
    <row r="77" customFormat="false" ht="30.75" hidden="false" customHeight="true" outlineLevel="0" collapsed="false">
      <c r="B77" s="15" t="s">
        <v>8153</v>
      </c>
      <c r="C77" s="15" t="s">
        <v>8154</v>
      </c>
      <c r="D77" s="155" t="n">
        <v>1</v>
      </c>
      <c r="E77" s="177" t="s">
        <v>8129</v>
      </c>
      <c r="F77" s="177" t="s">
        <v>8155</v>
      </c>
      <c r="G77" s="155" t="n">
        <v>1</v>
      </c>
      <c r="H77" s="161" t="n">
        <f aca="false">D77+G77</f>
        <v>2</v>
      </c>
      <c r="I77" s="167" t="str">
        <f aca="false">IF(D77=0,"MISSING — create it",IF(G77=0,"Present but decorative — link it to a response","Working — it shows a gap and something happens"))</f>
        <v>Working — it shows a gap and something happens</v>
      </c>
    </row>
    <row r="79" customFormat="false" ht="15" hidden="false" customHeight="true" outlineLevel="0" collapsed="false">
      <c r="B79" s="105" t="s">
        <v>6689</v>
      </c>
    </row>
    <row r="80" customFormat="false" ht="17.25" hidden="false" customHeight="true" outlineLevel="0" collapsed="false">
      <c r="B80" s="152" t="s">
        <v>1929</v>
      </c>
      <c r="C80" s="152" t="s">
        <v>6654</v>
      </c>
      <c r="D80" s="152" t="s">
        <v>6575</v>
      </c>
      <c r="E80" s="152" t="s">
        <v>88</v>
      </c>
      <c r="F80" s="152"/>
      <c r="G80" s="152"/>
    </row>
    <row r="81" customFormat="false" ht="17.25" hidden="false" customHeight="true" outlineLevel="0" collapsed="false">
      <c r="B81" s="15" t="s">
        <v>8156</v>
      </c>
      <c r="C81" s="161" t="n">
        <f aca="false">SUM(D66:D77)</f>
        <v>9</v>
      </c>
      <c r="D81" s="15" t="s">
        <v>8157</v>
      </c>
      <c r="E81" s="15" t="s">
        <v>8158</v>
      </c>
      <c r="F81" s="15"/>
      <c r="G81" s="15"/>
    </row>
    <row r="82" customFormat="false" ht="17.25" hidden="false" customHeight="true" outlineLevel="0" collapsed="false">
      <c r="B82" s="15" t="s">
        <v>8159</v>
      </c>
      <c r="C82" s="161" t="n">
        <f aca="false">SUM(G66:G77)</f>
        <v>6</v>
      </c>
      <c r="D82" s="15" t="s">
        <v>8157</v>
      </c>
      <c r="E82" s="15" t="s">
        <v>8160</v>
      </c>
      <c r="F82" s="15"/>
      <c r="G82" s="15"/>
    </row>
    <row r="83" customFormat="false" ht="17.25" hidden="false" customHeight="true" outlineLevel="0" collapsed="false">
      <c r="B83" s="15" t="s">
        <v>8161</v>
      </c>
      <c r="C83" s="161" t="n">
        <f aca="false">SUM(D66:D77)-SUM(G66:G77)</f>
        <v>3</v>
      </c>
      <c r="D83" s="15" t="s">
        <v>8162</v>
      </c>
      <c r="E83" s="15" t="s">
        <v>8163</v>
      </c>
      <c r="F83" s="15"/>
      <c r="G83" s="15"/>
    </row>
    <row r="84" customFormat="false" ht="17.25" hidden="false" customHeight="true" outlineLevel="0" collapsed="false">
      <c r="B84" s="15" t="s">
        <v>8164</v>
      </c>
      <c r="C84" s="184" t="n">
        <f aca="false">IFERROR(SUM(H66:H77)/(12*2),0)</f>
        <v>0.625</v>
      </c>
      <c r="D84" s="15"/>
      <c r="E84" s="15" t="s">
        <v>8165</v>
      </c>
      <c r="F84" s="15"/>
      <c r="G84" s="15"/>
    </row>
    <row r="85" customFormat="false" ht="17.25" hidden="false" customHeight="true" outlineLevel="0" collapsed="false">
      <c r="B85" s="15" t="s">
        <v>8166</v>
      </c>
      <c r="C85" s="161" t="n">
        <f aca="false">COUNTIF(D66:D77,0)</f>
        <v>3</v>
      </c>
      <c r="D85" s="15" t="s">
        <v>8162</v>
      </c>
      <c r="E85" s="15" t="s">
        <v>8167</v>
      </c>
      <c r="F85" s="15"/>
      <c r="G85" s="15"/>
    </row>
    <row r="87" customFormat="false" ht="17.25" hidden="false" customHeight="true" outlineLevel="0" collapsed="false">
      <c r="B87" s="107" t="s">
        <v>8168</v>
      </c>
      <c r="C87" s="107"/>
      <c r="D87" s="107"/>
      <c r="E87" s="107"/>
      <c r="F87" s="107"/>
      <c r="G87" s="107"/>
    </row>
    <row r="88" customFormat="false" ht="17.25" hidden="false" customHeight="true" outlineLevel="0" collapsed="false">
      <c r="B88" s="152" t="s">
        <v>5293</v>
      </c>
      <c r="C88" s="152" t="s">
        <v>8169</v>
      </c>
      <c r="D88" s="152" t="s">
        <v>8170</v>
      </c>
      <c r="E88" s="152" t="s">
        <v>8171</v>
      </c>
      <c r="F88" s="152"/>
      <c r="G88" s="152"/>
    </row>
    <row r="89" customFormat="false" ht="72" hidden="false" customHeight="true" outlineLevel="0" collapsed="false">
      <c r="B89" s="15" t="s">
        <v>34</v>
      </c>
      <c r="C89" s="15" t="s">
        <v>8172</v>
      </c>
      <c r="D89" s="15" t="s">
        <v>8173</v>
      </c>
      <c r="E89" s="15" t="s">
        <v>8174</v>
      </c>
      <c r="F89" s="15"/>
      <c r="G89" s="15"/>
    </row>
    <row r="90" customFormat="false" ht="72" hidden="false" customHeight="true" outlineLevel="0" collapsed="false">
      <c r="B90" s="15" t="s">
        <v>6922</v>
      </c>
      <c r="C90" s="15" t="s">
        <v>8175</v>
      </c>
      <c r="D90" s="15" t="s">
        <v>8176</v>
      </c>
      <c r="E90" s="15" t="s">
        <v>8177</v>
      </c>
      <c r="F90" s="15"/>
      <c r="G90" s="15"/>
    </row>
    <row r="91" customFormat="false" ht="72" hidden="false" customHeight="true" outlineLevel="0" collapsed="false">
      <c r="B91" s="15" t="s">
        <v>6926</v>
      </c>
      <c r="C91" s="15" t="s">
        <v>8178</v>
      </c>
      <c r="D91" s="15" t="s">
        <v>8179</v>
      </c>
      <c r="E91" s="15" t="s">
        <v>8180</v>
      </c>
      <c r="F91" s="15"/>
      <c r="G91" s="15"/>
    </row>
    <row r="92" customFormat="false" ht="58.5" hidden="false" customHeight="true" outlineLevel="0" collapsed="false">
      <c r="B92" s="15" t="s">
        <v>6931</v>
      </c>
      <c r="C92" s="15" t="s">
        <v>8181</v>
      </c>
      <c r="D92" s="15" t="s">
        <v>8182</v>
      </c>
      <c r="E92" s="15" t="s">
        <v>8183</v>
      </c>
      <c r="F92" s="15"/>
      <c r="G92" s="15"/>
    </row>
    <row r="94" customFormat="false" ht="15.75" hidden="false" customHeight="true" outlineLevel="0" collapsed="false">
      <c r="B94" s="103" t="s">
        <v>1493</v>
      </c>
      <c r="C94" s="8"/>
      <c r="D94" s="8"/>
      <c r="E94" s="8"/>
      <c r="F94" s="8"/>
      <c r="G94" s="8"/>
      <c r="H94" s="8"/>
      <c r="I94" s="8"/>
      <c r="J94" s="8"/>
      <c r="K94" s="8"/>
    </row>
    <row r="95" customFormat="false" ht="49.5" hidden="false" customHeight="true" outlineLevel="0" collapsed="false">
      <c r="B95" s="105" t="s">
        <v>1494</v>
      </c>
      <c r="C95" s="168" t="str">
        <f aca="false">"Of "&amp;TEXT(12,"0")&amp;" visual elements, "&amp;TEXT(C81,"0")&amp;" exist and only "&amp;TEXT(C82,"0")&amp;" trigger a defined action, giving a maturity of "&amp;TEXT(C84,"0%")&amp;". "&amp;IF(C83&gt;=3,"There are "&amp;TEXT(C83,"0")&amp;" decorative boards — visible information with no defined response. Attach a rule to each one (who reacts, within how long, and to whom it escalates) before adding any new board.","Most elements drive a response. Move the working ones up the maturity ladder from indicator towards control and guarantee.")</f>
        <v>Of 12 visual elements, 9 exist and only 6 trigger a defined action, giving a maturity of 63%. There are 3 decorative boards — visible information with no defined response. Attach a rule to each one (who reacts, within how long, and to whom it escalates) before adding any new board.</v>
      </c>
      <c r="D95" s="168"/>
      <c r="E95" s="168"/>
      <c r="F95" s="168"/>
      <c r="G95" s="168"/>
    </row>
    <row r="97" customFormat="false" ht="17.25" hidden="false" customHeight="true" outlineLevel="0" collapsed="false">
      <c r="B97" s="152" t="s">
        <v>1495</v>
      </c>
      <c r="C97" s="152" t="s">
        <v>1496</v>
      </c>
      <c r="D97" s="152" t="s">
        <v>1497</v>
      </c>
      <c r="E97" s="152"/>
      <c r="F97" s="152"/>
      <c r="G97" s="152"/>
    </row>
    <row r="98" customFormat="false" ht="17.25" hidden="false" customHeight="true" outlineLevel="0" collapsed="false">
      <c r="B98" s="15" t="s">
        <v>8184</v>
      </c>
      <c r="C98" s="15" t="s">
        <v>8185</v>
      </c>
      <c r="D98" s="15" t="s">
        <v>8186</v>
      </c>
      <c r="E98" s="15"/>
      <c r="F98" s="15"/>
      <c r="G98" s="15"/>
    </row>
    <row r="99" customFormat="false" ht="17.25" hidden="false" customHeight="true" outlineLevel="0" collapsed="false">
      <c r="B99" s="15" t="s">
        <v>8187</v>
      </c>
      <c r="C99" s="15" t="s">
        <v>8188</v>
      </c>
      <c r="D99" s="15" t="s">
        <v>8189</v>
      </c>
      <c r="E99" s="15"/>
      <c r="F99" s="15"/>
      <c r="G99" s="15"/>
    </row>
    <row r="100" customFormat="false" ht="17.25" hidden="false" customHeight="true" outlineLevel="0" collapsed="false">
      <c r="B100" s="15" t="s">
        <v>8190</v>
      </c>
      <c r="C100" s="15" t="s">
        <v>8191</v>
      </c>
      <c r="D100" s="15" t="s">
        <v>8192</v>
      </c>
      <c r="E100" s="15"/>
      <c r="F100" s="15"/>
      <c r="G100" s="15"/>
    </row>
    <row r="101" customFormat="false" ht="30.75" hidden="false" customHeight="true" outlineLevel="0" collapsed="false">
      <c r="B101" s="15" t="s">
        <v>8193</v>
      </c>
      <c r="C101" s="15" t="s">
        <v>8194</v>
      </c>
      <c r="D101" s="15" t="s">
        <v>8195</v>
      </c>
      <c r="E101" s="15"/>
      <c r="F101" s="15"/>
      <c r="G101" s="15"/>
    </row>
    <row r="103" customFormat="false" ht="15" hidden="false" customHeight="true" outlineLevel="0" collapsed="false">
      <c r="B103" s="105" t="s">
        <v>1507</v>
      </c>
    </row>
    <row r="104" customFormat="false" ht="17.25" hidden="false" customHeight="true" outlineLevel="0" collapsed="false">
      <c r="B104" s="106" t="s">
        <v>8196</v>
      </c>
      <c r="C104" s="106"/>
      <c r="D104" s="106"/>
      <c r="E104" s="106"/>
      <c r="F104" s="106"/>
      <c r="G104" s="106"/>
    </row>
    <row r="105" customFormat="false" ht="17.25" hidden="false" customHeight="true" outlineLevel="0" collapsed="false">
      <c r="B105" s="106" t="s">
        <v>8197</v>
      </c>
      <c r="C105" s="106"/>
      <c r="D105" s="106"/>
      <c r="E105" s="106"/>
      <c r="F105" s="106"/>
      <c r="G105" s="106"/>
    </row>
    <row r="106" customFormat="false" ht="17.25" hidden="false" customHeight="true" outlineLevel="0" collapsed="false">
      <c r="B106" s="106" t="s">
        <v>8198</v>
      </c>
      <c r="C106" s="106"/>
      <c r="D106" s="106"/>
      <c r="E106" s="106"/>
      <c r="F106" s="106"/>
      <c r="G106" s="106"/>
    </row>
    <row r="107" customFormat="false" ht="17.25" hidden="false" customHeight="true" outlineLevel="0" collapsed="false">
      <c r="B107" s="106" t="s">
        <v>8199</v>
      </c>
      <c r="C107" s="106"/>
      <c r="D107" s="106"/>
      <c r="E107" s="106"/>
      <c r="F107" s="106"/>
      <c r="G107" s="106"/>
    </row>
    <row r="108" customFormat="false" ht="17.25" hidden="false" customHeight="true" outlineLevel="0" collapsed="false">
      <c r="B108" s="106" t="s">
        <v>8200</v>
      </c>
      <c r="C108" s="106"/>
      <c r="D108" s="106"/>
      <c r="E108" s="106"/>
      <c r="F108" s="106"/>
      <c r="G108" s="106"/>
    </row>
    <row r="110" customFormat="false" ht="15.75" hidden="false" customHeight="true" outlineLevel="0" collapsed="false">
      <c r="B110" s="103" t="s">
        <v>1513</v>
      </c>
      <c r="C110" s="8"/>
      <c r="D110" s="8"/>
      <c r="E110" s="8"/>
      <c r="F110" s="8"/>
      <c r="G110" s="8"/>
      <c r="H110" s="8"/>
      <c r="I110" s="8"/>
      <c r="J110" s="8"/>
      <c r="K110" s="8"/>
    </row>
    <row r="111" customFormat="false" ht="17.25" hidden="false" customHeight="true" outlineLevel="0" collapsed="false">
      <c r="B111" s="106" t="s">
        <v>6712</v>
      </c>
      <c r="C111" s="106"/>
      <c r="D111" s="106"/>
      <c r="E111" s="106"/>
      <c r="N111" s="169" t="s">
        <v>1515</v>
      </c>
    </row>
    <row r="112" customFormat="false" ht="58.5" hidden="false" customHeight="true" outlineLevel="0" collapsed="false">
      <c r="B112" s="106" t="s">
        <v>8201</v>
      </c>
      <c r="C112" s="106"/>
      <c r="D112" s="106"/>
      <c r="E112" s="106"/>
      <c r="N112" s="120" t="s">
        <v>8202</v>
      </c>
    </row>
    <row r="113" customFormat="false" ht="44.25" hidden="false" customHeight="true" outlineLevel="0" collapsed="false">
      <c r="B113" s="106" t="s">
        <v>8203</v>
      </c>
      <c r="C113" s="106"/>
      <c r="D113" s="106"/>
      <c r="E113" s="106"/>
      <c r="N113" s="120" t="s">
        <v>8204</v>
      </c>
    </row>
    <row r="114" customFormat="false" ht="30.75" hidden="false" customHeight="true" outlineLevel="0" collapsed="false">
      <c r="B114" s="106" t="s">
        <v>8205</v>
      </c>
      <c r="C114" s="106"/>
      <c r="D114" s="106"/>
      <c r="E114" s="106"/>
      <c r="N114" s="120" t="s">
        <v>8206</v>
      </c>
    </row>
    <row r="116" customFormat="false" ht="15.75" hidden="false" customHeight="true" outlineLevel="0" collapsed="false">
      <c r="B116" s="103" t="s">
        <v>1522</v>
      </c>
      <c r="C116" s="8"/>
      <c r="D116" s="8"/>
      <c r="E116" s="8"/>
      <c r="F116" s="8"/>
      <c r="G116" s="8"/>
      <c r="H116" s="8"/>
      <c r="I116" s="8"/>
      <c r="J116" s="8"/>
      <c r="K116" s="8"/>
    </row>
    <row r="117" customFormat="false" ht="17.25" hidden="false" customHeight="true" outlineLevel="0" collapsed="false">
      <c r="B117" s="152" t="s">
        <v>1523</v>
      </c>
      <c r="C117" s="152" t="s">
        <v>1524</v>
      </c>
      <c r="D117" s="152" t="s">
        <v>6719</v>
      </c>
      <c r="E117" s="152"/>
      <c r="F117" s="152"/>
    </row>
    <row r="118" customFormat="false" ht="17.25" hidden="false" customHeight="true" outlineLevel="0" collapsed="false">
      <c r="B118" s="170" t="s">
        <v>1221</v>
      </c>
      <c r="C118" s="170" t="s">
        <v>1103</v>
      </c>
      <c r="D118" s="171" t="s">
        <v>8094</v>
      </c>
      <c r="E118" s="171"/>
      <c r="F118" s="171"/>
    </row>
  </sheetData>
  <mergeCells count="64">
    <mergeCell ref="B2:J2"/>
    <mergeCell ref="D3:G3"/>
    <mergeCell ref="C6:D6"/>
    <mergeCell ref="C7:D7"/>
    <mergeCell ref="C8:D8"/>
    <mergeCell ref="B11:G13"/>
    <mergeCell ref="B14:G15"/>
    <mergeCell ref="B16:G16"/>
    <mergeCell ref="B17:G20"/>
    <mergeCell ref="B21:G23"/>
    <mergeCell ref="B26:D26"/>
    <mergeCell ref="E26:G26"/>
    <mergeCell ref="B27:D27"/>
    <mergeCell ref="E27:G27"/>
    <mergeCell ref="B28:D28"/>
    <mergeCell ref="E28:G28"/>
    <mergeCell ref="B29:D29"/>
    <mergeCell ref="E29:G29"/>
    <mergeCell ref="B30:G30"/>
    <mergeCell ref="E32:G32"/>
    <mergeCell ref="E33:G33"/>
    <mergeCell ref="E34:G34"/>
    <mergeCell ref="E35:G35"/>
    <mergeCell ref="E36:G36"/>
    <mergeCell ref="B39:G41"/>
    <mergeCell ref="B43:G43"/>
    <mergeCell ref="B44:G47"/>
    <mergeCell ref="B49:G49"/>
    <mergeCell ref="D52:G52"/>
    <mergeCell ref="D53:G53"/>
    <mergeCell ref="D54:G54"/>
    <mergeCell ref="D55:G55"/>
    <mergeCell ref="D56:G56"/>
    <mergeCell ref="B59:G61"/>
    <mergeCell ref="B64:G64"/>
    <mergeCell ref="E80:G80"/>
    <mergeCell ref="E81:G81"/>
    <mergeCell ref="E82:G82"/>
    <mergeCell ref="E83:G83"/>
    <mergeCell ref="E84:G84"/>
    <mergeCell ref="E85:G85"/>
    <mergeCell ref="B87:G87"/>
    <mergeCell ref="E88:G88"/>
    <mergeCell ref="E89:G89"/>
    <mergeCell ref="E90:G90"/>
    <mergeCell ref="E91:G91"/>
    <mergeCell ref="E92:G92"/>
    <mergeCell ref="C95:G95"/>
    <mergeCell ref="D97:G97"/>
    <mergeCell ref="D98:G98"/>
    <mergeCell ref="D99:G99"/>
    <mergeCell ref="D100:G100"/>
    <mergeCell ref="D101:G101"/>
    <mergeCell ref="B104:G104"/>
    <mergeCell ref="B105:G105"/>
    <mergeCell ref="B106:G106"/>
    <mergeCell ref="B107:G107"/>
    <mergeCell ref="B108:G108"/>
    <mergeCell ref="B111:E111"/>
    <mergeCell ref="B112:E112"/>
    <mergeCell ref="B113:E113"/>
    <mergeCell ref="B114:E114"/>
    <mergeCell ref="D117:F117"/>
    <mergeCell ref="D118:F118"/>
  </mergeCells>
  <hyperlinks>
    <hyperlink ref="B3" location="'N-03 Index DMAIC'!A1" display="← Back to Index"/>
    <hyperlink ref="E33" location="'G-04 RACI Matrix'!A1" display="G-04  RACI Matrix"/>
    <hyperlink ref="E34" location="'H-16 Control and Reaction'!A1" display="H-16  Control Plan and Reaction Plan"/>
    <hyperlink ref="E35" location="'L-22 Gemba Walk'!A1" display="L-22  Gemba Walk"/>
    <hyperlink ref="E36" location="'L-14 Standard Work'!A1" display="L-14  Standard Work"/>
    <hyperlink ref="B118" location="'L-12 5S'!A1" display="L-12  5S and Workplace Organisation"/>
    <hyperlink ref="C118" location="'L-18 Jidoka and Andon'!A1" display="L-18  Jidoka and Andon"/>
    <hyperlink ref="D118" location="'H-16 Control and Reaction'!A1" display="H-16  Control Plan and Reaction Pl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N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16"/>
    <col collapsed="false" customWidth="true" hidden="false" outlineLevel="0" max="5" min="5" style="1" width="14"/>
    <col collapsed="false" customWidth="true" hidden="false" outlineLevel="0" max="6" min="6" style="1" width="18"/>
    <col collapsed="false" customWidth="true" hidden="false" outlineLevel="0" max="7" min="7" style="1" width="20"/>
    <col collapsed="false" customWidth="true" hidden="false" outlineLevel="0" max="8" min="8" style="1" width="16"/>
    <col collapsed="false" customWidth="true" hidden="false" outlineLevel="0" max="9" min="9" style="1" width="30"/>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8207</v>
      </c>
      <c r="C2" s="148"/>
      <c r="D2" s="148"/>
      <c r="E2" s="148"/>
      <c r="F2" s="148"/>
      <c r="G2" s="148"/>
      <c r="H2" s="148"/>
      <c r="I2" s="148"/>
      <c r="J2" s="148"/>
      <c r="K2" s="189" t="s">
        <v>5631</v>
      </c>
    </row>
    <row r="3" customFormat="false" ht="42" hidden="false" customHeight="true" outlineLevel="0" collapsed="false">
      <c r="B3" s="150" t="s">
        <v>3</v>
      </c>
      <c r="D3" s="151" t="s">
        <v>8208</v>
      </c>
      <c r="E3" s="151"/>
      <c r="F3" s="151"/>
      <c r="G3" s="151"/>
      <c r="H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8209</v>
      </c>
      <c r="D6" s="106"/>
      <c r="E6" s="106"/>
      <c r="F6" s="106"/>
      <c r="G6" s="106"/>
    </row>
    <row r="7" customFormat="false" ht="31.5" hidden="false" customHeight="true" outlineLevel="0" collapsed="false">
      <c r="B7" s="105" t="s">
        <v>1394</v>
      </c>
      <c r="C7" s="106" t="s">
        <v>8210</v>
      </c>
      <c r="D7" s="106"/>
      <c r="E7" s="106"/>
      <c r="F7" s="106"/>
      <c r="G7" s="106"/>
    </row>
    <row r="8" customFormat="false" ht="17.25" hidden="false" customHeight="true" outlineLevel="0" collapsed="false">
      <c r="B8" s="105" t="s">
        <v>1396</v>
      </c>
      <c r="C8" s="106" t="s">
        <v>8211</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8212</v>
      </c>
      <c r="C11" s="106"/>
      <c r="D11" s="106"/>
      <c r="E11" s="106"/>
      <c r="F11" s="106"/>
      <c r="G11" s="106"/>
      <c r="H11" s="106"/>
    </row>
    <row r="12" customFormat="false" ht="10.5" hidden="false" customHeight="true" outlineLevel="0" collapsed="false">
      <c r="B12" s="106"/>
      <c r="C12" s="106"/>
      <c r="D12" s="106"/>
      <c r="E12" s="106"/>
      <c r="F12" s="106"/>
      <c r="G12" s="106"/>
      <c r="H12" s="106"/>
    </row>
    <row r="13" customFormat="false" ht="10.5" hidden="false" customHeight="true" outlineLevel="0" collapsed="false">
      <c r="B13" s="106"/>
      <c r="C13" s="106"/>
      <c r="D13" s="106"/>
      <c r="E13" s="106"/>
      <c r="F13" s="106"/>
      <c r="G13" s="106"/>
      <c r="H13" s="106"/>
    </row>
    <row r="14" customFormat="false" ht="10.5" hidden="false" customHeight="true" outlineLevel="0" collapsed="false">
      <c r="B14" s="106" t="s">
        <v>8213</v>
      </c>
      <c r="C14" s="106"/>
      <c r="D14" s="106"/>
      <c r="E14" s="106"/>
      <c r="F14" s="106"/>
      <c r="G14" s="106"/>
      <c r="H14" s="106"/>
    </row>
    <row r="15" customFormat="false" ht="10.5" hidden="false" customHeight="true" outlineLevel="0" collapsed="false">
      <c r="B15" s="106"/>
      <c r="C15" s="106"/>
      <c r="D15" s="106"/>
      <c r="E15" s="106"/>
      <c r="F15" s="106"/>
      <c r="G15" s="106"/>
      <c r="H15" s="106"/>
    </row>
    <row r="16" customFormat="false" ht="10.5" hidden="false" customHeight="true" outlineLevel="0" collapsed="false">
      <c r="B16" s="106"/>
      <c r="C16" s="106"/>
      <c r="D16" s="106"/>
      <c r="E16" s="106"/>
      <c r="F16" s="106"/>
      <c r="G16" s="106"/>
      <c r="H16" s="106"/>
    </row>
    <row r="17" customFormat="false" ht="10.5" hidden="false" customHeight="true" outlineLevel="0" collapsed="false">
      <c r="B17" s="106" t="s">
        <v>8214</v>
      </c>
      <c r="C17" s="106"/>
      <c r="D17" s="106"/>
      <c r="E17" s="106"/>
      <c r="F17" s="106"/>
      <c r="G17" s="106"/>
      <c r="H17" s="106"/>
    </row>
    <row r="18" customFormat="false" ht="10.5" hidden="false" customHeight="true" outlineLevel="0" collapsed="false">
      <c r="B18" s="106"/>
      <c r="C18" s="106"/>
      <c r="D18" s="106"/>
      <c r="E18" s="106"/>
      <c r="F18" s="106"/>
      <c r="G18" s="106"/>
      <c r="H18" s="106"/>
    </row>
    <row r="19" customFormat="false" ht="10.5" hidden="false" customHeight="true" outlineLevel="0" collapsed="false">
      <c r="B19" s="106"/>
      <c r="C19" s="106"/>
      <c r="D19" s="106"/>
      <c r="E19" s="106"/>
      <c r="F19" s="106"/>
      <c r="G19" s="106"/>
      <c r="H19" s="106"/>
    </row>
    <row r="20" customFormat="false" ht="10.5" hidden="false" customHeight="true" outlineLevel="0" collapsed="false">
      <c r="B20" s="106" t="s">
        <v>8215</v>
      </c>
      <c r="C20" s="106"/>
      <c r="D20" s="106"/>
      <c r="E20" s="106"/>
      <c r="F20" s="106"/>
      <c r="G20" s="106"/>
      <c r="H20" s="106"/>
    </row>
    <row r="21" customFormat="false" ht="10.5" hidden="false" customHeight="true" outlineLevel="0" collapsed="false">
      <c r="B21" s="106"/>
      <c r="C21" s="106"/>
      <c r="D21" s="106"/>
      <c r="E21" s="106"/>
      <c r="F21" s="106"/>
      <c r="G21" s="106"/>
      <c r="H21" s="106"/>
    </row>
    <row r="22" customFormat="false" ht="10.5" hidden="false" customHeight="true" outlineLevel="0" collapsed="false">
      <c r="B22" s="106"/>
      <c r="C22" s="106"/>
      <c r="D22" s="106"/>
      <c r="E22" s="106"/>
      <c r="F22" s="106"/>
      <c r="G22" s="106"/>
      <c r="H22" s="106"/>
    </row>
    <row r="23" customFormat="false" ht="15.75" hidden="false" customHeight="true" outlineLevel="0" collapsed="false">
      <c r="B23" s="106" t="s">
        <v>8216</v>
      </c>
      <c r="C23" s="106"/>
      <c r="D23" s="106"/>
      <c r="E23" s="106"/>
      <c r="F23" s="106"/>
      <c r="G23" s="106"/>
      <c r="H23" s="106"/>
    </row>
    <row r="24" customFormat="false" ht="15.75" hidden="false" customHeight="true" outlineLevel="0" collapsed="false">
      <c r="B24" s="106"/>
      <c r="C24" s="106"/>
      <c r="D24" s="106"/>
      <c r="E24" s="106"/>
      <c r="F24" s="106"/>
      <c r="G24" s="106"/>
      <c r="H24" s="106"/>
    </row>
    <row r="26" customFormat="false" ht="15.75" hidden="false" customHeight="true" outlineLevel="0" collapsed="false">
      <c r="B26" s="103" t="s">
        <v>1406</v>
      </c>
      <c r="C26" s="8"/>
      <c r="D26" s="8"/>
      <c r="E26" s="8"/>
      <c r="F26" s="8"/>
      <c r="G26" s="8"/>
      <c r="H26" s="8"/>
      <c r="I26" s="8"/>
      <c r="J26" s="8"/>
      <c r="K26" s="8"/>
    </row>
    <row r="27" customFormat="false" ht="17.25" hidden="false" customHeight="true" outlineLevel="0" collapsed="false">
      <c r="B27" s="107" t="s">
        <v>1407</v>
      </c>
      <c r="C27" s="107"/>
      <c r="D27" s="107"/>
      <c r="E27" s="107" t="s">
        <v>1408</v>
      </c>
      <c r="F27" s="107"/>
      <c r="G27" s="107"/>
      <c r="H27" s="107"/>
    </row>
    <row r="28" customFormat="false" ht="31.5" hidden="false" customHeight="true" outlineLevel="0" collapsed="false">
      <c r="B28" s="106" t="s">
        <v>8217</v>
      </c>
      <c r="C28" s="106"/>
      <c r="D28" s="106"/>
      <c r="E28" s="106" t="s">
        <v>8218</v>
      </c>
      <c r="F28" s="106"/>
      <c r="G28" s="106"/>
      <c r="H28" s="106"/>
    </row>
    <row r="29" customFormat="false" ht="31.5" hidden="false" customHeight="true" outlineLevel="0" collapsed="false">
      <c r="B29" s="106" t="s">
        <v>8219</v>
      </c>
      <c r="C29" s="106"/>
      <c r="D29" s="106"/>
      <c r="E29" s="106" t="s">
        <v>8220</v>
      </c>
      <c r="F29" s="106"/>
      <c r="G29" s="106"/>
      <c r="H29" s="106"/>
    </row>
    <row r="30" customFormat="false" ht="31.5" hidden="false" customHeight="true" outlineLevel="0" collapsed="false">
      <c r="B30" s="106" t="s">
        <v>8221</v>
      </c>
      <c r="C30" s="106"/>
      <c r="D30" s="106"/>
      <c r="E30" s="106" t="s">
        <v>8222</v>
      </c>
      <c r="F30" s="106"/>
      <c r="G30" s="106"/>
      <c r="H30" s="106"/>
    </row>
    <row r="31" customFormat="false" ht="17.25" hidden="false" customHeight="true" outlineLevel="0" collapsed="false">
      <c r="B31" s="106" t="s">
        <v>8223</v>
      </c>
      <c r="C31" s="106"/>
      <c r="D31" s="106"/>
      <c r="E31" s="106"/>
      <c r="F31" s="106"/>
      <c r="G31" s="106"/>
      <c r="H31" s="106"/>
    </row>
    <row r="33" customFormat="false" ht="17.25" hidden="false" customHeight="true" outlineLevel="0" collapsed="false">
      <c r="B33" s="152" t="s">
        <v>6621</v>
      </c>
      <c r="C33" s="152" t="s">
        <v>1417</v>
      </c>
      <c r="D33" s="152" t="s">
        <v>1418</v>
      </c>
      <c r="E33" s="152" t="s">
        <v>1419</v>
      </c>
      <c r="F33" s="152"/>
    </row>
    <row r="34" customFormat="false" ht="58.5" hidden="false" customHeight="true" outlineLevel="0" collapsed="false">
      <c r="B34" s="15" t="s">
        <v>8224</v>
      </c>
      <c r="C34" s="15" t="s">
        <v>8225</v>
      </c>
      <c r="D34" s="15" t="s">
        <v>8226</v>
      </c>
      <c r="E34" s="153" t="s">
        <v>7697</v>
      </c>
      <c r="F34" s="153"/>
    </row>
    <row r="35" customFormat="false" ht="72" hidden="false" customHeight="true" outlineLevel="0" collapsed="false">
      <c r="B35" s="15" t="s">
        <v>2009</v>
      </c>
      <c r="C35" s="15" t="s">
        <v>8227</v>
      </c>
      <c r="D35" s="15" t="s">
        <v>8228</v>
      </c>
      <c r="E35" s="153" t="s">
        <v>7925</v>
      </c>
      <c r="F35" s="153"/>
    </row>
    <row r="36" customFormat="false" ht="58.5" hidden="false" customHeight="true" outlineLevel="0" collapsed="false">
      <c r="B36" s="15" t="s">
        <v>8229</v>
      </c>
      <c r="C36" s="15" t="s">
        <v>8230</v>
      </c>
      <c r="D36" s="15" t="s">
        <v>8231</v>
      </c>
      <c r="E36" s="153" t="s">
        <v>7107</v>
      </c>
      <c r="F36" s="153"/>
    </row>
    <row r="37" customFormat="false" ht="44.25" hidden="false" customHeight="true" outlineLevel="0" collapsed="false">
      <c r="B37" s="15" t="s">
        <v>8232</v>
      </c>
      <c r="C37" s="15" t="s">
        <v>8233</v>
      </c>
      <c r="D37" s="15" t="s">
        <v>8234</v>
      </c>
      <c r="E37" s="153" t="s">
        <v>1223</v>
      </c>
      <c r="F37" s="153"/>
    </row>
    <row r="39" customFormat="false" ht="15.75" hidden="false" customHeight="true" outlineLevel="0" collapsed="false">
      <c r="B39" s="103" t="s">
        <v>1429</v>
      </c>
      <c r="C39" s="8"/>
      <c r="D39" s="8"/>
      <c r="E39" s="8"/>
      <c r="F39" s="8"/>
      <c r="G39" s="8"/>
      <c r="H39" s="8"/>
      <c r="I39" s="8"/>
      <c r="J39" s="8"/>
      <c r="K39" s="8"/>
    </row>
    <row r="40" customFormat="false" ht="11.25" hidden="false" customHeight="true" outlineLevel="0" collapsed="false">
      <c r="B40" s="106" t="s">
        <v>8235</v>
      </c>
      <c r="C40" s="106"/>
      <c r="D40" s="106"/>
      <c r="E40" s="106"/>
      <c r="F40" s="106"/>
      <c r="G40" s="106"/>
      <c r="H40" s="106"/>
    </row>
    <row r="41" customFormat="false" ht="11.25" hidden="false" customHeight="true" outlineLevel="0" collapsed="false">
      <c r="B41" s="106"/>
      <c r="C41" s="106"/>
      <c r="D41" s="106"/>
      <c r="E41" s="106"/>
      <c r="F41" s="106"/>
      <c r="G41" s="106"/>
      <c r="H41" s="106"/>
    </row>
    <row r="42" customFormat="false" ht="11.25" hidden="false" customHeight="true" outlineLevel="0" collapsed="false">
      <c r="B42" s="106"/>
      <c r="C42" s="106"/>
      <c r="D42" s="106"/>
      <c r="E42" s="106"/>
      <c r="F42" s="106"/>
      <c r="G42" s="106"/>
      <c r="H42" s="106"/>
    </row>
    <row r="43" customFormat="false" ht="11.25" hidden="false" customHeight="true" outlineLevel="0" collapsed="false">
      <c r="B43" s="106"/>
      <c r="C43" s="106"/>
      <c r="D43" s="106"/>
      <c r="E43" s="106"/>
      <c r="F43" s="106"/>
      <c r="G43" s="106"/>
      <c r="H43" s="106"/>
    </row>
    <row r="44" customFormat="false" ht="15" hidden="false" customHeight="true" outlineLevel="0" collapsed="false">
      <c r="B44" s="122"/>
    </row>
    <row r="45" customFormat="false" ht="16.5" hidden="false" customHeight="true" outlineLevel="0" collapsed="false">
      <c r="B45" s="122" t="s">
        <v>8236</v>
      </c>
    </row>
    <row r="46" customFormat="false" ht="17.25" hidden="false" customHeight="true" outlineLevel="0" collapsed="false">
      <c r="B46" s="106" t="s">
        <v>8237</v>
      </c>
      <c r="C46" s="106"/>
      <c r="D46" s="106"/>
      <c r="E46" s="106"/>
      <c r="F46" s="106"/>
      <c r="G46" s="106"/>
      <c r="H46" s="106"/>
    </row>
    <row r="47" customFormat="false" ht="17.25" hidden="false" customHeight="true" outlineLevel="0" collapsed="false">
      <c r="B47" s="106" t="s">
        <v>8238</v>
      </c>
      <c r="C47" s="106"/>
      <c r="D47" s="106"/>
      <c r="E47" s="106"/>
      <c r="F47" s="106"/>
      <c r="G47" s="106"/>
      <c r="H47" s="106"/>
    </row>
    <row r="48" customFormat="false" ht="17.25" hidden="false" customHeight="true" outlineLevel="0" collapsed="false">
      <c r="B48" s="106" t="s">
        <v>8239</v>
      </c>
      <c r="C48" s="106"/>
      <c r="D48" s="106"/>
      <c r="E48" s="106"/>
      <c r="F48" s="106"/>
      <c r="G48" s="106"/>
      <c r="H48" s="106"/>
    </row>
    <row r="49" customFormat="false" ht="15" hidden="false" customHeight="true" outlineLevel="0" collapsed="false">
      <c r="B49" s="122"/>
    </row>
    <row r="50" customFormat="false" ht="15.75" hidden="false" customHeight="true" outlineLevel="0" collapsed="false">
      <c r="B50" s="106" t="s">
        <v>8240</v>
      </c>
      <c r="C50" s="106"/>
      <c r="D50" s="106"/>
      <c r="E50" s="106"/>
      <c r="F50" s="106"/>
      <c r="G50" s="106"/>
      <c r="H50" s="106"/>
    </row>
    <row r="51" customFormat="false" ht="15.75" hidden="false" customHeight="true" outlineLevel="0" collapsed="false">
      <c r="B51" s="106"/>
      <c r="C51" s="106"/>
      <c r="D51" s="106"/>
      <c r="E51" s="106"/>
      <c r="F51" s="106"/>
      <c r="G51" s="106"/>
      <c r="H51" s="106"/>
    </row>
    <row r="53" customFormat="false" ht="15.75" hidden="false" customHeight="true" outlineLevel="0" collapsed="false">
      <c r="B53" s="103" t="s">
        <v>1437</v>
      </c>
      <c r="C53" s="8"/>
      <c r="D53" s="8"/>
      <c r="E53" s="8"/>
      <c r="F53" s="8"/>
      <c r="G53" s="8"/>
      <c r="H53" s="8"/>
      <c r="I53" s="8"/>
      <c r="J53" s="8"/>
      <c r="K53" s="8"/>
    </row>
    <row r="54" customFormat="false" ht="16.5" hidden="false" customHeight="true" outlineLevel="0" collapsed="false">
      <c r="B54" s="152" t="s">
        <v>1438</v>
      </c>
      <c r="C54" s="152" t="s">
        <v>1439</v>
      </c>
      <c r="D54" s="152" t="s">
        <v>1440</v>
      </c>
    </row>
    <row r="55" customFormat="false" ht="30.75" hidden="false" customHeight="true" outlineLevel="0" collapsed="false">
      <c r="B55" s="15" t="s">
        <v>6998</v>
      </c>
      <c r="C55" s="15" t="s">
        <v>8241</v>
      </c>
      <c r="D55" s="15" t="s">
        <v>8242</v>
      </c>
    </row>
    <row r="56" customFormat="false" ht="44.25" hidden="false" customHeight="true" outlineLevel="0" collapsed="false">
      <c r="B56" s="15" t="s">
        <v>7487</v>
      </c>
      <c r="C56" s="15" t="s">
        <v>8243</v>
      </c>
      <c r="D56" s="15" t="s">
        <v>8244</v>
      </c>
    </row>
    <row r="57" customFormat="false" ht="30.75" hidden="false" customHeight="true" outlineLevel="0" collapsed="false">
      <c r="B57" s="15" t="s">
        <v>4079</v>
      </c>
      <c r="C57" s="15" t="s">
        <v>4080</v>
      </c>
      <c r="D57" s="15" t="s">
        <v>8245</v>
      </c>
    </row>
    <row r="58" customFormat="false" ht="30.75" hidden="false" customHeight="true" outlineLevel="0" collapsed="false">
      <c r="B58" s="15" t="s">
        <v>1839</v>
      </c>
      <c r="C58" s="15" t="s">
        <v>6647</v>
      </c>
      <c r="D58" s="15" t="s">
        <v>8246</v>
      </c>
    </row>
    <row r="60" customFormat="false" ht="15.75" hidden="false" customHeight="true" outlineLevel="0" collapsed="false">
      <c r="B60" s="103" t="s">
        <v>1454</v>
      </c>
      <c r="C60" s="8"/>
      <c r="D60" s="8"/>
      <c r="E60" s="8"/>
      <c r="F60" s="8"/>
      <c r="G60" s="8"/>
      <c r="H60" s="8"/>
      <c r="I60" s="8"/>
      <c r="J60" s="8"/>
      <c r="K60" s="8"/>
    </row>
    <row r="61" customFormat="false" ht="15.75" hidden="false" customHeight="true" outlineLevel="0" collapsed="false">
      <c r="B61" s="106" t="s">
        <v>8247</v>
      </c>
      <c r="C61" s="106"/>
      <c r="D61" s="106"/>
      <c r="E61" s="106"/>
      <c r="F61" s="106"/>
      <c r="G61" s="106"/>
      <c r="H61" s="106"/>
    </row>
    <row r="62" customFormat="false" ht="15.75" hidden="false" customHeight="true" outlineLevel="0" collapsed="false">
      <c r="B62" s="106"/>
      <c r="C62" s="106"/>
      <c r="D62" s="106"/>
      <c r="E62" s="106"/>
      <c r="F62" s="106"/>
      <c r="G62" s="106"/>
      <c r="H62" s="106"/>
    </row>
    <row r="63" customFormat="false" ht="17.25" hidden="false" customHeight="true" outlineLevel="0" collapsed="false">
      <c r="B63" s="112" t="s">
        <v>85</v>
      </c>
      <c r="C63" s="113" t="s">
        <v>86</v>
      </c>
      <c r="D63" s="113"/>
    </row>
    <row r="65" customFormat="false" ht="15" hidden="false" customHeight="true" outlineLevel="0" collapsed="false">
      <c r="B65" s="105" t="s">
        <v>8248</v>
      </c>
    </row>
    <row r="66" customFormat="false" ht="17.25" hidden="false" customHeight="true" outlineLevel="0" collapsed="false">
      <c r="B66" s="152" t="s">
        <v>8249</v>
      </c>
      <c r="C66" s="152" t="s">
        <v>6654</v>
      </c>
      <c r="D66" s="152" t="s">
        <v>8249</v>
      </c>
      <c r="E66" s="152" t="s">
        <v>6654</v>
      </c>
      <c r="F66" s="152"/>
    </row>
    <row r="67" customFormat="false" ht="44.25" hidden="false" customHeight="true" outlineLevel="0" collapsed="false">
      <c r="B67" s="15" t="s">
        <v>8250</v>
      </c>
      <c r="C67" s="177" t="s">
        <v>8251</v>
      </c>
      <c r="D67" s="15" t="s">
        <v>8252</v>
      </c>
      <c r="E67" s="157" t="n">
        <v>15.2</v>
      </c>
      <c r="F67" s="157"/>
    </row>
    <row r="68" customFormat="false" ht="30.75" hidden="false" customHeight="true" outlineLevel="0" collapsed="false">
      <c r="B68" s="15" t="s">
        <v>8253</v>
      </c>
      <c r="C68" s="177" t="s">
        <v>8254</v>
      </c>
      <c r="D68" s="15" t="s">
        <v>8255</v>
      </c>
      <c r="E68" s="155" t="n">
        <v>2</v>
      </c>
      <c r="F68" s="155"/>
    </row>
    <row r="69" customFormat="false" ht="17.25" hidden="false" customHeight="true" outlineLevel="0" collapsed="false">
      <c r="B69" s="15" t="s">
        <v>8256</v>
      </c>
      <c r="C69" s="177" t="s">
        <v>8257</v>
      </c>
      <c r="D69" s="15" t="s">
        <v>51</v>
      </c>
      <c r="E69" s="177" t="s">
        <v>61</v>
      </c>
      <c r="F69" s="177"/>
    </row>
    <row r="70" customFormat="false" ht="30.75" hidden="false" customHeight="true" outlineLevel="0" collapsed="false">
      <c r="B70" s="15" t="s">
        <v>8258</v>
      </c>
      <c r="C70" s="177" t="s">
        <v>8259</v>
      </c>
      <c r="D70" s="15" t="s">
        <v>8260</v>
      </c>
      <c r="E70" s="177" t="s">
        <v>6925</v>
      </c>
      <c r="F70" s="177"/>
    </row>
    <row r="72" customFormat="false" ht="17.25" hidden="false" customHeight="true" outlineLevel="0" collapsed="false">
      <c r="B72" s="107" t="s">
        <v>8261</v>
      </c>
      <c r="C72" s="107"/>
      <c r="D72" s="107"/>
      <c r="E72" s="107"/>
      <c r="F72" s="107"/>
      <c r="G72" s="107"/>
      <c r="H72" s="107"/>
    </row>
    <row r="73" customFormat="false" ht="30.75" hidden="false" customHeight="true" outlineLevel="0" collapsed="false">
      <c r="B73" s="152" t="s">
        <v>8262</v>
      </c>
      <c r="C73" s="152" t="s">
        <v>8263</v>
      </c>
      <c r="D73" s="152" t="s">
        <v>8264</v>
      </c>
      <c r="E73" s="152" t="s">
        <v>8265</v>
      </c>
      <c r="F73" s="152" t="s">
        <v>8266</v>
      </c>
      <c r="G73" s="152" t="s">
        <v>8267</v>
      </c>
      <c r="H73" s="152" t="s">
        <v>8268</v>
      </c>
      <c r="I73" s="152"/>
    </row>
    <row r="74" customFormat="false" ht="30.75" hidden="false" customHeight="true" outlineLevel="0" collapsed="false">
      <c r="B74" s="15" t="s">
        <v>8269</v>
      </c>
      <c r="C74" s="155" t="n">
        <v>25</v>
      </c>
      <c r="D74" s="155" t="n">
        <v>0</v>
      </c>
      <c r="E74" s="155" t="n">
        <v>8</v>
      </c>
      <c r="F74" s="161" t="n">
        <f aca="false">C74+E74</f>
        <v>33</v>
      </c>
      <c r="G74" s="161" t="n">
        <f aca="false">SUM($F$74:F74)</f>
        <v>33</v>
      </c>
      <c r="H74" s="158" t="n">
        <f aca="false">IFERROR(F74/$E$67,0)</f>
        <v>2.17105263157895</v>
      </c>
      <c r="I74" s="158"/>
    </row>
    <row r="75" customFormat="false" ht="17.25" hidden="false" customHeight="true" outlineLevel="0" collapsed="false">
      <c r="B75" s="15" t="s">
        <v>8270</v>
      </c>
      <c r="C75" s="155" t="n">
        <v>40</v>
      </c>
      <c r="D75" s="155" t="n">
        <v>0</v>
      </c>
      <c r="E75" s="155" t="n">
        <v>4</v>
      </c>
      <c r="F75" s="161" t="n">
        <f aca="false">C75+E75</f>
        <v>44</v>
      </c>
      <c r="G75" s="161" t="n">
        <f aca="false">SUM($F$74:F75)</f>
        <v>77</v>
      </c>
      <c r="H75" s="158" t="n">
        <f aca="false">IFERROR(F75/$E$67,0)</f>
        <v>2.89473684210526</v>
      </c>
      <c r="I75" s="158"/>
    </row>
    <row r="76" customFormat="false" ht="17.25" hidden="false" customHeight="true" outlineLevel="0" collapsed="false">
      <c r="B76" s="15" t="s">
        <v>8271</v>
      </c>
      <c r="C76" s="155" t="n">
        <v>65</v>
      </c>
      <c r="D76" s="155" t="n">
        <v>0</v>
      </c>
      <c r="E76" s="155" t="n">
        <v>4</v>
      </c>
      <c r="F76" s="161" t="n">
        <f aca="false">C76+E76</f>
        <v>69</v>
      </c>
      <c r="G76" s="161" t="n">
        <f aca="false">SUM($F$74:F76)</f>
        <v>146</v>
      </c>
      <c r="H76" s="158" t="n">
        <f aca="false">IFERROR(F76/$E$67,0)</f>
        <v>4.53947368421053</v>
      </c>
      <c r="I76" s="158"/>
    </row>
    <row r="77" customFormat="false" ht="17.25" hidden="false" customHeight="true" outlineLevel="0" collapsed="false">
      <c r="B77" s="15" t="s">
        <v>8272</v>
      </c>
      <c r="C77" s="155" t="n">
        <v>70</v>
      </c>
      <c r="D77" s="155" t="n">
        <v>0</v>
      </c>
      <c r="E77" s="155" t="n">
        <v>4</v>
      </c>
      <c r="F77" s="161" t="n">
        <f aca="false">C77+E77</f>
        <v>74</v>
      </c>
      <c r="G77" s="161" t="n">
        <f aca="false">SUM($F$74:F77)</f>
        <v>220</v>
      </c>
      <c r="H77" s="158" t="n">
        <f aca="false">IFERROR(F77/$E$67,0)</f>
        <v>4.86842105263158</v>
      </c>
      <c r="I77" s="158"/>
    </row>
    <row r="78" customFormat="false" ht="30.75" hidden="false" customHeight="true" outlineLevel="0" collapsed="false">
      <c r="B78" s="15" t="s">
        <v>8273</v>
      </c>
      <c r="C78" s="155" t="n">
        <v>5</v>
      </c>
      <c r="D78" s="155" t="n">
        <v>45</v>
      </c>
      <c r="E78" s="155" t="n">
        <v>0</v>
      </c>
      <c r="F78" s="161" t="n">
        <f aca="false">C78+E78</f>
        <v>5</v>
      </c>
      <c r="G78" s="161" t="n">
        <f aca="false">SUM($F$74:F78)</f>
        <v>225</v>
      </c>
      <c r="H78" s="158" t="n">
        <f aca="false">IFERROR(F78/$E$67,0)</f>
        <v>0.328947368421053</v>
      </c>
      <c r="I78" s="158"/>
    </row>
    <row r="79" customFormat="false" ht="17.25" hidden="false" customHeight="true" outlineLevel="0" collapsed="false">
      <c r="B79" s="15" t="s">
        <v>8274</v>
      </c>
      <c r="C79" s="155" t="n">
        <v>45</v>
      </c>
      <c r="D79" s="155" t="n">
        <v>0</v>
      </c>
      <c r="E79" s="155" t="n">
        <v>4</v>
      </c>
      <c r="F79" s="161" t="n">
        <f aca="false">C79+E79</f>
        <v>49</v>
      </c>
      <c r="G79" s="161" t="n">
        <f aca="false">SUM($F$74:F79)</f>
        <v>274</v>
      </c>
      <c r="H79" s="158" t="n">
        <f aca="false">IFERROR(F79/$E$67,0)</f>
        <v>3.22368421052632</v>
      </c>
      <c r="I79" s="158"/>
    </row>
    <row r="80" customFormat="false" ht="30.75" hidden="false" customHeight="true" outlineLevel="0" collapsed="false">
      <c r="B80" s="15" t="s">
        <v>8275</v>
      </c>
      <c r="C80" s="155" t="n">
        <v>30</v>
      </c>
      <c r="D80" s="155" t="n">
        <v>20</v>
      </c>
      <c r="E80" s="155" t="n">
        <v>6</v>
      </c>
      <c r="F80" s="161" t="n">
        <f aca="false">C80+E80</f>
        <v>36</v>
      </c>
      <c r="G80" s="161" t="n">
        <f aca="false">SUM($F$74:F80)</f>
        <v>310</v>
      </c>
      <c r="H80" s="158" t="n">
        <f aca="false">IFERROR(F80/$E$67,0)</f>
        <v>2.36842105263158</v>
      </c>
      <c r="I80" s="158"/>
    </row>
    <row r="81" customFormat="false" ht="17.25" hidden="false" customHeight="true" outlineLevel="0" collapsed="false">
      <c r="B81" s="15" t="s">
        <v>8276</v>
      </c>
      <c r="C81" s="155" t="n">
        <v>15</v>
      </c>
      <c r="D81" s="155" t="n">
        <v>25</v>
      </c>
      <c r="E81" s="155" t="n">
        <v>5</v>
      </c>
      <c r="F81" s="161" t="n">
        <f aca="false">C81+E81</f>
        <v>20</v>
      </c>
      <c r="G81" s="161" t="n">
        <f aca="false">SUM($F$74:F81)</f>
        <v>330</v>
      </c>
      <c r="H81" s="158" t="n">
        <f aca="false">IFERROR(F81/$E$67,0)</f>
        <v>1.31578947368421</v>
      </c>
      <c r="I81" s="158"/>
    </row>
    <row r="82" customFormat="false" ht="30.75" hidden="false" customHeight="true" outlineLevel="0" collapsed="false">
      <c r="B82" s="15" t="s">
        <v>8277</v>
      </c>
      <c r="C82" s="155" t="n">
        <v>40</v>
      </c>
      <c r="D82" s="155" t="n">
        <v>60</v>
      </c>
      <c r="E82" s="155" t="n">
        <v>12</v>
      </c>
      <c r="F82" s="161" t="n">
        <f aca="false">C82+E82</f>
        <v>52</v>
      </c>
      <c r="G82" s="161" t="n">
        <f aca="false">SUM($F$74:F82)</f>
        <v>382</v>
      </c>
      <c r="H82" s="158" t="n">
        <f aca="false">IFERROR(F82/$E$67,0)</f>
        <v>3.42105263157895</v>
      </c>
      <c r="I82" s="158"/>
    </row>
    <row r="83" customFormat="false" ht="17.25" hidden="false" customHeight="true" outlineLevel="0" collapsed="false">
      <c r="B83" s="15" t="s">
        <v>8278</v>
      </c>
      <c r="C83" s="155" t="n">
        <v>20</v>
      </c>
      <c r="D83" s="155" t="n">
        <v>0</v>
      </c>
      <c r="E83" s="155" t="n">
        <v>6</v>
      </c>
      <c r="F83" s="161" t="n">
        <f aca="false">C83+E83</f>
        <v>26</v>
      </c>
      <c r="G83" s="161" t="n">
        <f aca="false">SUM($F$74:F83)</f>
        <v>408</v>
      </c>
      <c r="H83" s="158" t="n">
        <f aca="false">IFERROR(F83/$E$67,0)</f>
        <v>1.71052631578947</v>
      </c>
      <c r="I83" s="158"/>
    </row>
    <row r="85" customFormat="false" ht="15" hidden="false" customHeight="true" outlineLevel="0" collapsed="false">
      <c r="B85" s="105" t="s">
        <v>8279</v>
      </c>
    </row>
    <row r="86" customFormat="false" ht="17.25" hidden="false" customHeight="true" outlineLevel="0" collapsed="false">
      <c r="B86" s="152" t="s">
        <v>1929</v>
      </c>
      <c r="C86" s="152" t="s">
        <v>6654</v>
      </c>
      <c r="D86" s="152" t="s">
        <v>6575</v>
      </c>
      <c r="E86" s="152" t="s">
        <v>88</v>
      </c>
      <c r="F86" s="152"/>
      <c r="G86" s="152"/>
      <c r="H86" s="152"/>
    </row>
    <row r="87" customFormat="false" ht="17.25" hidden="false" customHeight="true" outlineLevel="0" collapsed="false">
      <c r="B87" s="15" t="s">
        <v>8280</v>
      </c>
      <c r="C87" s="161" t="n">
        <f aca="false">SUM(C74:C83)</f>
        <v>355</v>
      </c>
      <c r="D87" s="15" t="s">
        <v>7751</v>
      </c>
      <c r="E87" s="15" t="s">
        <v>8281</v>
      </c>
      <c r="F87" s="15"/>
      <c r="G87" s="15"/>
      <c r="H87" s="15"/>
    </row>
    <row r="88" customFormat="false" ht="17.25" hidden="false" customHeight="true" outlineLevel="0" collapsed="false">
      <c r="B88" s="15" t="s">
        <v>8282</v>
      </c>
      <c r="C88" s="161" t="n">
        <f aca="false">SUM(D74:D83)</f>
        <v>150</v>
      </c>
      <c r="D88" s="15" t="s">
        <v>7751</v>
      </c>
      <c r="E88" s="15" t="s">
        <v>8283</v>
      </c>
      <c r="F88" s="15"/>
      <c r="G88" s="15"/>
      <c r="H88" s="15"/>
    </row>
    <row r="89" customFormat="false" ht="17.25" hidden="false" customHeight="true" outlineLevel="0" collapsed="false">
      <c r="B89" s="15" t="s">
        <v>8284</v>
      </c>
      <c r="C89" s="161" t="n">
        <f aca="false">SUM(E74:E83)</f>
        <v>53</v>
      </c>
      <c r="D89" s="15" t="s">
        <v>7751</v>
      </c>
      <c r="E89" s="15" t="s">
        <v>8285</v>
      </c>
      <c r="F89" s="15"/>
      <c r="G89" s="15"/>
      <c r="H89" s="15"/>
    </row>
    <row r="90" customFormat="false" ht="17.25" hidden="false" customHeight="true" outlineLevel="0" collapsed="false">
      <c r="B90" s="15" t="s">
        <v>8286</v>
      </c>
      <c r="C90" s="161" t="n">
        <f aca="false">SUM(F74:F83)</f>
        <v>408</v>
      </c>
      <c r="D90" s="15" t="s">
        <v>7751</v>
      </c>
      <c r="E90" s="15" t="s">
        <v>8287</v>
      </c>
      <c r="F90" s="15"/>
      <c r="G90" s="15"/>
      <c r="H90" s="15"/>
    </row>
    <row r="91" customFormat="false" ht="17.25" hidden="false" customHeight="true" outlineLevel="0" collapsed="false">
      <c r="B91" s="15" t="s">
        <v>8288</v>
      </c>
      <c r="C91" s="160" t="n">
        <f aca="false">IFERROR(C89/C90,0)</f>
        <v>0.129901960784314</v>
      </c>
      <c r="D91" s="15"/>
      <c r="E91" s="15" t="s">
        <v>8289</v>
      </c>
      <c r="F91" s="15"/>
      <c r="G91" s="15"/>
      <c r="H91" s="15"/>
    </row>
    <row r="92" customFormat="false" ht="17.25" hidden="false" customHeight="true" outlineLevel="0" collapsed="false">
      <c r="B92" s="15" t="s">
        <v>8290</v>
      </c>
      <c r="C92" s="161" t="n">
        <f aca="false">SUM(F74:F83)+SUM(D74:D83)</f>
        <v>558</v>
      </c>
      <c r="D92" s="15" t="s">
        <v>7751</v>
      </c>
      <c r="E92" s="15" t="s">
        <v>8291</v>
      </c>
      <c r="F92" s="15"/>
      <c r="G92" s="15"/>
      <c r="H92" s="15"/>
    </row>
    <row r="93" customFormat="false" ht="17.25" hidden="false" customHeight="true" outlineLevel="0" collapsed="false">
      <c r="B93" s="15" t="s">
        <v>6815</v>
      </c>
      <c r="C93" s="158" t="n">
        <f aca="false">IFERROR(C92/60,0)</f>
        <v>9.3</v>
      </c>
      <c r="D93" s="15" t="s">
        <v>6816</v>
      </c>
      <c r="E93" s="15" t="s">
        <v>8292</v>
      </c>
      <c r="F93" s="15"/>
      <c r="G93" s="15"/>
      <c r="H93" s="15"/>
    </row>
    <row r="94" customFormat="false" ht="17.25" hidden="false" customHeight="true" outlineLevel="0" collapsed="false">
      <c r="B94" s="15" t="s">
        <v>8293</v>
      </c>
      <c r="C94" s="155" t="n">
        <v>2</v>
      </c>
      <c r="D94" s="15" t="s">
        <v>8294</v>
      </c>
      <c r="E94" s="15" t="s">
        <v>8295</v>
      </c>
      <c r="F94" s="15"/>
      <c r="G94" s="15"/>
      <c r="H94" s="15"/>
    </row>
    <row r="95" customFormat="false" ht="17.25" hidden="false" customHeight="true" outlineLevel="0" collapsed="false">
      <c r="B95" s="15" t="s">
        <v>8296</v>
      </c>
      <c r="C95" s="161" t="n">
        <f aca="false">MAX(F74:F83)</f>
        <v>74</v>
      </c>
      <c r="D95" s="15" t="s">
        <v>7751</v>
      </c>
      <c r="E95" s="15" t="s">
        <v>8297</v>
      </c>
      <c r="F95" s="15"/>
      <c r="G95" s="15"/>
      <c r="H95" s="15"/>
    </row>
    <row r="96" customFormat="false" ht="30.75" hidden="false" customHeight="true" outlineLevel="0" collapsed="false">
      <c r="B96" s="15" t="s">
        <v>8298</v>
      </c>
      <c r="C96" s="167" t="str">
        <f aca="false">INDEX(B74:B83,MATCH(MAX(F74:F83),F74:F83,0))</f>
        <v>4  Fit 1.5 L valve cage</v>
      </c>
      <c r="D96" s="15"/>
      <c r="E96" s="15" t="s">
        <v>8299</v>
      </c>
      <c r="F96" s="15"/>
      <c r="G96" s="15"/>
      <c r="H96" s="15"/>
    </row>
    <row r="98" customFormat="false" ht="17.25" hidden="false" customHeight="true" outlineLevel="0" collapsed="false">
      <c r="B98" s="107" t="s">
        <v>8300</v>
      </c>
      <c r="C98" s="107"/>
      <c r="D98" s="107"/>
      <c r="E98" s="107"/>
      <c r="F98" s="107"/>
      <c r="G98" s="107"/>
      <c r="H98" s="107"/>
    </row>
    <row r="99" customFormat="false" ht="17.25" hidden="false" customHeight="true" outlineLevel="0" collapsed="false">
      <c r="B99" s="152" t="s">
        <v>8301</v>
      </c>
      <c r="C99" s="152" t="s">
        <v>8302</v>
      </c>
      <c r="D99" s="152" t="s">
        <v>8303</v>
      </c>
      <c r="E99" s="152" t="s">
        <v>8304</v>
      </c>
      <c r="F99" s="152"/>
      <c r="G99" s="152"/>
    </row>
    <row r="100" customFormat="false" ht="30.75" hidden="false" customHeight="true" outlineLevel="0" collapsed="false">
      <c r="B100" s="15" t="s">
        <v>6773</v>
      </c>
      <c r="C100" s="15" t="s">
        <v>8305</v>
      </c>
      <c r="D100" s="15" t="s">
        <v>8306</v>
      </c>
      <c r="E100" s="15" t="s">
        <v>8307</v>
      </c>
      <c r="F100" s="15"/>
      <c r="G100" s="15"/>
    </row>
    <row r="101" customFormat="false" ht="30.75" hidden="false" customHeight="true" outlineLevel="0" collapsed="false">
      <c r="B101" s="15" t="s">
        <v>8308</v>
      </c>
      <c r="C101" s="15" t="s">
        <v>8309</v>
      </c>
      <c r="D101" s="15" t="s">
        <v>8310</v>
      </c>
      <c r="E101" s="15" t="s">
        <v>8311</v>
      </c>
      <c r="F101" s="15"/>
      <c r="G101" s="15"/>
    </row>
    <row r="102" customFormat="false" ht="58.5" hidden="false" customHeight="true" outlineLevel="0" collapsed="false">
      <c r="B102" s="15" t="s">
        <v>8293</v>
      </c>
      <c r="C102" s="15" t="s">
        <v>8312</v>
      </c>
      <c r="D102" s="15" t="s">
        <v>8313</v>
      </c>
      <c r="E102" s="15" t="s">
        <v>8314</v>
      </c>
      <c r="F102" s="15"/>
      <c r="G102" s="15"/>
    </row>
    <row r="104" customFormat="false" ht="15.75" hidden="false" customHeight="true" outlineLevel="0" collapsed="false">
      <c r="B104" s="103" t="s">
        <v>1493</v>
      </c>
      <c r="C104" s="8"/>
      <c r="D104" s="8"/>
      <c r="E104" s="8"/>
      <c r="F104" s="8"/>
      <c r="G104" s="8"/>
      <c r="H104" s="8"/>
      <c r="I104" s="8"/>
      <c r="J104" s="8"/>
      <c r="K104" s="8"/>
    </row>
    <row r="105" customFormat="false" ht="49.5" hidden="false" customHeight="true" outlineLevel="0" collapsed="false">
      <c r="B105" s="105" t="s">
        <v>1494</v>
      </c>
      <c r="C105" s="168" t="str">
        <f aca="false">"Operator cycle is "&amp;TEXT(C90,"0")&amp;" s of which "&amp;TEXT(C89,"0")&amp;" s is walking ("&amp;TEXT(C91,"0.0%")&amp;"), and the elapsed changeover is "&amp;TEXT(C93,"0.0")&amp;" min. "&amp;"The longest element is "&amp;INDEX(B74:B83,MATCH(MAX(F74:F83),F74:F83,0))&amp;" at "&amp;TEXT(MAX(F74:F83),"0")&amp;" s. "&amp;IF(C91&gt;0.1,"Walking exceeds 10% of the operator cycle: fix the layout (L-05, L-12) before re-timing the standard.","Walking is contained. Next, separate internal from external work and attack the elapsed time with SMED (L-15).")</f>
        <v>Operator cycle is 408 s of which 53 s is walking (13.0%), and the elapsed changeover is 9.3 min. The longest element is 4  Fit 1.5 L valve cage at 74 s. Walking exceeds 10% of the operator cycle: fix the layout (L-05, L-12) before re-timing the standard.</v>
      </c>
      <c r="D105" s="168"/>
      <c r="E105" s="168"/>
      <c r="F105" s="168"/>
      <c r="G105" s="168"/>
    </row>
    <row r="107" customFormat="false" ht="17.25" hidden="false" customHeight="true" outlineLevel="0" collapsed="false">
      <c r="B107" s="152" t="s">
        <v>1495</v>
      </c>
      <c r="C107" s="152" t="s">
        <v>1496</v>
      </c>
      <c r="D107" s="152" t="s">
        <v>1497</v>
      </c>
      <c r="E107" s="152"/>
    </row>
    <row r="108" customFormat="false" ht="31.5" hidden="false" customHeight="true" outlineLevel="0" collapsed="false">
      <c r="B108" s="15" t="s">
        <v>8315</v>
      </c>
      <c r="C108" s="15" t="s">
        <v>8316</v>
      </c>
      <c r="D108" s="15" t="s">
        <v>8317</v>
      </c>
      <c r="E108" s="15"/>
    </row>
    <row r="109" customFormat="false" ht="31.5" hidden="false" customHeight="true" outlineLevel="0" collapsed="false">
      <c r="B109" s="15" t="s">
        <v>8318</v>
      </c>
      <c r="C109" s="15" t="s">
        <v>8319</v>
      </c>
      <c r="D109" s="15" t="s">
        <v>8320</v>
      </c>
      <c r="E109" s="15"/>
    </row>
    <row r="110" customFormat="false" ht="31.5" hidden="false" customHeight="true" outlineLevel="0" collapsed="false">
      <c r="B110" s="15" t="s">
        <v>8321</v>
      </c>
      <c r="C110" s="15" t="s">
        <v>8322</v>
      </c>
      <c r="D110" s="15" t="s">
        <v>8323</v>
      </c>
      <c r="E110" s="15"/>
    </row>
    <row r="111" customFormat="false" ht="31.5" hidden="false" customHeight="true" outlineLevel="0" collapsed="false">
      <c r="B111" s="15" t="s">
        <v>8324</v>
      </c>
      <c r="C111" s="15" t="s">
        <v>8325</v>
      </c>
      <c r="D111" s="15" t="s">
        <v>8326</v>
      </c>
      <c r="E111" s="15"/>
    </row>
    <row r="113" customFormat="false" ht="15" hidden="false" customHeight="true" outlineLevel="0" collapsed="false">
      <c r="B113" s="105" t="s">
        <v>1507</v>
      </c>
    </row>
    <row r="114" customFormat="false" ht="17.25" hidden="false" customHeight="true" outlineLevel="0" collapsed="false">
      <c r="B114" s="106" t="s">
        <v>8327</v>
      </c>
      <c r="C114" s="106"/>
      <c r="D114" s="106"/>
      <c r="E114" s="106"/>
      <c r="F114" s="106"/>
      <c r="G114" s="106"/>
      <c r="H114" s="106"/>
    </row>
    <row r="115" customFormat="false" ht="17.25" hidden="false" customHeight="true" outlineLevel="0" collapsed="false">
      <c r="B115" s="106" t="s">
        <v>8328</v>
      </c>
      <c r="C115" s="106"/>
      <c r="D115" s="106"/>
      <c r="E115" s="106"/>
      <c r="F115" s="106"/>
      <c r="G115" s="106"/>
      <c r="H115" s="106"/>
    </row>
    <row r="116" customFormat="false" ht="17.25" hidden="false" customHeight="true" outlineLevel="0" collapsed="false">
      <c r="B116" s="106" t="s">
        <v>8329</v>
      </c>
      <c r="C116" s="106"/>
      <c r="D116" s="106"/>
      <c r="E116" s="106"/>
      <c r="F116" s="106"/>
      <c r="G116" s="106"/>
      <c r="H116" s="106"/>
    </row>
    <row r="117" customFormat="false" ht="17.25" hidden="false" customHeight="true" outlineLevel="0" collapsed="false">
      <c r="B117" s="106" t="s">
        <v>8330</v>
      </c>
      <c r="C117" s="106"/>
      <c r="D117" s="106"/>
      <c r="E117" s="106"/>
      <c r="F117" s="106"/>
      <c r="G117" s="106"/>
      <c r="H117" s="106"/>
    </row>
    <row r="118" customFormat="false" ht="17.25" hidden="false" customHeight="true" outlineLevel="0" collapsed="false">
      <c r="B118" s="106" t="s">
        <v>8331</v>
      </c>
      <c r="C118" s="106"/>
      <c r="D118" s="106"/>
      <c r="E118" s="106"/>
      <c r="F118" s="106"/>
      <c r="G118" s="106"/>
      <c r="H118" s="106"/>
    </row>
    <row r="120" customFormat="false" ht="15.75" hidden="false" customHeight="true" outlineLevel="0" collapsed="false">
      <c r="B120" s="103" t="s">
        <v>1513</v>
      </c>
      <c r="C120" s="8"/>
      <c r="D120" s="8"/>
      <c r="E120" s="8"/>
      <c r="F120" s="8"/>
      <c r="G120" s="8"/>
      <c r="H120" s="8"/>
      <c r="I120" s="8"/>
      <c r="J120" s="8"/>
      <c r="K120" s="8"/>
    </row>
    <row r="121" customFormat="false" ht="17.25" hidden="false" customHeight="true" outlineLevel="0" collapsed="false">
      <c r="B121" s="106" t="s">
        <v>6712</v>
      </c>
      <c r="C121" s="106"/>
      <c r="D121" s="106"/>
      <c r="E121" s="106"/>
      <c r="N121" s="169" t="s">
        <v>1515</v>
      </c>
    </row>
    <row r="122" customFormat="false" ht="44.25" hidden="false" customHeight="true" outlineLevel="0" collapsed="false">
      <c r="B122" s="106" t="s">
        <v>8332</v>
      </c>
      <c r="C122" s="106"/>
      <c r="D122" s="106"/>
      <c r="E122" s="106"/>
      <c r="N122" s="120" t="s">
        <v>8333</v>
      </c>
    </row>
    <row r="123" customFormat="false" ht="44.25" hidden="false" customHeight="true" outlineLevel="0" collapsed="false">
      <c r="B123" s="106" t="s">
        <v>8334</v>
      </c>
      <c r="C123" s="106"/>
      <c r="D123" s="106"/>
      <c r="E123" s="106"/>
      <c r="N123" s="120" t="s">
        <v>8335</v>
      </c>
    </row>
    <row r="124" customFormat="false" ht="30.75" hidden="false" customHeight="true" outlineLevel="0" collapsed="false">
      <c r="B124" s="106" t="s">
        <v>8336</v>
      </c>
      <c r="C124" s="106"/>
      <c r="D124" s="106"/>
      <c r="E124" s="106"/>
      <c r="N124" s="120" t="s">
        <v>8337</v>
      </c>
    </row>
    <row r="126" customFormat="false" ht="15.75" hidden="false" customHeight="true" outlineLevel="0" collapsed="false">
      <c r="B126" s="103" t="s">
        <v>1522</v>
      </c>
      <c r="C126" s="8"/>
      <c r="D126" s="8"/>
      <c r="E126" s="8"/>
      <c r="F126" s="8"/>
      <c r="G126" s="8"/>
      <c r="H126" s="8"/>
      <c r="I126" s="8"/>
      <c r="J126" s="8"/>
      <c r="K126" s="8"/>
    </row>
    <row r="127" customFormat="false" ht="30.75" hidden="false" customHeight="true" outlineLevel="0" collapsed="false">
      <c r="B127" s="152" t="s">
        <v>1523</v>
      </c>
      <c r="C127" s="152" t="s">
        <v>1524</v>
      </c>
      <c r="D127" s="152" t="s">
        <v>6719</v>
      </c>
    </row>
    <row r="128" customFormat="false" ht="30.75" hidden="false" customHeight="true" outlineLevel="0" collapsed="false">
      <c r="B128" s="170" t="s">
        <v>1153</v>
      </c>
      <c r="C128" s="170" t="s">
        <v>1109</v>
      </c>
      <c r="D128" s="170" t="s">
        <v>8094</v>
      </c>
    </row>
  </sheetData>
  <mergeCells count="79">
    <mergeCell ref="B2:J2"/>
    <mergeCell ref="D3:H3"/>
    <mergeCell ref="C6:G6"/>
    <mergeCell ref="C7:G7"/>
    <mergeCell ref="C8:G8"/>
    <mergeCell ref="B11:H13"/>
    <mergeCell ref="B14:H16"/>
    <mergeCell ref="B17:H19"/>
    <mergeCell ref="B20:H22"/>
    <mergeCell ref="B23:H24"/>
    <mergeCell ref="B27:D27"/>
    <mergeCell ref="E27:H27"/>
    <mergeCell ref="B28:D28"/>
    <mergeCell ref="E28:H28"/>
    <mergeCell ref="B29:D29"/>
    <mergeCell ref="E29:H29"/>
    <mergeCell ref="B30:D30"/>
    <mergeCell ref="E30:H30"/>
    <mergeCell ref="B31:H31"/>
    <mergeCell ref="E33:F33"/>
    <mergeCell ref="E34:F34"/>
    <mergeCell ref="E35:F35"/>
    <mergeCell ref="E36:F36"/>
    <mergeCell ref="E37:F37"/>
    <mergeCell ref="B40:H43"/>
    <mergeCell ref="B46:H46"/>
    <mergeCell ref="B47:H47"/>
    <mergeCell ref="B48:H48"/>
    <mergeCell ref="B50:H51"/>
    <mergeCell ref="B61:H62"/>
    <mergeCell ref="C63:D63"/>
    <mergeCell ref="E66:F66"/>
    <mergeCell ref="E67:F67"/>
    <mergeCell ref="E68:F68"/>
    <mergeCell ref="E69:F69"/>
    <mergeCell ref="E70:F70"/>
    <mergeCell ref="B72:H72"/>
    <mergeCell ref="H73:I73"/>
    <mergeCell ref="H74:I74"/>
    <mergeCell ref="H75:I75"/>
    <mergeCell ref="H76:I76"/>
    <mergeCell ref="H77:I77"/>
    <mergeCell ref="H78:I78"/>
    <mergeCell ref="H79:I79"/>
    <mergeCell ref="H80:I80"/>
    <mergeCell ref="H81:I81"/>
    <mergeCell ref="H82:I82"/>
    <mergeCell ref="H83:I83"/>
    <mergeCell ref="E86:H86"/>
    <mergeCell ref="E87:H87"/>
    <mergeCell ref="E88:H88"/>
    <mergeCell ref="E89:H89"/>
    <mergeCell ref="E90:H90"/>
    <mergeCell ref="E91:H91"/>
    <mergeCell ref="E92:H92"/>
    <mergeCell ref="E93:H93"/>
    <mergeCell ref="E94:H94"/>
    <mergeCell ref="E95:H95"/>
    <mergeCell ref="E96:H96"/>
    <mergeCell ref="B98:H98"/>
    <mergeCell ref="E99:G99"/>
    <mergeCell ref="E100:G100"/>
    <mergeCell ref="E101:G101"/>
    <mergeCell ref="E102:G102"/>
    <mergeCell ref="C105:G105"/>
    <mergeCell ref="D107:E107"/>
    <mergeCell ref="D108:E108"/>
    <mergeCell ref="D109:E109"/>
    <mergeCell ref="D110:E110"/>
    <mergeCell ref="D111:E111"/>
    <mergeCell ref="B114:H114"/>
    <mergeCell ref="B115:H115"/>
    <mergeCell ref="B116:H116"/>
    <mergeCell ref="B117:H117"/>
    <mergeCell ref="B118:H118"/>
    <mergeCell ref="B121:E121"/>
    <mergeCell ref="B122:E122"/>
    <mergeCell ref="B123:E123"/>
    <mergeCell ref="B124:E124"/>
  </mergeCells>
  <hyperlinks>
    <hyperlink ref="B3" location="'N-03 Index DMAIC'!A1" display="← Back to Index"/>
    <hyperlink ref="E34" location="'E-03 Descriptive Stats'!A1" display="E-03  Descriptive Statistics"/>
    <hyperlink ref="E35" location="'E-49 I-MR Chart'!A1" display="E-49  I-MR Chart"/>
    <hyperlink ref="E36" location="'G-06 Change Management'!A1" display="G-06  Change Management"/>
    <hyperlink ref="E37" location="'L-13 Visual Management'!A1" display="L-13  Visual Management"/>
    <hyperlink ref="B128" location="'L-10 Line Balancing'!A1" display="L-10  Line Balancing and Yamazumi"/>
    <hyperlink ref="C128" location="'L-15 SMED'!A1" display="L-15  SMED and Quick Changeover"/>
    <hyperlink ref="D128" location="'H-16 Control and Reaction'!A1" display="H-16  Control Plan and Reaction Pl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20"/>
    <col collapsed="false" customWidth="true" hidden="false" outlineLevel="0" max="4" min="4" style="1" width="15"/>
    <col collapsed="false" customWidth="true" hidden="false" outlineLevel="0" max="5" min="5" style="1" width="42"/>
    <col collapsed="false" customWidth="true" hidden="false" outlineLevel="0" max="6" min="6" style="1" width="20"/>
    <col collapsed="false" customWidth="true" hidden="false" outlineLevel="0" max="7" min="7" style="1" width="15"/>
    <col collapsed="false" customWidth="true" hidden="false" outlineLevel="0" max="10" min="8" style="1" width="17"/>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8338</v>
      </c>
      <c r="C2" s="148"/>
      <c r="D2" s="148"/>
      <c r="E2" s="148"/>
      <c r="F2" s="148"/>
      <c r="G2" s="148"/>
      <c r="H2" s="148"/>
      <c r="I2" s="148"/>
      <c r="J2" s="148"/>
      <c r="K2" s="179" t="s">
        <v>5137</v>
      </c>
    </row>
    <row r="3" customFormat="false" ht="42" hidden="false" customHeight="true" outlineLevel="0" collapsed="false">
      <c r="B3" s="150" t="s">
        <v>3</v>
      </c>
      <c r="D3" s="151" t="s">
        <v>8339</v>
      </c>
      <c r="E3" s="151"/>
      <c r="F3" s="151"/>
      <c r="G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8340</v>
      </c>
      <c r="D6" s="106"/>
      <c r="E6" s="106"/>
    </row>
    <row r="7" customFormat="false" ht="31.5" hidden="false" customHeight="true" outlineLevel="0" collapsed="false">
      <c r="B7" s="105" t="s">
        <v>1394</v>
      </c>
      <c r="C7" s="106" t="s">
        <v>8341</v>
      </c>
      <c r="D7" s="106"/>
      <c r="E7" s="106"/>
    </row>
    <row r="8" customFormat="false" ht="31.5" hidden="false" customHeight="true" outlineLevel="0" collapsed="false">
      <c r="B8" s="105" t="s">
        <v>1396</v>
      </c>
      <c r="C8" s="106" t="s">
        <v>8342</v>
      </c>
      <c r="D8" s="106"/>
      <c r="E8" s="106"/>
    </row>
    <row r="10" customFormat="false" ht="15.75" hidden="false" customHeight="true" outlineLevel="0" collapsed="false">
      <c r="B10" s="103" t="s">
        <v>1398</v>
      </c>
      <c r="C10" s="8"/>
      <c r="D10" s="8"/>
      <c r="E10" s="8"/>
      <c r="F10" s="8"/>
      <c r="G10" s="8"/>
      <c r="H10" s="8"/>
      <c r="I10" s="8"/>
      <c r="J10" s="8"/>
      <c r="K10" s="8"/>
    </row>
    <row r="11" customFormat="false" ht="17.25" hidden="false" customHeight="true" outlineLevel="0" collapsed="false">
      <c r="B11" s="106" t="s">
        <v>8343</v>
      </c>
      <c r="C11" s="106"/>
      <c r="D11" s="106"/>
      <c r="E11" s="106"/>
      <c r="F11" s="106"/>
      <c r="G11" s="106"/>
    </row>
    <row r="12" customFormat="false" ht="17.25" hidden="false" customHeight="true" outlineLevel="0" collapsed="false">
      <c r="B12" s="106" t="s">
        <v>8344</v>
      </c>
      <c r="C12" s="106"/>
      <c r="D12" s="106"/>
      <c r="E12" s="106"/>
      <c r="F12" s="106"/>
      <c r="G12" s="106"/>
    </row>
    <row r="13" customFormat="false" ht="11.25" hidden="false" customHeight="true" outlineLevel="0" collapsed="false">
      <c r="B13" s="106" t="s">
        <v>8345</v>
      </c>
      <c r="C13" s="106"/>
      <c r="D13" s="106"/>
      <c r="E13" s="106"/>
      <c r="F13" s="106"/>
      <c r="G13" s="106"/>
    </row>
    <row r="14" customFormat="false" ht="11.25" hidden="false" customHeight="true" outlineLevel="0" collapsed="false">
      <c r="B14" s="106"/>
      <c r="C14" s="106"/>
      <c r="D14" s="106"/>
      <c r="E14" s="106"/>
      <c r="F14" s="106"/>
      <c r="G14" s="106"/>
    </row>
    <row r="15" customFormat="false" ht="11.25" hidden="false" customHeight="true" outlineLevel="0" collapsed="false">
      <c r="B15" s="106"/>
      <c r="C15" s="106"/>
      <c r="D15" s="106"/>
      <c r="E15" s="106"/>
      <c r="F15" s="106"/>
      <c r="G15" s="106"/>
    </row>
    <row r="16" customFormat="false" ht="11.25" hidden="false" customHeight="true" outlineLevel="0" collapsed="false">
      <c r="B16" s="106"/>
      <c r="C16" s="106"/>
      <c r="D16" s="106"/>
      <c r="E16" s="106"/>
      <c r="F16" s="106"/>
      <c r="G16" s="106"/>
    </row>
    <row r="17" customFormat="false" ht="11.25" hidden="false" customHeight="true" outlineLevel="0" collapsed="false">
      <c r="B17" s="106" t="s">
        <v>8346</v>
      </c>
      <c r="C17" s="106"/>
      <c r="D17" s="106"/>
      <c r="E17" s="106"/>
      <c r="F17" s="106"/>
      <c r="G17" s="106"/>
    </row>
    <row r="18" customFormat="false" ht="11.25" hidden="false" customHeight="true" outlineLevel="0" collapsed="false">
      <c r="B18" s="106"/>
      <c r="C18" s="106"/>
      <c r="D18" s="106"/>
      <c r="E18" s="106"/>
      <c r="F18" s="106"/>
      <c r="G18" s="106"/>
    </row>
    <row r="19" customFormat="false" ht="11.25" hidden="false" customHeight="true" outlineLevel="0" collapsed="false">
      <c r="B19" s="106"/>
      <c r="C19" s="106"/>
      <c r="D19" s="106"/>
      <c r="E19" s="106"/>
      <c r="F19" s="106"/>
      <c r="G19" s="106"/>
    </row>
    <row r="20" customFormat="false" ht="11.25" hidden="false" customHeight="true" outlineLevel="0" collapsed="false">
      <c r="B20" s="106"/>
      <c r="C20" s="106"/>
      <c r="D20" s="106"/>
      <c r="E20" s="106"/>
      <c r="F20" s="106"/>
      <c r="G20" s="106"/>
    </row>
    <row r="21" customFormat="false" ht="10.5" hidden="false" customHeight="true" outlineLevel="0" collapsed="false">
      <c r="B21" s="106" t="s">
        <v>8347</v>
      </c>
      <c r="C21" s="106"/>
      <c r="D21" s="106"/>
      <c r="E21" s="106"/>
      <c r="F21" s="106"/>
      <c r="G21" s="106"/>
    </row>
    <row r="22" customFormat="false" ht="10.5" hidden="false" customHeight="true" outlineLevel="0" collapsed="false">
      <c r="B22" s="106"/>
      <c r="C22" s="106"/>
      <c r="D22" s="106"/>
      <c r="E22" s="106"/>
      <c r="F22" s="106"/>
      <c r="G22" s="106"/>
    </row>
    <row r="23" customFormat="false" ht="10.5" hidden="false" customHeight="true" outlineLevel="0" collapsed="false">
      <c r="B23" s="106"/>
      <c r="C23" s="106"/>
      <c r="D23" s="106"/>
      <c r="E23" s="106"/>
      <c r="F23" s="106"/>
      <c r="G23" s="106"/>
    </row>
    <row r="24" customFormat="false" ht="10.5" hidden="false" customHeight="true" outlineLevel="0" collapsed="false">
      <c r="B24" s="106" t="s">
        <v>8348</v>
      </c>
      <c r="C24" s="106"/>
      <c r="D24" s="106"/>
      <c r="E24" s="106"/>
      <c r="F24" s="106"/>
      <c r="G24" s="106"/>
    </row>
    <row r="25" customFormat="false" ht="10.5" hidden="false" customHeight="true" outlineLevel="0" collapsed="false">
      <c r="B25" s="106"/>
      <c r="C25" s="106"/>
      <c r="D25" s="106"/>
      <c r="E25" s="106"/>
      <c r="F25" s="106"/>
      <c r="G25" s="106"/>
    </row>
    <row r="26" customFormat="false" ht="10.5" hidden="false" customHeight="true" outlineLevel="0" collapsed="false">
      <c r="B26" s="106"/>
      <c r="C26" s="106"/>
      <c r="D26" s="106"/>
      <c r="E26" s="106"/>
      <c r="F26" s="106"/>
      <c r="G26" s="106"/>
    </row>
    <row r="28" customFormat="false" ht="15.75" hidden="false" customHeight="true" outlineLevel="0" collapsed="false">
      <c r="B28" s="103" t="s">
        <v>1406</v>
      </c>
      <c r="C28" s="8"/>
      <c r="D28" s="8"/>
      <c r="E28" s="8"/>
      <c r="F28" s="8"/>
      <c r="G28" s="8"/>
      <c r="H28" s="8"/>
      <c r="I28" s="8"/>
      <c r="J28" s="8"/>
      <c r="K28" s="8"/>
    </row>
    <row r="29" customFormat="false" ht="17.25" hidden="false" customHeight="true" outlineLevel="0" collapsed="false">
      <c r="B29" s="107" t="s">
        <v>1407</v>
      </c>
      <c r="C29" s="107"/>
      <c r="D29" s="107"/>
      <c r="E29" s="107" t="s">
        <v>1408</v>
      </c>
      <c r="F29" s="107"/>
    </row>
    <row r="30" customFormat="false" ht="31.5" hidden="false" customHeight="true" outlineLevel="0" collapsed="false">
      <c r="B30" s="106" t="s">
        <v>8349</v>
      </c>
      <c r="C30" s="106"/>
      <c r="D30" s="106"/>
      <c r="E30" s="106" t="s">
        <v>8350</v>
      </c>
      <c r="F30" s="106"/>
    </row>
    <row r="31" customFormat="false" ht="31.5" hidden="false" customHeight="true" outlineLevel="0" collapsed="false">
      <c r="B31" s="106" t="s">
        <v>8351</v>
      </c>
      <c r="C31" s="106"/>
      <c r="D31" s="106"/>
      <c r="E31" s="106" t="s">
        <v>8352</v>
      </c>
      <c r="F31" s="106"/>
    </row>
    <row r="32" customFormat="false" ht="31.5" hidden="false" customHeight="true" outlineLevel="0" collapsed="false">
      <c r="B32" s="106" t="s">
        <v>8353</v>
      </c>
      <c r="C32" s="106"/>
      <c r="D32" s="106"/>
      <c r="E32" s="106" t="s">
        <v>8354</v>
      </c>
      <c r="F32" s="106"/>
    </row>
    <row r="33" customFormat="false" ht="17.25" hidden="false" customHeight="true" outlineLevel="0" collapsed="false">
      <c r="B33" s="106" t="s">
        <v>8355</v>
      </c>
      <c r="C33" s="106"/>
      <c r="D33" s="106"/>
      <c r="E33" s="106"/>
      <c r="F33" s="106"/>
      <c r="G33" s="106"/>
    </row>
    <row r="35" customFormat="false" ht="30.75" hidden="false" customHeight="true" outlineLevel="0" collapsed="false">
      <c r="B35" s="152" t="s">
        <v>6621</v>
      </c>
      <c r="C35" s="152" t="s">
        <v>1417</v>
      </c>
      <c r="D35" s="152" t="s">
        <v>1418</v>
      </c>
      <c r="E35" s="152" t="s">
        <v>1419</v>
      </c>
    </row>
    <row r="36" customFormat="false" ht="72" hidden="false" customHeight="true" outlineLevel="0" collapsed="false">
      <c r="B36" s="15" t="s">
        <v>8356</v>
      </c>
      <c r="C36" s="15" t="s">
        <v>8357</v>
      </c>
      <c r="D36" s="15" t="s">
        <v>8358</v>
      </c>
      <c r="E36" s="153" t="s">
        <v>7332</v>
      </c>
    </row>
    <row r="37" customFormat="false" ht="86.25" hidden="false" customHeight="true" outlineLevel="0" collapsed="false">
      <c r="B37" s="15" t="s">
        <v>8359</v>
      </c>
      <c r="C37" s="15" t="s">
        <v>8360</v>
      </c>
      <c r="D37" s="15" t="s">
        <v>8361</v>
      </c>
      <c r="E37" s="153" t="s">
        <v>7078</v>
      </c>
    </row>
    <row r="38" customFormat="false" ht="86.25" hidden="false" customHeight="true" outlineLevel="0" collapsed="false">
      <c r="B38" s="15" t="s">
        <v>8362</v>
      </c>
      <c r="C38" s="15" t="s">
        <v>8363</v>
      </c>
      <c r="D38" s="15" t="s">
        <v>8364</v>
      </c>
      <c r="E38" s="153" t="s">
        <v>8365</v>
      </c>
    </row>
    <row r="39" customFormat="false" ht="72" hidden="false" customHeight="true" outlineLevel="0" collapsed="false">
      <c r="B39" s="15" t="s">
        <v>8366</v>
      </c>
      <c r="C39" s="15" t="s">
        <v>8367</v>
      </c>
      <c r="D39" s="15" t="s">
        <v>8368</v>
      </c>
      <c r="E39" s="153" t="s">
        <v>6744</v>
      </c>
    </row>
    <row r="41" customFormat="false" ht="15.75" hidden="false" customHeight="true" outlineLevel="0" collapsed="false">
      <c r="B41" s="103" t="s">
        <v>1429</v>
      </c>
      <c r="C41" s="8"/>
      <c r="D41" s="8"/>
      <c r="E41" s="8"/>
      <c r="F41" s="8"/>
      <c r="G41" s="8"/>
      <c r="H41" s="8"/>
      <c r="I41" s="8"/>
      <c r="J41" s="8"/>
      <c r="K41" s="8"/>
    </row>
    <row r="42" customFormat="false" ht="15.75" hidden="false" customHeight="true" outlineLevel="0" collapsed="false">
      <c r="B42" s="106" t="s">
        <v>8369</v>
      </c>
      <c r="C42" s="106"/>
      <c r="D42" s="106"/>
      <c r="E42" s="106"/>
      <c r="F42" s="106"/>
      <c r="G42" s="106"/>
    </row>
    <row r="43" customFormat="false" ht="15.75" hidden="false" customHeight="true" outlineLevel="0" collapsed="false">
      <c r="B43" s="106"/>
      <c r="C43" s="106"/>
      <c r="D43" s="106"/>
      <c r="E43" s="106"/>
      <c r="F43" s="106"/>
      <c r="G43" s="106"/>
    </row>
    <row r="44" customFormat="false" ht="15" hidden="false" customHeight="true" outlineLevel="0" collapsed="false">
      <c r="B44" s="122"/>
    </row>
    <row r="45" customFormat="false" ht="17.25" hidden="false" customHeight="true" outlineLevel="0" collapsed="false">
      <c r="B45" s="106" t="s">
        <v>8370</v>
      </c>
      <c r="C45" s="106"/>
      <c r="D45" s="106"/>
      <c r="E45" s="106"/>
      <c r="F45" s="106"/>
      <c r="G45" s="106"/>
    </row>
    <row r="46" customFormat="false" ht="15" hidden="false" customHeight="true" outlineLevel="0" collapsed="false">
      <c r="B46" s="122"/>
    </row>
    <row r="47" customFormat="false" ht="16.5" hidden="false" customHeight="true" outlineLevel="0" collapsed="false">
      <c r="B47" s="122" t="s">
        <v>8371</v>
      </c>
    </row>
    <row r="48" customFormat="false" ht="10.5" hidden="false" customHeight="true" outlineLevel="0" collapsed="false">
      <c r="B48" s="106" t="s">
        <v>8372</v>
      </c>
      <c r="C48" s="106"/>
      <c r="D48" s="106"/>
      <c r="E48" s="106"/>
      <c r="F48" s="106"/>
      <c r="G48" s="106"/>
    </row>
    <row r="49" customFormat="false" ht="10.5" hidden="false" customHeight="true" outlineLevel="0" collapsed="false">
      <c r="B49" s="106"/>
      <c r="C49" s="106"/>
      <c r="D49" s="106"/>
      <c r="E49" s="106"/>
      <c r="F49" s="106"/>
      <c r="G49" s="106"/>
    </row>
    <row r="50" customFormat="false" ht="10.5" hidden="false" customHeight="true" outlineLevel="0" collapsed="false">
      <c r="B50" s="106"/>
      <c r="C50" s="106"/>
      <c r="D50" s="106"/>
      <c r="E50" s="106"/>
      <c r="F50" s="106"/>
      <c r="G50" s="106"/>
    </row>
    <row r="51" customFormat="false" ht="17.25" hidden="false" customHeight="true" outlineLevel="0" collapsed="false">
      <c r="B51" s="106" t="s">
        <v>8373</v>
      </c>
      <c r="C51" s="106"/>
      <c r="D51" s="106"/>
      <c r="E51" s="106"/>
      <c r="F51" s="106"/>
      <c r="G51" s="106"/>
    </row>
    <row r="52" customFormat="false" ht="15" hidden="false" customHeight="true" outlineLevel="0" collapsed="false">
      <c r="B52" s="122"/>
    </row>
    <row r="53" customFormat="false" ht="16.5" hidden="false" customHeight="true" outlineLevel="0" collapsed="false">
      <c r="B53" s="122" t="s">
        <v>8374</v>
      </c>
    </row>
    <row r="54" customFormat="false" ht="10.5" hidden="false" customHeight="true" outlineLevel="0" collapsed="false">
      <c r="B54" s="106" t="s">
        <v>8375</v>
      </c>
      <c r="C54" s="106"/>
      <c r="D54" s="106"/>
      <c r="E54" s="106"/>
      <c r="F54" s="106"/>
      <c r="G54" s="106"/>
    </row>
    <row r="55" customFormat="false" ht="10.5" hidden="false" customHeight="true" outlineLevel="0" collapsed="false">
      <c r="B55" s="106"/>
      <c r="C55" s="106"/>
      <c r="D55" s="106"/>
      <c r="E55" s="106"/>
      <c r="F55" s="106"/>
      <c r="G55" s="106"/>
    </row>
    <row r="56" customFormat="false" ht="10.5" hidden="false" customHeight="true" outlineLevel="0" collapsed="false">
      <c r="B56" s="106"/>
      <c r="C56" s="106"/>
      <c r="D56" s="106"/>
      <c r="E56" s="106"/>
      <c r="F56" s="106"/>
      <c r="G56" s="106"/>
    </row>
    <row r="58" customFormat="false" ht="15.75" hidden="false" customHeight="true" outlineLevel="0" collapsed="false">
      <c r="B58" s="103" t="s">
        <v>1437</v>
      </c>
      <c r="C58" s="8"/>
      <c r="D58" s="8"/>
      <c r="E58" s="8"/>
      <c r="F58" s="8"/>
      <c r="G58" s="8"/>
      <c r="H58" s="8"/>
      <c r="I58" s="8"/>
      <c r="J58" s="8"/>
      <c r="K58" s="8"/>
    </row>
    <row r="59" customFormat="false" ht="17.25" hidden="false" customHeight="true" outlineLevel="0" collapsed="false">
      <c r="B59" s="152" t="s">
        <v>1438</v>
      </c>
      <c r="C59" s="152" t="s">
        <v>1439</v>
      </c>
      <c r="D59" s="152" t="s">
        <v>1440</v>
      </c>
      <c r="E59" s="152"/>
      <c r="F59" s="152"/>
    </row>
    <row r="60" customFormat="false" ht="30.75" hidden="false" customHeight="true" outlineLevel="0" collapsed="false">
      <c r="B60" s="15" t="s">
        <v>2127</v>
      </c>
      <c r="C60" s="15" t="s">
        <v>8376</v>
      </c>
      <c r="D60" s="15" t="s">
        <v>8377</v>
      </c>
      <c r="E60" s="15"/>
      <c r="F60" s="15"/>
    </row>
    <row r="61" customFormat="false" ht="17.25" hidden="false" customHeight="true" outlineLevel="0" collapsed="false">
      <c r="B61" s="15" t="s">
        <v>4079</v>
      </c>
      <c r="C61" s="15" t="s">
        <v>4080</v>
      </c>
      <c r="D61" s="15" t="s">
        <v>8378</v>
      </c>
      <c r="E61" s="15"/>
      <c r="F61" s="15"/>
    </row>
    <row r="62" customFormat="false" ht="30.75" hidden="false" customHeight="true" outlineLevel="0" collapsed="false">
      <c r="B62" s="15" t="s">
        <v>3248</v>
      </c>
      <c r="C62" s="15" t="s">
        <v>8379</v>
      </c>
      <c r="D62" s="15" t="s">
        <v>8380</v>
      </c>
      <c r="E62" s="15"/>
      <c r="F62" s="15"/>
    </row>
    <row r="63" customFormat="false" ht="17.25" hidden="false" customHeight="true" outlineLevel="0" collapsed="false">
      <c r="B63" s="15" t="s">
        <v>1839</v>
      </c>
      <c r="C63" s="15" t="s">
        <v>6647</v>
      </c>
      <c r="D63" s="15" t="s">
        <v>8381</v>
      </c>
      <c r="E63" s="15"/>
      <c r="F63" s="15"/>
    </row>
    <row r="64" customFormat="false" ht="17.25" hidden="false" customHeight="true" outlineLevel="0" collapsed="false">
      <c r="B64" s="15" t="s">
        <v>8382</v>
      </c>
      <c r="C64" s="15" t="s">
        <v>7835</v>
      </c>
      <c r="D64" s="15" t="s">
        <v>8383</v>
      </c>
      <c r="E64" s="15"/>
      <c r="F64" s="15"/>
    </row>
    <row r="66" customFormat="false" ht="15.75" hidden="false" customHeight="true" outlineLevel="0" collapsed="false">
      <c r="B66" s="103" t="s">
        <v>1454</v>
      </c>
      <c r="C66" s="8"/>
      <c r="D66" s="8"/>
      <c r="E66" s="8"/>
      <c r="F66" s="8"/>
      <c r="G66" s="8"/>
      <c r="H66" s="8"/>
      <c r="I66" s="8"/>
      <c r="J66" s="8"/>
      <c r="K66" s="8"/>
    </row>
    <row r="67" customFormat="false" ht="10.5" hidden="false" customHeight="true" outlineLevel="0" collapsed="false">
      <c r="B67" s="106" t="s">
        <v>8384</v>
      </c>
      <c r="C67" s="106"/>
      <c r="D67" s="106"/>
      <c r="E67" s="106"/>
      <c r="F67" s="106"/>
      <c r="G67" s="106"/>
    </row>
    <row r="68" customFormat="false" ht="10.5" hidden="false" customHeight="true" outlineLevel="0" collapsed="false">
      <c r="B68" s="106"/>
      <c r="C68" s="106"/>
      <c r="D68" s="106"/>
      <c r="E68" s="106"/>
      <c r="F68" s="106"/>
      <c r="G68" s="106"/>
    </row>
    <row r="69" customFormat="false" ht="10.5" hidden="false" customHeight="true" outlineLevel="0" collapsed="false">
      <c r="B69" s="106"/>
      <c r="C69" s="106"/>
      <c r="D69" s="106"/>
      <c r="E69" s="106"/>
      <c r="F69" s="106"/>
      <c r="G69" s="106"/>
    </row>
    <row r="70" customFormat="false" ht="15" hidden="false" customHeight="true" outlineLevel="0" collapsed="false">
      <c r="B70" s="112" t="s">
        <v>85</v>
      </c>
      <c r="C70" s="154" t="s">
        <v>86</v>
      </c>
    </row>
    <row r="72" customFormat="false" ht="17.25" hidden="false" customHeight="true" outlineLevel="0" collapsed="false">
      <c r="B72" s="107" t="s">
        <v>8385</v>
      </c>
      <c r="C72" s="107"/>
      <c r="D72" s="107"/>
      <c r="E72" s="107"/>
      <c r="F72" s="107"/>
      <c r="G72" s="107"/>
    </row>
    <row r="73" customFormat="false" ht="28.5" hidden="false" customHeight="true" outlineLevel="0" collapsed="false">
      <c r="B73" s="182" t="s">
        <v>8386</v>
      </c>
      <c r="C73" s="182"/>
      <c r="D73" s="182"/>
      <c r="E73" s="182"/>
      <c r="F73" s="182"/>
      <c r="G73" s="182"/>
    </row>
    <row r="75" customFormat="false" ht="44.25" hidden="false" customHeight="true" outlineLevel="0" collapsed="false">
      <c r="B75" s="152" t="s">
        <v>8387</v>
      </c>
      <c r="C75" s="152" t="s">
        <v>8388</v>
      </c>
      <c r="D75" s="152" t="s">
        <v>8389</v>
      </c>
      <c r="E75" s="152" t="s">
        <v>8390</v>
      </c>
      <c r="F75" s="152" t="s">
        <v>8391</v>
      </c>
      <c r="G75" s="152" t="s">
        <v>8392</v>
      </c>
      <c r="H75" s="152" t="s">
        <v>8393</v>
      </c>
      <c r="I75" s="152" t="s">
        <v>8394</v>
      </c>
      <c r="J75" s="152" t="s">
        <v>8395</v>
      </c>
      <c r="K75" s="152"/>
    </row>
    <row r="76" customFormat="false" ht="17.25" hidden="false" customHeight="true" outlineLevel="0" collapsed="false">
      <c r="B76" s="15" t="s">
        <v>7264</v>
      </c>
      <c r="C76" s="177" t="s">
        <v>8396</v>
      </c>
      <c r="D76" s="155" t="n">
        <v>18</v>
      </c>
      <c r="E76" s="177" t="s">
        <v>8397</v>
      </c>
      <c r="F76" s="177" t="s">
        <v>8398</v>
      </c>
      <c r="G76" s="155" t="n">
        <v>18</v>
      </c>
      <c r="H76" s="161" t="n">
        <f aca="false">IF(C76="Internal",D76,0)</f>
        <v>18</v>
      </c>
      <c r="I76" s="161" t="n">
        <f aca="false">IF(F76="Internal",G76,0)</f>
        <v>0</v>
      </c>
      <c r="J76" s="161" t="n">
        <f aca="false">H76-I76</f>
        <v>18</v>
      </c>
      <c r="K76" s="161"/>
    </row>
    <row r="77" customFormat="false" ht="17.25" hidden="false" customHeight="true" outlineLevel="0" collapsed="false">
      <c r="B77" s="15" t="s">
        <v>8399</v>
      </c>
      <c r="C77" s="177" t="s">
        <v>8396</v>
      </c>
      <c r="D77" s="155" t="n">
        <v>9</v>
      </c>
      <c r="E77" s="177" t="s">
        <v>8400</v>
      </c>
      <c r="F77" s="177" t="s">
        <v>8398</v>
      </c>
      <c r="G77" s="155" t="n">
        <v>2</v>
      </c>
      <c r="H77" s="161" t="n">
        <f aca="false">IF(C77="Internal",D77,0)</f>
        <v>9</v>
      </c>
      <c r="I77" s="161" t="n">
        <f aca="false">IF(F77="Internal",G77,0)</f>
        <v>0</v>
      </c>
      <c r="J77" s="161" t="n">
        <f aca="false">H77-I77</f>
        <v>9</v>
      </c>
      <c r="K77" s="161"/>
    </row>
    <row r="78" customFormat="false" ht="17.25" hidden="false" customHeight="true" outlineLevel="0" collapsed="false">
      <c r="B78" s="15" t="s">
        <v>8401</v>
      </c>
      <c r="C78" s="177" t="s">
        <v>8396</v>
      </c>
      <c r="D78" s="155" t="n">
        <v>12</v>
      </c>
      <c r="E78" s="177" t="s">
        <v>8402</v>
      </c>
      <c r="F78" s="177" t="s">
        <v>8396</v>
      </c>
      <c r="G78" s="155" t="n">
        <v>6</v>
      </c>
      <c r="H78" s="161" t="n">
        <f aca="false">IF(C78="Internal",D78,0)</f>
        <v>12</v>
      </c>
      <c r="I78" s="161" t="n">
        <f aca="false">IF(F78="Internal",G78,0)</f>
        <v>6</v>
      </c>
      <c r="J78" s="161" t="n">
        <f aca="false">H78-I78</f>
        <v>6</v>
      </c>
      <c r="K78" s="161"/>
    </row>
    <row r="79" customFormat="false" ht="17.25" hidden="false" customHeight="true" outlineLevel="0" collapsed="false">
      <c r="B79" s="15" t="s">
        <v>8403</v>
      </c>
      <c r="C79" s="177" t="s">
        <v>8396</v>
      </c>
      <c r="D79" s="155" t="n">
        <v>16</v>
      </c>
      <c r="E79" s="177" t="s">
        <v>7272</v>
      </c>
      <c r="F79" s="177" t="s">
        <v>8396</v>
      </c>
      <c r="G79" s="155" t="n">
        <v>8</v>
      </c>
      <c r="H79" s="161" t="n">
        <f aca="false">IF(C79="Internal",D79,0)</f>
        <v>16</v>
      </c>
      <c r="I79" s="161" t="n">
        <f aca="false">IF(F79="Internal",G79,0)</f>
        <v>8</v>
      </c>
      <c r="J79" s="161" t="n">
        <f aca="false">H79-I79</f>
        <v>8</v>
      </c>
      <c r="K79" s="161"/>
    </row>
    <row r="80" customFormat="false" ht="17.25" hidden="false" customHeight="true" outlineLevel="0" collapsed="false">
      <c r="B80" s="15" t="s">
        <v>8404</v>
      </c>
      <c r="C80" s="177" t="s">
        <v>8396</v>
      </c>
      <c r="D80" s="155" t="n">
        <v>35</v>
      </c>
      <c r="E80" s="177" t="s">
        <v>8405</v>
      </c>
      <c r="F80" s="177" t="s">
        <v>8396</v>
      </c>
      <c r="G80" s="155" t="n">
        <v>20</v>
      </c>
      <c r="H80" s="161" t="n">
        <f aca="false">IF(C80="Internal",D80,0)</f>
        <v>35</v>
      </c>
      <c r="I80" s="161" t="n">
        <f aca="false">IF(F80="Internal",G80,0)</f>
        <v>20</v>
      </c>
      <c r="J80" s="161" t="n">
        <f aca="false">H80-I80</f>
        <v>15</v>
      </c>
      <c r="K80" s="161"/>
    </row>
    <row r="81" customFormat="false" ht="30.75" hidden="false" customHeight="true" outlineLevel="0" collapsed="false">
      <c r="B81" s="15" t="s">
        <v>7279</v>
      </c>
      <c r="C81" s="177" t="s">
        <v>8396</v>
      </c>
      <c r="D81" s="155" t="n">
        <v>22</v>
      </c>
      <c r="E81" s="177" t="s">
        <v>8406</v>
      </c>
      <c r="F81" s="177" t="s">
        <v>8396</v>
      </c>
      <c r="G81" s="155" t="n">
        <v>12</v>
      </c>
      <c r="H81" s="161" t="n">
        <f aca="false">IF(C81="Internal",D81,0)</f>
        <v>22</v>
      </c>
      <c r="I81" s="161" t="n">
        <f aca="false">IF(F81="Internal",G81,0)</f>
        <v>12</v>
      </c>
      <c r="J81" s="161" t="n">
        <f aca="false">H81-I81</f>
        <v>10</v>
      </c>
      <c r="K81" s="161"/>
    </row>
    <row r="82" customFormat="false" ht="30.75" hidden="false" customHeight="true" outlineLevel="0" collapsed="false">
      <c r="B82" s="15" t="s">
        <v>8407</v>
      </c>
      <c r="C82" s="177" t="s">
        <v>8396</v>
      </c>
      <c r="D82" s="155" t="n">
        <v>14</v>
      </c>
      <c r="E82" s="177" t="s">
        <v>8408</v>
      </c>
      <c r="F82" s="177" t="s">
        <v>8396</v>
      </c>
      <c r="G82" s="155" t="n">
        <v>3</v>
      </c>
      <c r="H82" s="161" t="n">
        <f aca="false">IF(C82="Internal",D82,0)</f>
        <v>14</v>
      </c>
      <c r="I82" s="161" t="n">
        <f aca="false">IF(F82="Internal",G82,0)</f>
        <v>3</v>
      </c>
      <c r="J82" s="161" t="n">
        <f aca="false">H82-I82</f>
        <v>11</v>
      </c>
      <c r="K82" s="161"/>
    </row>
    <row r="83" customFormat="false" ht="17.25" hidden="false" customHeight="true" outlineLevel="0" collapsed="false">
      <c r="B83" s="15" t="s">
        <v>8409</v>
      </c>
      <c r="C83" s="177" t="s">
        <v>8396</v>
      </c>
      <c r="D83" s="155" t="n">
        <v>15</v>
      </c>
      <c r="E83" s="177" t="s">
        <v>8410</v>
      </c>
      <c r="F83" s="177" t="s">
        <v>8398</v>
      </c>
      <c r="G83" s="155" t="n">
        <v>15</v>
      </c>
      <c r="H83" s="161" t="n">
        <f aca="false">IF(C83="Internal",D83,0)</f>
        <v>15</v>
      </c>
      <c r="I83" s="161" t="n">
        <f aca="false">IF(F83="Internal",G83,0)</f>
        <v>0</v>
      </c>
      <c r="J83" s="161" t="n">
        <f aca="false">H83-I83</f>
        <v>15</v>
      </c>
      <c r="K83" s="161"/>
    </row>
    <row r="84" customFormat="false" ht="30.75" hidden="false" customHeight="true" outlineLevel="0" collapsed="false">
      <c r="B84" s="15" t="s">
        <v>8411</v>
      </c>
      <c r="C84" s="177" t="s">
        <v>8396</v>
      </c>
      <c r="D84" s="155" t="n">
        <v>9</v>
      </c>
      <c r="E84" s="177" t="s">
        <v>8412</v>
      </c>
      <c r="F84" s="177" t="s">
        <v>8398</v>
      </c>
      <c r="G84" s="155" t="n">
        <v>9</v>
      </c>
      <c r="H84" s="161" t="n">
        <f aca="false">IF(C84="Internal",D84,0)</f>
        <v>9</v>
      </c>
      <c r="I84" s="161" t="n">
        <f aca="false">IF(F84="Internal",G84,0)</f>
        <v>0</v>
      </c>
      <c r="J84" s="161" t="n">
        <f aca="false">H84-I84</f>
        <v>9</v>
      </c>
      <c r="K84" s="161"/>
    </row>
    <row r="85" customFormat="false" ht="30.75" hidden="false" customHeight="true" outlineLevel="0" collapsed="false">
      <c r="B85" s="15" t="s">
        <v>8413</v>
      </c>
      <c r="C85" s="177" t="s">
        <v>8396</v>
      </c>
      <c r="D85" s="155" t="n">
        <v>20</v>
      </c>
      <c r="E85" s="177" t="s">
        <v>8414</v>
      </c>
      <c r="F85" s="177" t="s">
        <v>8396</v>
      </c>
      <c r="G85" s="155" t="n">
        <v>10</v>
      </c>
      <c r="H85" s="161" t="n">
        <f aca="false">IF(C85="Internal",D85,0)</f>
        <v>20</v>
      </c>
      <c r="I85" s="161" t="n">
        <f aca="false">IF(F85="Internal",G85,0)</f>
        <v>10</v>
      </c>
      <c r="J85" s="161" t="n">
        <f aca="false">H85-I85</f>
        <v>10</v>
      </c>
      <c r="K85" s="161"/>
    </row>
    <row r="86" customFormat="false" ht="30.75" hidden="false" customHeight="true" outlineLevel="0" collapsed="false">
      <c r="B86" s="15" t="s">
        <v>7290</v>
      </c>
      <c r="C86" s="177" t="s">
        <v>8396</v>
      </c>
      <c r="D86" s="155" t="n">
        <v>14</v>
      </c>
      <c r="E86" s="177" t="s">
        <v>8415</v>
      </c>
      <c r="F86" s="177" t="s">
        <v>8396</v>
      </c>
      <c r="G86" s="155" t="n">
        <v>0</v>
      </c>
      <c r="H86" s="161" t="n">
        <f aca="false">IF(C86="Internal",D86,0)</f>
        <v>14</v>
      </c>
      <c r="I86" s="161" t="n">
        <f aca="false">IF(F86="Internal",G86,0)</f>
        <v>0</v>
      </c>
      <c r="J86" s="161" t="n">
        <f aca="false">H86-I86</f>
        <v>14</v>
      </c>
      <c r="K86" s="161"/>
    </row>
    <row r="87" customFormat="false" ht="17.25" hidden="false" customHeight="true" outlineLevel="0" collapsed="false">
      <c r="B87" s="15" t="s">
        <v>8416</v>
      </c>
      <c r="C87" s="177" t="s">
        <v>8396</v>
      </c>
      <c r="D87" s="155" t="n">
        <v>11</v>
      </c>
      <c r="E87" s="177" t="s">
        <v>8417</v>
      </c>
      <c r="F87" s="177" t="s">
        <v>8398</v>
      </c>
      <c r="G87" s="155" t="n">
        <v>11</v>
      </c>
      <c r="H87" s="161" t="n">
        <f aca="false">IF(C87="Internal",D87,0)</f>
        <v>11</v>
      </c>
      <c r="I87" s="161" t="n">
        <f aca="false">IF(F87="Internal",G87,0)</f>
        <v>0</v>
      </c>
      <c r="J87" s="161" t="n">
        <f aca="false">H87-I87</f>
        <v>11</v>
      </c>
      <c r="K87" s="161"/>
    </row>
    <row r="89" customFormat="false" ht="15" hidden="false" customHeight="true" outlineLevel="0" collapsed="false">
      <c r="B89" s="105" t="s">
        <v>8418</v>
      </c>
    </row>
    <row r="90" customFormat="false" ht="16.5" hidden="false" customHeight="true" outlineLevel="0" collapsed="false">
      <c r="B90" s="152" t="s">
        <v>1929</v>
      </c>
      <c r="C90" s="152" t="s">
        <v>7161</v>
      </c>
      <c r="D90" s="152" t="s">
        <v>7162</v>
      </c>
      <c r="E90" s="152" t="s">
        <v>53</v>
      </c>
      <c r="F90" s="152" t="s">
        <v>6575</v>
      </c>
    </row>
    <row r="91" customFormat="false" ht="16.5" hidden="false" customHeight="true" outlineLevel="0" collapsed="false">
      <c r="B91" s="15" t="s">
        <v>8419</v>
      </c>
      <c r="C91" s="161" t="n">
        <f aca="false">SUM(H76:H87)</f>
        <v>195</v>
      </c>
      <c r="D91" s="161" t="n">
        <f aca="false">SUM(I76:I87)</f>
        <v>59</v>
      </c>
      <c r="E91" s="160" t="n">
        <f aca="false">IFERROR((C91-D91)/C91,0)</f>
        <v>0.697435897435897</v>
      </c>
      <c r="F91" s="15" t="s">
        <v>6816</v>
      </c>
    </row>
    <row r="92" customFormat="false" ht="16.5" hidden="false" customHeight="true" outlineLevel="0" collapsed="false">
      <c r="B92" s="15" t="s">
        <v>8420</v>
      </c>
      <c r="C92" s="161" t="n">
        <f aca="false">SUM(D76:D87)-C91</f>
        <v>0</v>
      </c>
      <c r="D92" s="161" t="n">
        <f aca="false">SUM(G76:G87)-D91</f>
        <v>55</v>
      </c>
      <c r="E92" s="15" t="s">
        <v>6909</v>
      </c>
      <c r="F92" s="15" t="s">
        <v>6816</v>
      </c>
    </row>
    <row r="93" customFormat="false" ht="16.5" hidden="false" customHeight="true" outlineLevel="0" collapsed="false">
      <c r="B93" s="15" t="s">
        <v>7750</v>
      </c>
      <c r="C93" s="161" t="n">
        <f aca="false">SUM(D76:D87)</f>
        <v>195</v>
      </c>
      <c r="D93" s="161" t="n">
        <f aca="false">SUM(G76:G87)</f>
        <v>114</v>
      </c>
      <c r="E93" s="160" t="n">
        <f aca="false">IFERROR((C93-D93)/C93,0)</f>
        <v>0.415384615384615</v>
      </c>
      <c r="F93" s="15" t="s">
        <v>6816</v>
      </c>
    </row>
    <row r="94" customFormat="false" ht="16.5" hidden="false" customHeight="true" outlineLevel="0" collapsed="false">
      <c r="B94" s="15" t="s">
        <v>8421</v>
      </c>
      <c r="C94" s="15" t="s">
        <v>6909</v>
      </c>
      <c r="D94" s="167" t="str">
        <f aca="false">IF(D91&lt;10,"YES — under 10 minutes","NO — "&amp;TEXT(D91,"0")&amp;" min")</f>
        <v>NO — 59 min</v>
      </c>
      <c r="E94" s="15" t="s">
        <v>6909</v>
      </c>
      <c r="F94" s="15"/>
    </row>
    <row r="96" customFormat="false" ht="17.25" hidden="false" customHeight="true" outlineLevel="0" collapsed="false">
      <c r="B96" s="107" t="s">
        <v>8422</v>
      </c>
      <c r="C96" s="107"/>
      <c r="D96" s="107"/>
      <c r="E96" s="107"/>
      <c r="F96" s="107"/>
      <c r="G96" s="107"/>
    </row>
    <row r="97" customFormat="false" ht="16.5" hidden="false" customHeight="true" outlineLevel="0" collapsed="false">
      <c r="B97" s="152" t="s">
        <v>8423</v>
      </c>
      <c r="C97" s="152" t="s">
        <v>6654</v>
      </c>
      <c r="D97" s="152" t="s">
        <v>6575</v>
      </c>
      <c r="E97" s="152" t="s">
        <v>6655</v>
      </c>
    </row>
    <row r="98" customFormat="false" ht="16.5" hidden="false" customHeight="true" outlineLevel="0" collapsed="false">
      <c r="B98" s="15" t="s">
        <v>8424</v>
      </c>
      <c r="C98" s="155" t="n">
        <v>11</v>
      </c>
      <c r="D98" s="15" t="s">
        <v>8425</v>
      </c>
      <c r="E98" s="15" t="s">
        <v>8426</v>
      </c>
    </row>
    <row r="99" customFormat="false" ht="16.5" hidden="false" customHeight="true" outlineLevel="0" collapsed="false">
      <c r="B99" s="15" t="s">
        <v>8427</v>
      </c>
      <c r="C99" s="155" t="n">
        <v>52</v>
      </c>
      <c r="D99" s="15" t="s">
        <v>8428</v>
      </c>
      <c r="E99" s="15"/>
    </row>
    <row r="100" customFormat="false" ht="16.5" hidden="false" customHeight="true" outlineLevel="0" collapsed="false">
      <c r="B100" s="15" t="s">
        <v>8429</v>
      </c>
      <c r="C100" s="173" t="n">
        <v>18000</v>
      </c>
      <c r="D100" s="15" t="s">
        <v>7389</v>
      </c>
      <c r="E100" s="15" t="s">
        <v>8430</v>
      </c>
    </row>
    <row r="101" customFormat="false" ht="16.5" hidden="false" customHeight="true" outlineLevel="0" collapsed="false">
      <c r="B101" s="15" t="s">
        <v>8431</v>
      </c>
      <c r="C101" s="181" t="n">
        <v>0.11</v>
      </c>
      <c r="D101" s="15" t="s">
        <v>7609</v>
      </c>
      <c r="E101" s="15" t="s">
        <v>8432</v>
      </c>
    </row>
    <row r="102" customFormat="false" ht="30.75" hidden="false" customHeight="true" outlineLevel="0" collapsed="false">
      <c r="B102" s="15" t="s">
        <v>8433</v>
      </c>
      <c r="C102" s="161" t="n">
        <f aca="false">C91-D91</f>
        <v>136</v>
      </c>
      <c r="D102" s="15" t="s">
        <v>6816</v>
      </c>
      <c r="E102" s="15" t="s">
        <v>8434</v>
      </c>
    </row>
    <row r="103" customFormat="false" ht="16.5" hidden="false" customHeight="true" outlineLevel="0" collapsed="false">
      <c r="B103" s="15" t="s">
        <v>8435</v>
      </c>
      <c r="C103" s="159" t="n">
        <f aca="false">IFERROR(C102*C98*C99/60,0)</f>
        <v>1296.53333333333</v>
      </c>
      <c r="D103" s="15" t="s">
        <v>7612</v>
      </c>
      <c r="E103" s="15" t="s">
        <v>8436</v>
      </c>
    </row>
    <row r="104" customFormat="false" ht="30.75" hidden="false" customHeight="true" outlineLevel="0" collapsed="false">
      <c r="B104" s="15" t="s">
        <v>7638</v>
      </c>
      <c r="C104" s="159" t="n">
        <f aca="false">IFERROR(C103*C100,0)</f>
        <v>23337600</v>
      </c>
      <c r="D104" s="15" t="s">
        <v>6798</v>
      </c>
      <c r="E104" s="15" t="s">
        <v>8437</v>
      </c>
    </row>
    <row r="105" customFormat="false" ht="30.75" hidden="false" customHeight="true" outlineLevel="0" collapsed="false">
      <c r="B105" s="15" t="s">
        <v>8438</v>
      </c>
      <c r="C105" s="159" t="n">
        <f aca="false">IFERROR(C104*C101,0)</f>
        <v>2567136</v>
      </c>
      <c r="D105" s="15" t="s">
        <v>7171</v>
      </c>
      <c r="E105" s="15" t="s">
        <v>8439</v>
      </c>
    </row>
    <row r="106" customFormat="false" ht="16.5" hidden="false" customHeight="true" outlineLevel="0" collapsed="false">
      <c r="B106" s="15" t="s">
        <v>8440</v>
      </c>
      <c r="C106" s="173" t="n">
        <v>0</v>
      </c>
      <c r="D106" s="15" t="s">
        <v>6798</v>
      </c>
      <c r="E106" s="15" t="s">
        <v>8441</v>
      </c>
    </row>
    <row r="108" customFormat="false" ht="15" hidden="false" customHeight="true" outlineLevel="0" collapsed="false">
      <c r="B108" s="105" t="s">
        <v>8442</v>
      </c>
    </row>
    <row r="109" customFormat="false" ht="16.5" hidden="false" customHeight="true" outlineLevel="0" collapsed="false">
      <c r="B109" s="152" t="s">
        <v>8443</v>
      </c>
      <c r="C109" s="152" t="s">
        <v>8444</v>
      </c>
      <c r="D109" s="152" t="s">
        <v>8445</v>
      </c>
      <c r="E109" s="152" t="s">
        <v>8446</v>
      </c>
    </row>
    <row r="110" customFormat="false" ht="58.5" hidden="false" customHeight="true" outlineLevel="0" collapsed="false">
      <c r="B110" s="15" t="s">
        <v>8447</v>
      </c>
      <c r="C110" s="15" t="s">
        <v>8448</v>
      </c>
      <c r="D110" s="15" t="s">
        <v>8449</v>
      </c>
      <c r="E110" s="15" t="s">
        <v>8450</v>
      </c>
    </row>
    <row r="111" customFormat="false" ht="30.75" hidden="false" customHeight="true" outlineLevel="0" collapsed="false">
      <c r="B111" s="15" t="s">
        <v>8451</v>
      </c>
      <c r="C111" s="15" t="s">
        <v>8452</v>
      </c>
      <c r="D111" s="15" t="s">
        <v>8453</v>
      </c>
      <c r="E111" s="15" t="s">
        <v>8454</v>
      </c>
    </row>
    <row r="112" customFormat="false" ht="44.25" hidden="false" customHeight="true" outlineLevel="0" collapsed="false">
      <c r="B112" s="15" t="s">
        <v>8455</v>
      </c>
      <c r="C112" s="15" t="s">
        <v>8456</v>
      </c>
      <c r="D112" s="15" t="s">
        <v>8457</v>
      </c>
      <c r="E112" s="15" t="s">
        <v>8458</v>
      </c>
    </row>
    <row r="113" customFormat="false" ht="28.5" hidden="false" customHeight="true" outlineLevel="0" collapsed="false">
      <c r="B113" s="182" t="s">
        <v>8459</v>
      </c>
      <c r="C113" s="182"/>
      <c r="D113" s="182"/>
      <c r="E113" s="182"/>
      <c r="F113" s="182"/>
      <c r="G113" s="182"/>
    </row>
    <row r="115" customFormat="false" ht="15.75" hidden="false" customHeight="true" outlineLevel="0" collapsed="false">
      <c r="B115" s="103" t="s">
        <v>1493</v>
      </c>
      <c r="C115" s="8"/>
      <c r="D115" s="8"/>
      <c r="E115" s="8"/>
      <c r="F115" s="8"/>
      <c r="G115" s="8"/>
      <c r="H115" s="8"/>
      <c r="I115" s="8"/>
      <c r="J115" s="8"/>
      <c r="K115" s="8"/>
    </row>
    <row r="116" customFormat="false" ht="49.5" hidden="false" customHeight="true" outlineLevel="0" collapsed="false">
      <c r="B116" s="105" t="s">
        <v>1494</v>
      </c>
      <c r="C116" s="168" t="str">
        <f aca="false">"Internal changeover time falls from "&amp;TEXT(C91,"0")&amp;" min to "&amp;TEXT(D91,"0")&amp;" min, a "&amp;TEXT(E91,"0.0%")&amp;" reduction, recovering "&amp;TEXT(C103,"#,##0")&amp;" hours a year worth up to "&amp;TEXT(C105,"#,##0")&amp;" USD. "&amp;IF(D91&lt;10,"Single-digit changeover achieved: now standardise it (L-14) and audit it, or the time will come back.",IF(D91&lt;C91*0.5,"More than half the internal time removed — a normal result for a first SMED workshop. Repeat the exercise on the remaining internal elements.","Less than half removed: check whether stage 1 was really completed before any money was spent on stage 3."))</f>
        <v>Internal changeover time falls from 195 min to 59 min, a 69.7% reduction, recovering 1,297 hours a year worth up to 2,567,136 USD. More than half the internal time removed — a normal result for a first SMED workshop. Repeat the exercise on the remaining internal elements.</v>
      </c>
      <c r="D116" s="168"/>
      <c r="E116" s="168"/>
      <c r="F116" s="168"/>
      <c r="G116" s="168"/>
    </row>
    <row r="118" customFormat="false" ht="17.25" hidden="false" customHeight="true" outlineLevel="0" collapsed="false">
      <c r="B118" s="152" t="s">
        <v>1495</v>
      </c>
      <c r="C118" s="152" t="s">
        <v>1496</v>
      </c>
      <c r="D118" s="152" t="s">
        <v>1497</v>
      </c>
      <c r="E118" s="152"/>
    </row>
    <row r="119" customFormat="false" ht="30.75" hidden="false" customHeight="true" outlineLevel="0" collapsed="false">
      <c r="B119" s="15" t="s">
        <v>8460</v>
      </c>
      <c r="C119" s="15" t="s">
        <v>8461</v>
      </c>
      <c r="D119" s="15" t="s">
        <v>8462</v>
      </c>
      <c r="E119" s="15"/>
    </row>
    <row r="120" customFormat="false" ht="30.75" hidden="false" customHeight="true" outlineLevel="0" collapsed="false">
      <c r="B120" s="15" t="s">
        <v>8463</v>
      </c>
      <c r="C120" s="15" t="s">
        <v>8464</v>
      </c>
      <c r="D120" s="15" t="s">
        <v>8465</v>
      </c>
      <c r="E120" s="15"/>
    </row>
    <row r="121" customFormat="false" ht="17.25" hidden="false" customHeight="true" outlineLevel="0" collapsed="false">
      <c r="B121" s="15" t="s">
        <v>8466</v>
      </c>
      <c r="C121" s="15" t="s">
        <v>8467</v>
      </c>
      <c r="D121" s="15" t="s">
        <v>8468</v>
      </c>
      <c r="E121" s="15"/>
    </row>
    <row r="122" customFormat="false" ht="31.5" hidden="false" customHeight="true" outlineLevel="0" collapsed="false">
      <c r="B122" s="15" t="s">
        <v>8469</v>
      </c>
      <c r="C122" s="15" t="s">
        <v>8470</v>
      </c>
      <c r="D122" s="15" t="s">
        <v>8471</v>
      </c>
      <c r="E122" s="15"/>
    </row>
    <row r="124" customFormat="false" ht="15" hidden="false" customHeight="true" outlineLevel="0" collapsed="false">
      <c r="B124" s="105" t="s">
        <v>1507</v>
      </c>
    </row>
    <row r="125" customFormat="false" ht="17.25" hidden="false" customHeight="true" outlineLevel="0" collapsed="false">
      <c r="B125" s="106" t="s">
        <v>8472</v>
      </c>
      <c r="C125" s="106"/>
      <c r="D125" s="106"/>
      <c r="E125" s="106"/>
      <c r="F125" s="106"/>
      <c r="G125" s="106"/>
    </row>
    <row r="126" customFormat="false" ht="17.25" hidden="false" customHeight="true" outlineLevel="0" collapsed="false">
      <c r="B126" s="106" t="s">
        <v>8473</v>
      </c>
      <c r="C126" s="106"/>
      <c r="D126" s="106"/>
      <c r="E126" s="106"/>
      <c r="F126" s="106"/>
      <c r="G126" s="106"/>
    </row>
    <row r="127" customFormat="false" ht="17.25" hidden="false" customHeight="true" outlineLevel="0" collapsed="false">
      <c r="B127" s="106" t="s">
        <v>8474</v>
      </c>
      <c r="C127" s="106"/>
      <c r="D127" s="106"/>
      <c r="E127" s="106"/>
      <c r="F127" s="106"/>
      <c r="G127" s="106"/>
    </row>
    <row r="128" customFormat="false" ht="17.25" hidden="false" customHeight="true" outlineLevel="0" collapsed="false">
      <c r="B128" s="106" t="s">
        <v>8475</v>
      </c>
      <c r="C128" s="106"/>
      <c r="D128" s="106"/>
      <c r="E128" s="106"/>
      <c r="F128" s="106"/>
      <c r="G128" s="106"/>
    </row>
    <row r="129" customFormat="false" ht="17.25" hidden="false" customHeight="true" outlineLevel="0" collapsed="false">
      <c r="B129" s="106" t="s">
        <v>8476</v>
      </c>
      <c r="C129" s="106"/>
      <c r="D129" s="106"/>
      <c r="E129" s="106"/>
      <c r="F129" s="106"/>
      <c r="G129" s="106"/>
    </row>
    <row r="130" customFormat="false" ht="17.25" hidden="false" customHeight="true" outlineLevel="0" collapsed="false">
      <c r="B130" s="106" t="s">
        <v>8477</v>
      </c>
      <c r="C130" s="106"/>
      <c r="D130" s="106"/>
      <c r="E130" s="106"/>
      <c r="F130" s="106"/>
      <c r="G130" s="106"/>
    </row>
    <row r="132" customFormat="false" ht="15.75" hidden="false" customHeight="true" outlineLevel="0" collapsed="false">
      <c r="B132" s="103" t="s">
        <v>1513</v>
      </c>
      <c r="C132" s="8"/>
      <c r="D132" s="8"/>
      <c r="E132" s="8"/>
      <c r="F132" s="8"/>
      <c r="G132" s="8"/>
      <c r="H132" s="8"/>
      <c r="I132" s="8"/>
      <c r="J132" s="8"/>
      <c r="K132" s="8"/>
    </row>
    <row r="133" customFormat="false" ht="17.25" hidden="false" customHeight="true" outlineLevel="0" collapsed="false">
      <c r="B133" s="106" t="s">
        <v>6712</v>
      </c>
      <c r="C133" s="106"/>
      <c r="D133" s="106"/>
      <c r="E133" s="106"/>
      <c r="F133" s="106"/>
      <c r="N133" s="169" t="s">
        <v>1515</v>
      </c>
    </row>
    <row r="134" customFormat="false" ht="44.25" hidden="false" customHeight="true" outlineLevel="0" collapsed="false">
      <c r="B134" s="106" t="s">
        <v>8478</v>
      </c>
      <c r="C134" s="106"/>
      <c r="D134" s="106"/>
      <c r="E134" s="106"/>
      <c r="F134" s="106"/>
      <c r="N134" s="120" t="s">
        <v>8479</v>
      </c>
    </row>
    <row r="135" customFormat="false" ht="44.25" hidden="false" customHeight="true" outlineLevel="0" collapsed="false">
      <c r="B135" s="106" t="s">
        <v>8480</v>
      </c>
      <c r="C135" s="106"/>
      <c r="D135" s="106"/>
      <c r="E135" s="106"/>
      <c r="F135" s="106"/>
      <c r="N135" s="120" t="s">
        <v>8481</v>
      </c>
    </row>
    <row r="136" customFormat="false" ht="44.25" hidden="false" customHeight="true" outlineLevel="0" collapsed="false">
      <c r="B136" s="106" t="s">
        <v>8482</v>
      </c>
      <c r="C136" s="106"/>
      <c r="D136" s="106"/>
      <c r="E136" s="106"/>
      <c r="F136" s="106"/>
      <c r="N136" s="120" t="s">
        <v>8483</v>
      </c>
    </row>
    <row r="138" customFormat="false" ht="15.75" hidden="false" customHeight="true" outlineLevel="0" collapsed="false">
      <c r="B138" s="103" t="s">
        <v>1522</v>
      </c>
      <c r="C138" s="8"/>
      <c r="D138" s="8"/>
      <c r="E138" s="8"/>
      <c r="F138" s="8"/>
      <c r="G138" s="8"/>
      <c r="H138" s="8"/>
      <c r="I138" s="8"/>
      <c r="J138" s="8"/>
      <c r="K138" s="8"/>
    </row>
    <row r="139" customFormat="false" ht="17.25" hidden="false" customHeight="true" outlineLevel="0" collapsed="false">
      <c r="B139" s="152" t="s">
        <v>1523</v>
      </c>
      <c r="C139" s="152" t="s">
        <v>1524</v>
      </c>
      <c r="D139" s="152" t="s">
        <v>6719</v>
      </c>
      <c r="E139" s="152"/>
    </row>
    <row r="140" customFormat="false" ht="30.75" hidden="false" customHeight="true" outlineLevel="0" collapsed="false">
      <c r="B140" s="170" t="s">
        <v>1089</v>
      </c>
      <c r="C140" s="170" t="s">
        <v>6744</v>
      </c>
      <c r="D140" s="171" t="s">
        <v>1157</v>
      </c>
      <c r="E140" s="171"/>
    </row>
  </sheetData>
  <mergeCells count="67">
    <mergeCell ref="B2:J2"/>
    <mergeCell ref="D3:G3"/>
    <mergeCell ref="C6:E6"/>
    <mergeCell ref="C7:E7"/>
    <mergeCell ref="C8:E8"/>
    <mergeCell ref="B11:G11"/>
    <mergeCell ref="B12:G12"/>
    <mergeCell ref="B13:G16"/>
    <mergeCell ref="B17:G20"/>
    <mergeCell ref="B21:G23"/>
    <mergeCell ref="B24:G26"/>
    <mergeCell ref="B29:D29"/>
    <mergeCell ref="E29:F29"/>
    <mergeCell ref="B30:D30"/>
    <mergeCell ref="E30:F30"/>
    <mergeCell ref="B31:D31"/>
    <mergeCell ref="E31:F31"/>
    <mergeCell ref="B32:D32"/>
    <mergeCell ref="E32:F32"/>
    <mergeCell ref="B33:G33"/>
    <mergeCell ref="B42:G43"/>
    <mergeCell ref="B45:G45"/>
    <mergeCell ref="B48:G50"/>
    <mergeCell ref="B51:G51"/>
    <mergeCell ref="B54:G56"/>
    <mergeCell ref="D59:F59"/>
    <mergeCell ref="D60:F60"/>
    <mergeCell ref="D61:F61"/>
    <mergeCell ref="D62:F62"/>
    <mergeCell ref="D63:F63"/>
    <mergeCell ref="D64:F64"/>
    <mergeCell ref="B67:G69"/>
    <mergeCell ref="B72:G72"/>
    <mergeCell ref="B73:G73"/>
    <mergeCell ref="J75:K75"/>
    <mergeCell ref="J76:K76"/>
    <mergeCell ref="J77:K77"/>
    <mergeCell ref="J78:K78"/>
    <mergeCell ref="J79:K79"/>
    <mergeCell ref="J80:K80"/>
    <mergeCell ref="J81:K81"/>
    <mergeCell ref="J82:K82"/>
    <mergeCell ref="J83:K83"/>
    <mergeCell ref="J84:K84"/>
    <mergeCell ref="J85:K85"/>
    <mergeCell ref="J86:K86"/>
    <mergeCell ref="J87:K87"/>
    <mergeCell ref="B96:G96"/>
    <mergeCell ref="B113:G113"/>
    <mergeCell ref="C116:G116"/>
    <mergeCell ref="D118:E118"/>
    <mergeCell ref="D119:E119"/>
    <mergeCell ref="D120:E120"/>
    <mergeCell ref="D121:E121"/>
    <mergeCell ref="D122:E122"/>
    <mergeCell ref="B125:G125"/>
    <mergeCell ref="B126:G126"/>
    <mergeCell ref="B127:G127"/>
    <mergeCell ref="B128:G128"/>
    <mergeCell ref="B129:G129"/>
    <mergeCell ref="B130:G130"/>
    <mergeCell ref="B133:F133"/>
    <mergeCell ref="B134:F134"/>
    <mergeCell ref="B135:F135"/>
    <mergeCell ref="B136:F136"/>
    <mergeCell ref="D139:E139"/>
    <mergeCell ref="D140:E140"/>
  </mergeCells>
  <hyperlinks>
    <hyperlink ref="B3" location="'N-03 Index DMAIC'!A1" display="← Back to Index"/>
    <hyperlink ref="E36" location="'L-04 Process Mapping'!A1" display="L-04  Process Mapping"/>
    <hyperlink ref="E37" location="'L-06 Value Added Analysis'!A1" display="L-06  Value-Added Analysis"/>
    <hyperlink ref="E38" location="'G-09 Benefit Validation'!A1" display="G-09  Benefit Validation"/>
    <hyperlink ref="E39" location="'L-14 Standard Work'!A1" display="L-14  Standard Work"/>
    <hyperlink ref="B140" location="'L-11 OEE'!A1" display="L-11  Overall Equipment Effectiveness"/>
    <hyperlink ref="C140" location="'L-14 Standard Work'!A1" display="L-14  Standard Work"/>
    <hyperlink ref="D140" location="'L-19 Kanban Pull Systems'!A1" display="L-19  Pull Systems and Kanb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5"/>
    <col collapsed="false" customWidth="true" hidden="false" outlineLevel="0" max="4" min="4" style="1" width="42"/>
    <col collapsed="false" customWidth="true" hidden="false" outlineLevel="0" max="5" min="5" style="1" width="15"/>
    <col collapsed="false" customWidth="true" hidden="false" outlineLevel="0" max="6" min="6" style="1" width="16"/>
    <col collapsed="false" customWidth="true" hidden="false" outlineLevel="0" max="7" min="7" style="1" width="30"/>
    <col collapsed="false" customWidth="true" hidden="false" outlineLevel="0" max="10" min="8"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8484</v>
      </c>
      <c r="C2" s="148"/>
      <c r="D2" s="148"/>
      <c r="E2" s="148"/>
      <c r="F2" s="148"/>
      <c r="G2" s="148"/>
      <c r="H2" s="148"/>
      <c r="I2" s="148"/>
      <c r="J2" s="148"/>
      <c r="K2" s="179" t="s">
        <v>5137</v>
      </c>
    </row>
    <row r="3" customFormat="false" ht="42" hidden="false" customHeight="true" outlineLevel="0" collapsed="false">
      <c r="B3" s="150" t="s">
        <v>3</v>
      </c>
      <c r="D3" s="151" t="s">
        <v>8485</v>
      </c>
      <c r="E3" s="151"/>
      <c r="F3" s="151"/>
      <c r="G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8486</v>
      </c>
      <c r="D6" s="106"/>
      <c r="E6" s="106"/>
      <c r="F6" s="106"/>
      <c r="G6" s="106"/>
    </row>
    <row r="7" customFormat="false" ht="17.25" hidden="false" customHeight="true" outlineLevel="0" collapsed="false">
      <c r="B7" s="105" t="s">
        <v>1394</v>
      </c>
      <c r="C7" s="106" t="s">
        <v>8487</v>
      </c>
      <c r="D7" s="106"/>
      <c r="E7" s="106"/>
      <c r="F7" s="106"/>
      <c r="G7" s="106"/>
    </row>
    <row r="8" customFormat="false" ht="17.25" hidden="false" customHeight="true" outlineLevel="0" collapsed="false">
      <c r="B8" s="105" t="s">
        <v>1396</v>
      </c>
      <c r="C8" s="106" t="s">
        <v>8488</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8489</v>
      </c>
      <c r="C11" s="106"/>
      <c r="D11" s="106"/>
      <c r="E11" s="106"/>
      <c r="F11" s="106"/>
      <c r="G11" s="106"/>
    </row>
    <row r="12" customFormat="false" ht="10.5" hidden="false" customHeight="true" outlineLevel="0" collapsed="false">
      <c r="B12" s="106"/>
      <c r="C12" s="106"/>
      <c r="D12" s="106"/>
      <c r="E12" s="106"/>
      <c r="F12" s="106"/>
      <c r="G12" s="106"/>
    </row>
    <row r="13" customFormat="false" ht="10.5" hidden="false" customHeight="true" outlineLevel="0" collapsed="false">
      <c r="B13" s="106"/>
      <c r="C13" s="106"/>
      <c r="D13" s="106"/>
      <c r="E13" s="106"/>
      <c r="F13" s="106"/>
      <c r="G13" s="106"/>
    </row>
    <row r="14" customFormat="false" ht="11.25" hidden="false" customHeight="true" outlineLevel="0" collapsed="false">
      <c r="B14" s="106" t="s">
        <v>8490</v>
      </c>
      <c r="C14" s="106"/>
      <c r="D14" s="106"/>
      <c r="E14" s="106"/>
      <c r="F14" s="106"/>
      <c r="G14" s="106"/>
    </row>
    <row r="15" customFormat="false" ht="11.25" hidden="false" customHeight="true" outlineLevel="0" collapsed="false">
      <c r="B15" s="106"/>
      <c r="C15" s="106"/>
      <c r="D15" s="106"/>
      <c r="E15" s="106"/>
      <c r="F15" s="106"/>
      <c r="G15" s="106"/>
    </row>
    <row r="16" customFormat="false" ht="11.25" hidden="false" customHeight="true" outlineLevel="0" collapsed="false">
      <c r="B16" s="106"/>
      <c r="C16" s="106"/>
      <c r="D16" s="106"/>
      <c r="E16" s="106"/>
      <c r="F16" s="106"/>
      <c r="G16" s="106"/>
    </row>
    <row r="17" customFormat="false" ht="11.25" hidden="false" customHeight="true" outlineLevel="0" collapsed="false">
      <c r="B17" s="106"/>
      <c r="C17" s="106"/>
      <c r="D17" s="106"/>
      <c r="E17" s="106"/>
      <c r="F17" s="106"/>
      <c r="G17" s="106"/>
    </row>
    <row r="18" customFormat="false" ht="15.75" hidden="false" customHeight="true" outlineLevel="0" collapsed="false">
      <c r="B18" s="106" t="s">
        <v>8491</v>
      </c>
      <c r="C18" s="106"/>
      <c r="D18" s="106"/>
      <c r="E18" s="106"/>
      <c r="F18" s="106"/>
      <c r="G18" s="106"/>
    </row>
    <row r="19" customFormat="false" ht="15.75" hidden="false" customHeight="true" outlineLevel="0" collapsed="false">
      <c r="B19" s="106"/>
      <c r="C19" s="106"/>
      <c r="D19" s="106"/>
      <c r="E19" s="106"/>
      <c r="F19" s="106"/>
      <c r="G19" s="106"/>
    </row>
    <row r="20" customFormat="false" ht="8.25" hidden="false" customHeight="true" outlineLevel="0" collapsed="false">
      <c r="B20" s="106" t="s">
        <v>8492</v>
      </c>
      <c r="C20" s="106"/>
      <c r="D20" s="106"/>
      <c r="E20" s="106"/>
      <c r="F20" s="106"/>
      <c r="G20" s="106"/>
    </row>
    <row r="21" customFormat="false" ht="8.25" hidden="false" customHeight="true" outlineLevel="0" collapsed="false">
      <c r="B21" s="106"/>
      <c r="C21" s="106"/>
      <c r="D21" s="106"/>
      <c r="E21" s="106"/>
      <c r="F21" s="106"/>
      <c r="G21" s="106"/>
    </row>
    <row r="22" customFormat="false" ht="10.5" hidden="false" customHeight="true" outlineLevel="0" collapsed="false">
      <c r="B22" s="106" t="s">
        <v>8493</v>
      </c>
      <c r="C22" s="106"/>
      <c r="D22" s="106"/>
      <c r="E22" s="106"/>
      <c r="F22" s="106"/>
      <c r="G22" s="106"/>
    </row>
    <row r="23" customFormat="false" ht="10.5" hidden="false" customHeight="true" outlineLevel="0" collapsed="false">
      <c r="B23" s="106"/>
      <c r="C23" s="106"/>
      <c r="D23" s="106"/>
      <c r="E23" s="106"/>
      <c r="F23" s="106"/>
      <c r="G23" s="106"/>
    </row>
    <row r="24" customFormat="false" ht="10.5" hidden="false" customHeight="true" outlineLevel="0" collapsed="false">
      <c r="B24" s="106"/>
      <c r="C24" s="106"/>
      <c r="D24" s="106"/>
      <c r="E24" s="106"/>
      <c r="F24" s="106"/>
      <c r="G24" s="106"/>
    </row>
    <row r="25" customFormat="false" ht="8.25" hidden="false" customHeight="true" outlineLevel="0" collapsed="false">
      <c r="B25" s="106" t="s">
        <v>8494</v>
      </c>
      <c r="C25" s="106"/>
      <c r="D25" s="106"/>
      <c r="E25" s="106"/>
      <c r="F25" s="106"/>
      <c r="G25" s="106"/>
    </row>
    <row r="26" customFormat="false" ht="8.25" hidden="false" customHeight="true" outlineLevel="0" collapsed="false">
      <c r="B26" s="106"/>
      <c r="C26" s="106"/>
      <c r="D26" s="106"/>
      <c r="E26" s="106"/>
      <c r="F26" s="106"/>
      <c r="G26" s="106"/>
    </row>
    <row r="28" customFormat="false" ht="15.75" hidden="false" customHeight="true" outlineLevel="0" collapsed="false">
      <c r="B28" s="103" t="s">
        <v>1406</v>
      </c>
      <c r="C28" s="8"/>
      <c r="D28" s="8"/>
      <c r="E28" s="8"/>
      <c r="F28" s="8"/>
      <c r="G28" s="8"/>
      <c r="H28" s="8"/>
      <c r="I28" s="8"/>
      <c r="J28" s="8"/>
      <c r="K28" s="8"/>
    </row>
    <row r="29" customFormat="false" ht="17.25" hidden="false" customHeight="true" outlineLevel="0" collapsed="false">
      <c r="B29" s="107" t="s">
        <v>1407</v>
      </c>
      <c r="C29" s="107"/>
      <c r="D29" s="107"/>
      <c r="E29" s="107" t="s">
        <v>1408</v>
      </c>
      <c r="F29" s="107"/>
      <c r="G29" s="107"/>
    </row>
    <row r="30" customFormat="false" ht="17.25" hidden="false" customHeight="true" outlineLevel="0" collapsed="false">
      <c r="B30" s="106" t="s">
        <v>8495</v>
      </c>
      <c r="C30" s="106"/>
      <c r="D30" s="106"/>
      <c r="E30" s="106" t="s">
        <v>8496</v>
      </c>
      <c r="F30" s="106"/>
      <c r="G30" s="106"/>
    </row>
    <row r="31" customFormat="false" ht="31.5" hidden="false" customHeight="true" outlineLevel="0" collapsed="false">
      <c r="B31" s="106" t="s">
        <v>8497</v>
      </c>
      <c r="C31" s="106"/>
      <c r="D31" s="106"/>
      <c r="E31" s="106" t="s">
        <v>8498</v>
      </c>
      <c r="F31" s="106"/>
      <c r="G31" s="106"/>
    </row>
    <row r="32" customFormat="false" ht="17.25" hidden="false" customHeight="true" outlineLevel="0" collapsed="false">
      <c r="B32" s="106" t="s">
        <v>8499</v>
      </c>
      <c r="C32" s="106"/>
      <c r="D32" s="106"/>
      <c r="E32" s="106" t="s">
        <v>8500</v>
      </c>
      <c r="F32" s="106"/>
      <c r="G32" s="106"/>
    </row>
    <row r="33" customFormat="false" ht="17.25" hidden="false" customHeight="true" outlineLevel="0" collapsed="false">
      <c r="B33" s="106" t="s">
        <v>8501</v>
      </c>
      <c r="C33" s="106"/>
      <c r="D33" s="106"/>
      <c r="E33" s="106"/>
      <c r="F33" s="106"/>
      <c r="G33" s="106"/>
    </row>
    <row r="35" customFormat="false" ht="17.25" hidden="false" customHeight="true" outlineLevel="0" collapsed="false">
      <c r="B35" s="152" t="s">
        <v>6621</v>
      </c>
      <c r="C35" s="152" t="s">
        <v>1417</v>
      </c>
      <c r="D35" s="152" t="s">
        <v>1418</v>
      </c>
      <c r="E35" s="152" t="s">
        <v>1419</v>
      </c>
      <c r="F35" s="152"/>
      <c r="G35" s="152"/>
    </row>
    <row r="36" customFormat="false" ht="44.25" hidden="false" customHeight="true" outlineLevel="0" collapsed="false">
      <c r="B36" s="15" t="s">
        <v>8502</v>
      </c>
      <c r="C36" s="15" t="s">
        <v>8503</v>
      </c>
      <c r="D36" s="15" t="s">
        <v>8504</v>
      </c>
      <c r="E36" s="153" t="s">
        <v>1089</v>
      </c>
      <c r="F36" s="153"/>
      <c r="G36" s="153"/>
    </row>
    <row r="37" customFormat="false" ht="86.25" hidden="false" customHeight="true" outlineLevel="0" collapsed="false">
      <c r="B37" s="15" t="s">
        <v>8505</v>
      </c>
      <c r="C37" s="15" t="s">
        <v>8506</v>
      </c>
      <c r="D37" s="15" t="s">
        <v>8507</v>
      </c>
      <c r="E37" s="153" t="s">
        <v>6632</v>
      </c>
      <c r="F37" s="153"/>
      <c r="G37" s="153"/>
    </row>
    <row r="38" customFormat="false" ht="44.25" hidden="false" customHeight="true" outlineLevel="0" collapsed="false">
      <c r="B38" s="15" t="s">
        <v>8508</v>
      </c>
      <c r="C38" s="15" t="s">
        <v>8509</v>
      </c>
      <c r="D38" s="15" t="s">
        <v>8510</v>
      </c>
      <c r="E38" s="153" t="s">
        <v>8511</v>
      </c>
      <c r="F38" s="153"/>
      <c r="G38" s="153"/>
    </row>
    <row r="39" customFormat="false" ht="72" hidden="false" customHeight="true" outlineLevel="0" collapsed="false">
      <c r="B39" s="15" t="s">
        <v>8512</v>
      </c>
      <c r="C39" s="15" t="s">
        <v>8513</v>
      </c>
      <c r="D39" s="15" t="s">
        <v>8514</v>
      </c>
      <c r="E39" s="153" t="s">
        <v>6744</v>
      </c>
      <c r="F39" s="153"/>
      <c r="G39" s="153"/>
    </row>
    <row r="41" customFormat="false" ht="15.75" hidden="false" customHeight="true" outlineLevel="0" collapsed="false">
      <c r="B41" s="103" t="s">
        <v>1429</v>
      </c>
      <c r="C41" s="8"/>
      <c r="D41" s="8"/>
      <c r="E41" s="8"/>
      <c r="F41" s="8"/>
      <c r="G41" s="8"/>
      <c r="H41" s="8"/>
      <c r="I41" s="8"/>
      <c r="J41" s="8"/>
      <c r="K41" s="8"/>
    </row>
    <row r="42" customFormat="false" ht="8.25" hidden="false" customHeight="true" outlineLevel="0" collapsed="false">
      <c r="B42" s="106" t="s">
        <v>8515</v>
      </c>
      <c r="C42" s="106"/>
      <c r="D42" s="106"/>
      <c r="E42" s="106"/>
      <c r="F42" s="106"/>
      <c r="G42" s="106"/>
    </row>
    <row r="43" customFormat="false" ht="8.25" hidden="false" customHeight="true" outlineLevel="0" collapsed="false">
      <c r="B43" s="106"/>
      <c r="C43" s="106"/>
      <c r="D43" s="106"/>
      <c r="E43" s="106"/>
      <c r="F43" s="106"/>
      <c r="G43" s="106"/>
    </row>
    <row r="44" customFormat="false" ht="17.25" hidden="false" customHeight="true" outlineLevel="0" collapsed="false">
      <c r="B44" s="106" t="s">
        <v>8516</v>
      </c>
      <c r="C44" s="106"/>
      <c r="D44" s="106"/>
      <c r="E44" s="106"/>
      <c r="F44" s="106"/>
      <c r="G44" s="106"/>
    </row>
    <row r="45" customFormat="false" ht="15" hidden="false" customHeight="true" outlineLevel="0" collapsed="false">
      <c r="B45" s="122"/>
    </row>
    <row r="46" customFormat="false" ht="10.5" hidden="false" customHeight="true" outlineLevel="0" collapsed="false">
      <c r="B46" s="106" t="s">
        <v>8517</v>
      </c>
      <c r="C46" s="106"/>
      <c r="D46" s="106"/>
      <c r="E46" s="106"/>
      <c r="F46" s="106"/>
      <c r="G46" s="106"/>
    </row>
    <row r="47" customFormat="false" ht="10.5" hidden="false" customHeight="true" outlineLevel="0" collapsed="false">
      <c r="B47" s="106"/>
      <c r="C47" s="106"/>
      <c r="D47" s="106"/>
      <c r="E47" s="106"/>
      <c r="F47" s="106"/>
      <c r="G47" s="106"/>
    </row>
    <row r="48" customFormat="false" ht="10.5" hidden="false" customHeight="true" outlineLevel="0" collapsed="false">
      <c r="B48" s="106"/>
      <c r="C48" s="106"/>
      <c r="D48" s="106"/>
      <c r="E48" s="106"/>
      <c r="F48" s="106"/>
      <c r="G48" s="106"/>
    </row>
    <row r="49" customFormat="false" ht="15" hidden="false" customHeight="true" outlineLevel="0" collapsed="false">
      <c r="B49" s="122"/>
    </row>
    <row r="50" customFormat="false" ht="10.5" hidden="false" customHeight="true" outlineLevel="0" collapsed="false">
      <c r="B50" s="106" t="s">
        <v>8518</v>
      </c>
      <c r="C50" s="106"/>
      <c r="D50" s="106"/>
      <c r="E50" s="106"/>
      <c r="F50" s="106"/>
      <c r="G50" s="106"/>
    </row>
    <row r="51" customFormat="false" ht="10.5" hidden="false" customHeight="true" outlineLevel="0" collapsed="false">
      <c r="B51" s="106"/>
      <c r="C51" s="106"/>
      <c r="D51" s="106"/>
      <c r="E51" s="106"/>
      <c r="F51" s="106"/>
      <c r="G51" s="106"/>
    </row>
    <row r="52" customFormat="false" ht="10.5" hidden="false" customHeight="true" outlineLevel="0" collapsed="false">
      <c r="B52" s="106"/>
      <c r="C52" s="106"/>
      <c r="D52" s="106"/>
      <c r="E52" s="106"/>
      <c r="F52" s="106"/>
      <c r="G52" s="106"/>
    </row>
    <row r="53" customFormat="false" ht="15" hidden="false" customHeight="true" outlineLevel="0" collapsed="false">
      <c r="B53" s="122"/>
    </row>
    <row r="54" customFormat="false" ht="10.5" hidden="false" customHeight="true" outlineLevel="0" collapsed="false">
      <c r="B54" s="106" t="s">
        <v>8519</v>
      </c>
      <c r="C54" s="106"/>
      <c r="D54" s="106"/>
      <c r="E54" s="106"/>
      <c r="F54" s="106"/>
      <c r="G54" s="106"/>
    </row>
    <row r="55" customFormat="false" ht="10.5" hidden="false" customHeight="true" outlineLevel="0" collapsed="false">
      <c r="B55" s="106"/>
      <c r="C55" s="106"/>
      <c r="D55" s="106"/>
      <c r="E55" s="106"/>
      <c r="F55" s="106"/>
      <c r="G55" s="106"/>
    </row>
    <row r="56" customFormat="false" ht="10.5" hidden="false" customHeight="true" outlineLevel="0" collapsed="false">
      <c r="B56" s="106"/>
      <c r="C56" s="106"/>
      <c r="D56" s="106"/>
      <c r="E56" s="106"/>
      <c r="F56" s="106"/>
      <c r="G56" s="106"/>
    </row>
    <row r="58" customFormat="false" ht="15.75" hidden="false" customHeight="true" outlineLevel="0" collapsed="false">
      <c r="B58" s="103" t="s">
        <v>1437</v>
      </c>
      <c r="C58" s="8"/>
      <c r="D58" s="8"/>
      <c r="E58" s="8"/>
      <c r="F58" s="8"/>
      <c r="G58" s="8"/>
      <c r="H58" s="8"/>
      <c r="I58" s="8"/>
      <c r="J58" s="8"/>
      <c r="K58" s="8"/>
    </row>
    <row r="59" customFormat="false" ht="16.5" hidden="false" customHeight="true" outlineLevel="0" collapsed="false">
      <c r="B59" s="152" t="s">
        <v>1438</v>
      </c>
      <c r="C59" s="152" t="s">
        <v>1439</v>
      </c>
      <c r="D59" s="152" t="s">
        <v>1440</v>
      </c>
    </row>
    <row r="60" customFormat="false" ht="30.75" hidden="false" customHeight="true" outlineLevel="0" collapsed="false">
      <c r="B60" s="15" t="s">
        <v>8520</v>
      </c>
      <c r="C60" s="15" t="s">
        <v>8521</v>
      </c>
      <c r="D60" s="15" t="s">
        <v>8522</v>
      </c>
    </row>
    <row r="61" customFormat="false" ht="44.25" hidden="false" customHeight="true" outlineLevel="0" collapsed="false">
      <c r="B61" s="15" t="s">
        <v>7987</v>
      </c>
      <c r="C61" s="15" t="s">
        <v>8523</v>
      </c>
      <c r="D61" s="15" t="s">
        <v>8524</v>
      </c>
    </row>
    <row r="62" customFormat="false" ht="44.25" hidden="false" customHeight="true" outlineLevel="0" collapsed="false">
      <c r="B62" s="15" t="s">
        <v>8525</v>
      </c>
      <c r="C62" s="15" t="s">
        <v>8526</v>
      </c>
      <c r="D62" s="15" t="s">
        <v>8527</v>
      </c>
    </row>
    <row r="63" customFormat="false" ht="44.25" hidden="false" customHeight="true" outlineLevel="0" collapsed="false">
      <c r="B63" s="15" t="s">
        <v>1839</v>
      </c>
      <c r="C63" s="15" t="s">
        <v>8528</v>
      </c>
      <c r="D63" s="15" t="s">
        <v>8529</v>
      </c>
    </row>
    <row r="64" customFormat="false" ht="16.5" hidden="false" customHeight="true" outlineLevel="0" collapsed="false">
      <c r="B64" s="15" t="s">
        <v>4079</v>
      </c>
      <c r="C64" s="15" t="s">
        <v>4080</v>
      </c>
      <c r="D64" s="15" t="s">
        <v>8530</v>
      </c>
    </row>
    <row r="66" customFormat="false" ht="15.75" hidden="false" customHeight="true" outlineLevel="0" collapsed="false">
      <c r="B66" s="103" t="s">
        <v>1454</v>
      </c>
      <c r="C66" s="8"/>
      <c r="D66" s="8"/>
      <c r="E66" s="8"/>
      <c r="F66" s="8"/>
      <c r="G66" s="8"/>
      <c r="H66" s="8"/>
      <c r="I66" s="8"/>
      <c r="J66" s="8"/>
      <c r="K66" s="8"/>
    </row>
    <row r="67" customFormat="false" ht="15.75" hidden="false" customHeight="true" outlineLevel="0" collapsed="false">
      <c r="B67" s="106" t="s">
        <v>8531</v>
      </c>
      <c r="C67" s="106"/>
      <c r="D67" s="106"/>
      <c r="E67" s="106"/>
      <c r="F67" s="106"/>
      <c r="G67" s="106"/>
    </row>
    <row r="68" customFormat="false" ht="15.75" hidden="false" customHeight="true" outlineLevel="0" collapsed="false">
      <c r="B68" s="106"/>
      <c r="C68" s="106"/>
      <c r="D68" s="106"/>
      <c r="E68" s="106"/>
      <c r="F68" s="106"/>
      <c r="G68" s="106"/>
    </row>
    <row r="69" customFormat="false" ht="17.25" hidden="false" customHeight="true" outlineLevel="0" collapsed="false">
      <c r="B69" s="106" t="s">
        <v>8532</v>
      </c>
      <c r="C69" s="106"/>
      <c r="D69" s="106"/>
      <c r="E69" s="106"/>
      <c r="F69" s="106"/>
      <c r="G69" s="106"/>
    </row>
    <row r="70" customFormat="false" ht="17.25" hidden="false" customHeight="true" outlineLevel="0" collapsed="false">
      <c r="B70" s="112" t="s">
        <v>85</v>
      </c>
      <c r="C70" s="113" t="s">
        <v>86</v>
      </c>
      <c r="D70" s="113"/>
    </row>
    <row r="72" customFormat="false" ht="17.25" hidden="false" customHeight="true" outlineLevel="0" collapsed="false">
      <c r="B72" s="107" t="s">
        <v>8533</v>
      </c>
      <c r="C72" s="107"/>
      <c r="D72" s="107"/>
      <c r="E72" s="107"/>
      <c r="F72" s="107"/>
      <c r="G72" s="107"/>
    </row>
    <row r="73" customFormat="false" ht="17.25" hidden="false" customHeight="true" outlineLevel="0" collapsed="false">
      <c r="B73" s="152" t="s">
        <v>7376</v>
      </c>
      <c r="C73" s="152" t="s">
        <v>6654</v>
      </c>
      <c r="D73" s="152" t="s">
        <v>6575</v>
      </c>
      <c r="E73" s="152" t="s">
        <v>6655</v>
      </c>
      <c r="F73" s="152"/>
      <c r="G73" s="152"/>
    </row>
    <row r="74" customFormat="false" ht="17.25" hidden="false" customHeight="true" outlineLevel="0" collapsed="false">
      <c r="B74" s="15" t="s">
        <v>8534</v>
      </c>
      <c r="C74" s="155" t="n">
        <v>28</v>
      </c>
      <c r="D74" s="15" t="s">
        <v>6801</v>
      </c>
      <c r="E74" s="15" t="s">
        <v>8535</v>
      </c>
      <c r="F74" s="15"/>
      <c r="G74" s="15"/>
    </row>
    <row r="75" customFormat="false" ht="30.75" hidden="false" customHeight="true" outlineLevel="0" collapsed="false">
      <c r="B75" s="15" t="s">
        <v>8536</v>
      </c>
      <c r="C75" s="173" t="n">
        <v>19040</v>
      </c>
      <c r="D75" s="15" t="s">
        <v>6816</v>
      </c>
      <c r="E75" s="15" t="s">
        <v>8537</v>
      </c>
      <c r="F75" s="15"/>
      <c r="G75" s="15"/>
    </row>
    <row r="76" customFormat="false" ht="17.25" hidden="false" customHeight="true" outlineLevel="0" collapsed="false">
      <c r="B76" s="15" t="s">
        <v>8538</v>
      </c>
      <c r="C76" s="155" t="n">
        <v>34</v>
      </c>
      <c r="D76" s="15" t="s">
        <v>8539</v>
      </c>
      <c r="E76" s="15" t="s">
        <v>8540</v>
      </c>
      <c r="F76" s="15"/>
      <c r="G76" s="15"/>
    </row>
    <row r="77" customFormat="false" ht="17.25" hidden="false" customHeight="true" outlineLevel="0" collapsed="false">
      <c r="B77" s="15" t="s">
        <v>8541</v>
      </c>
      <c r="C77" s="173" t="n">
        <v>1122</v>
      </c>
      <c r="D77" s="15" t="s">
        <v>6816</v>
      </c>
      <c r="E77" s="15" t="s">
        <v>8542</v>
      </c>
      <c r="F77" s="15"/>
      <c r="G77" s="15"/>
    </row>
    <row r="78" customFormat="false" ht="17.25" hidden="false" customHeight="true" outlineLevel="0" collapsed="false">
      <c r="B78" s="15" t="s">
        <v>8543</v>
      </c>
      <c r="C78" s="173" t="n">
        <v>2680</v>
      </c>
      <c r="D78" s="15" t="s">
        <v>6816</v>
      </c>
      <c r="E78" s="15" t="s">
        <v>8544</v>
      </c>
      <c r="F78" s="15"/>
      <c r="G78" s="15"/>
    </row>
    <row r="80" customFormat="false" ht="17.25" hidden="false" customHeight="true" outlineLevel="0" collapsed="false">
      <c r="B80" s="152" t="s">
        <v>8545</v>
      </c>
      <c r="C80" s="152" t="s">
        <v>7506</v>
      </c>
      <c r="D80" s="152" t="s">
        <v>6654</v>
      </c>
      <c r="E80" s="152" t="s">
        <v>6575</v>
      </c>
      <c r="F80" s="152" t="s">
        <v>2601</v>
      </c>
      <c r="G80" s="152"/>
    </row>
    <row r="81" customFormat="false" ht="58.5" hidden="false" customHeight="true" outlineLevel="0" collapsed="false">
      <c r="B81" s="15" t="s">
        <v>8546</v>
      </c>
      <c r="C81" s="15" t="s">
        <v>8547</v>
      </c>
      <c r="D81" s="161" t="n">
        <f aca="false">IFERROR((C75-C77)/C76,0)</f>
        <v>527</v>
      </c>
      <c r="E81" s="15" t="s">
        <v>6816</v>
      </c>
      <c r="F81" s="15" t="s">
        <v>8548</v>
      </c>
      <c r="G81" s="15"/>
    </row>
    <row r="82" customFormat="false" ht="44.25" hidden="false" customHeight="true" outlineLevel="0" collapsed="false">
      <c r="B82" s="15" t="s">
        <v>8549</v>
      </c>
      <c r="C82" s="15" t="s">
        <v>8550</v>
      </c>
      <c r="D82" s="161" t="n">
        <f aca="false">IFERROR(C77/C76,0)</f>
        <v>33</v>
      </c>
      <c r="E82" s="15" t="s">
        <v>6816</v>
      </c>
      <c r="F82" s="15" t="s">
        <v>8551</v>
      </c>
      <c r="G82" s="15"/>
    </row>
    <row r="83" customFormat="false" ht="44.25" hidden="false" customHeight="true" outlineLevel="0" collapsed="false">
      <c r="B83" s="15" t="s">
        <v>8552</v>
      </c>
      <c r="C83" s="15" t="s">
        <v>8553</v>
      </c>
      <c r="D83" s="176" t="n">
        <f aca="false">IFERROR(C76/(C75/60),0)</f>
        <v>0.107142857142857</v>
      </c>
      <c r="E83" s="15" t="s">
        <v>8554</v>
      </c>
      <c r="F83" s="15" t="s">
        <v>8555</v>
      </c>
      <c r="G83" s="15"/>
    </row>
    <row r="84" customFormat="false" ht="31.5" hidden="false" customHeight="true" outlineLevel="0" collapsed="false">
      <c r="B84" s="15" t="s">
        <v>8556</v>
      </c>
      <c r="C84" s="15" t="s">
        <v>8557</v>
      </c>
      <c r="D84" s="160" t="n">
        <f aca="false">IFERROR(D81/(D81+D82),0)</f>
        <v>0.941071428571429</v>
      </c>
      <c r="E84" s="15"/>
      <c r="F84" s="15" t="s">
        <v>8558</v>
      </c>
      <c r="G84" s="15"/>
    </row>
    <row r="85" customFormat="false" ht="44.25" hidden="false" customHeight="true" outlineLevel="0" collapsed="false">
      <c r="B85" s="15" t="s">
        <v>8559</v>
      </c>
      <c r="C85" s="15" t="s">
        <v>8560</v>
      </c>
      <c r="D85" s="160" t="n">
        <f aca="false">IFERROR((C75-C78)/C75,0)</f>
        <v>0.859243697478992</v>
      </c>
      <c r="E85" s="15"/>
      <c r="F85" s="15" t="s">
        <v>8561</v>
      </c>
      <c r="G85" s="15"/>
    </row>
    <row r="86" customFormat="false" ht="31.5" hidden="false" customHeight="true" outlineLevel="0" collapsed="false">
      <c r="B86" s="15" t="s">
        <v>8562</v>
      </c>
      <c r="C86" s="15" t="s">
        <v>8563</v>
      </c>
      <c r="D86" s="160" t="n">
        <f aca="false">D84-D85</f>
        <v>0.081827731092437</v>
      </c>
      <c r="E86" s="15"/>
      <c r="F86" s="15" t="s">
        <v>8564</v>
      </c>
      <c r="G86" s="15"/>
    </row>
    <row r="88" customFormat="false" ht="17.25" hidden="false" customHeight="true" outlineLevel="0" collapsed="false">
      <c r="B88" s="107" t="s">
        <v>8565</v>
      </c>
      <c r="C88" s="107"/>
      <c r="D88" s="107"/>
      <c r="E88" s="107"/>
      <c r="F88" s="107"/>
      <c r="G88" s="107"/>
    </row>
    <row r="89" customFormat="false" ht="17.25" hidden="false" customHeight="true" outlineLevel="0" collapsed="false">
      <c r="B89" s="152" t="s">
        <v>8566</v>
      </c>
      <c r="C89" s="152" t="s">
        <v>8567</v>
      </c>
      <c r="D89" s="152" t="s">
        <v>8568</v>
      </c>
      <c r="E89" s="152" t="s">
        <v>8006</v>
      </c>
      <c r="F89" s="152" t="s">
        <v>6916</v>
      </c>
      <c r="G89" s="152"/>
    </row>
    <row r="90" customFormat="false" ht="72" hidden="false" customHeight="true" outlineLevel="0" collapsed="false">
      <c r="B90" s="15" t="s">
        <v>8569</v>
      </c>
      <c r="C90" s="15" t="s">
        <v>8570</v>
      </c>
      <c r="D90" s="155" t="n">
        <v>2</v>
      </c>
      <c r="E90" s="184" t="n">
        <f aca="false">IFERROR(D90/4,0)</f>
        <v>0.5</v>
      </c>
      <c r="F90" s="167" t="str">
        <f aca="false">IF(D90&lt;=1,"Not established — highest priority",IF(D90&lt;=2,"Started","Working"))</f>
        <v>Started</v>
      </c>
      <c r="G90" s="167"/>
    </row>
    <row r="91" customFormat="false" ht="58.5" hidden="false" customHeight="true" outlineLevel="0" collapsed="false">
      <c r="B91" s="15" t="s">
        <v>8571</v>
      </c>
      <c r="C91" s="15" t="s">
        <v>8572</v>
      </c>
      <c r="D91" s="155" t="n">
        <v>3</v>
      </c>
      <c r="E91" s="184" t="n">
        <f aca="false">IFERROR(D91/4,0)</f>
        <v>0.75</v>
      </c>
      <c r="F91" s="167" t="str">
        <f aca="false">IF(D91&lt;=1,"Not established — highest priority",IF(D91&lt;=2,"Started","Working"))</f>
        <v>Working</v>
      </c>
      <c r="G91" s="167"/>
    </row>
    <row r="92" customFormat="false" ht="58.5" hidden="false" customHeight="true" outlineLevel="0" collapsed="false">
      <c r="B92" s="15" t="s">
        <v>8573</v>
      </c>
      <c r="C92" s="15" t="s">
        <v>8574</v>
      </c>
      <c r="D92" s="155" t="n">
        <v>2</v>
      </c>
      <c r="E92" s="184" t="n">
        <f aca="false">IFERROR(D92/4,0)</f>
        <v>0.5</v>
      </c>
      <c r="F92" s="167" t="str">
        <f aca="false">IF(D92&lt;=1,"Not established — highest priority",IF(D92&lt;=2,"Started","Working"))</f>
        <v>Started</v>
      </c>
      <c r="G92" s="167"/>
    </row>
    <row r="93" customFormat="false" ht="58.5" hidden="false" customHeight="true" outlineLevel="0" collapsed="false">
      <c r="B93" s="15" t="s">
        <v>8575</v>
      </c>
      <c r="C93" s="15" t="s">
        <v>8576</v>
      </c>
      <c r="D93" s="155" t="n">
        <v>1</v>
      </c>
      <c r="E93" s="184" t="n">
        <f aca="false">IFERROR(D93/4,0)</f>
        <v>0.25</v>
      </c>
      <c r="F93" s="167" t="str">
        <f aca="false">IF(D93&lt;=1,"Not established — highest priority",IF(D93&lt;=2,"Started","Working"))</f>
        <v>Not established — highest priority</v>
      </c>
      <c r="G93" s="167"/>
    </row>
    <row r="94" customFormat="false" ht="72" hidden="false" customHeight="true" outlineLevel="0" collapsed="false">
      <c r="B94" s="15" t="s">
        <v>8577</v>
      </c>
      <c r="C94" s="15" t="s">
        <v>8578</v>
      </c>
      <c r="D94" s="155" t="n">
        <v>1</v>
      </c>
      <c r="E94" s="184" t="n">
        <f aca="false">IFERROR(D94/4,0)</f>
        <v>0.25</v>
      </c>
      <c r="F94" s="167" t="str">
        <f aca="false">IF(D94&lt;=1,"Not established — highest priority",IF(D94&lt;=2,"Started","Working"))</f>
        <v>Not established — highest priority</v>
      </c>
      <c r="G94" s="167"/>
    </row>
    <row r="95" customFormat="false" ht="86.25" hidden="false" customHeight="true" outlineLevel="0" collapsed="false">
      <c r="B95" s="15" t="s">
        <v>8579</v>
      </c>
      <c r="C95" s="15" t="s">
        <v>8580</v>
      </c>
      <c r="D95" s="155" t="n">
        <v>2</v>
      </c>
      <c r="E95" s="184" t="n">
        <f aca="false">IFERROR(D95/4,0)</f>
        <v>0.5</v>
      </c>
      <c r="F95" s="167" t="str">
        <f aca="false">IF(D95&lt;=1,"Not established — highest priority",IF(D95&lt;=2,"Started","Working"))</f>
        <v>Started</v>
      </c>
      <c r="G95" s="167"/>
    </row>
    <row r="96" customFormat="false" ht="58.5" hidden="false" customHeight="true" outlineLevel="0" collapsed="false">
      <c r="B96" s="15" t="s">
        <v>8581</v>
      </c>
      <c r="C96" s="15" t="s">
        <v>8582</v>
      </c>
      <c r="D96" s="155" t="n">
        <v>3</v>
      </c>
      <c r="E96" s="184" t="n">
        <f aca="false">IFERROR(D96/4,0)</f>
        <v>0.75</v>
      </c>
      <c r="F96" s="167" t="str">
        <f aca="false">IF(D96&lt;=1,"Not established — highest priority",IF(D96&lt;=2,"Started","Working"))</f>
        <v>Working</v>
      </c>
      <c r="G96" s="167"/>
    </row>
    <row r="97" customFormat="false" ht="72" hidden="false" customHeight="true" outlineLevel="0" collapsed="false">
      <c r="B97" s="15" t="s">
        <v>8583</v>
      </c>
      <c r="C97" s="15" t="s">
        <v>8584</v>
      </c>
      <c r="D97" s="155" t="n">
        <v>1</v>
      </c>
      <c r="E97" s="184" t="n">
        <f aca="false">IFERROR(D97/4,0)</f>
        <v>0.25</v>
      </c>
      <c r="F97" s="167" t="str">
        <f aca="false">IF(D97&lt;=1,"Not established — highest priority",IF(D97&lt;=2,"Started","Working"))</f>
        <v>Not established — highest priority</v>
      </c>
      <c r="G97" s="167"/>
    </row>
    <row r="99" customFormat="false" ht="17.25" hidden="false" customHeight="true" outlineLevel="0" collapsed="false">
      <c r="B99" s="107" t="s">
        <v>8585</v>
      </c>
      <c r="C99" s="107"/>
      <c r="D99" s="107"/>
      <c r="E99" s="107"/>
      <c r="F99" s="107"/>
      <c r="G99" s="107"/>
    </row>
    <row r="100" customFormat="false" ht="30.75" hidden="false" customHeight="true" outlineLevel="0" collapsed="false">
      <c r="B100" s="152" t="s">
        <v>1020</v>
      </c>
      <c r="C100" s="152" t="s">
        <v>1497</v>
      </c>
      <c r="D100" s="152" t="s">
        <v>8586</v>
      </c>
      <c r="E100" s="152" t="s">
        <v>8587</v>
      </c>
      <c r="F100" s="152" t="s">
        <v>5984</v>
      </c>
    </row>
    <row r="101" customFormat="false" ht="72" hidden="false" customHeight="true" outlineLevel="0" collapsed="false">
      <c r="B101" s="15" t="s">
        <v>8588</v>
      </c>
      <c r="C101" s="15" t="s">
        <v>8589</v>
      </c>
      <c r="D101" s="155" t="n">
        <v>1</v>
      </c>
      <c r="E101" s="177" t="s">
        <v>8590</v>
      </c>
      <c r="F101" s="167" t="str">
        <f aca="false">IF(D101=1,"Done","Open")</f>
        <v>Done</v>
      </c>
    </row>
    <row r="102" customFormat="false" ht="44.25" hidden="false" customHeight="true" outlineLevel="0" collapsed="false">
      <c r="B102" s="15" t="s">
        <v>8591</v>
      </c>
      <c r="C102" s="15" t="s">
        <v>8592</v>
      </c>
      <c r="D102" s="155" t="n">
        <v>1</v>
      </c>
      <c r="E102" s="177" t="s">
        <v>8590</v>
      </c>
      <c r="F102" s="167" t="str">
        <f aca="false">IF(D102=1,"Done","Open")</f>
        <v>Done</v>
      </c>
    </row>
    <row r="103" customFormat="false" ht="44.25" hidden="false" customHeight="true" outlineLevel="0" collapsed="false">
      <c r="B103" s="15" t="s">
        <v>8593</v>
      </c>
      <c r="C103" s="15" t="s">
        <v>8594</v>
      </c>
      <c r="D103" s="155" t="n">
        <v>0</v>
      </c>
      <c r="E103" s="177" t="s">
        <v>8595</v>
      </c>
      <c r="F103" s="167" t="str">
        <f aca="false">IF(D103=1,"Done","Open")</f>
        <v>Open</v>
      </c>
    </row>
    <row r="104" customFormat="false" ht="72" hidden="false" customHeight="true" outlineLevel="0" collapsed="false">
      <c r="B104" s="15" t="s">
        <v>8596</v>
      </c>
      <c r="C104" s="15" t="s">
        <v>8597</v>
      </c>
      <c r="D104" s="155" t="n">
        <v>0</v>
      </c>
      <c r="E104" s="177" t="s">
        <v>8595</v>
      </c>
      <c r="F104" s="167" t="str">
        <f aca="false">IF(D104=1,"Done","Open")</f>
        <v>Open</v>
      </c>
    </row>
    <row r="105" customFormat="false" ht="72" hidden="false" customHeight="true" outlineLevel="0" collapsed="false">
      <c r="B105" s="15" t="s">
        <v>8598</v>
      </c>
      <c r="C105" s="15" t="s">
        <v>8599</v>
      </c>
      <c r="D105" s="155" t="n">
        <v>0</v>
      </c>
      <c r="E105" s="177" t="s">
        <v>8595</v>
      </c>
      <c r="F105" s="167" t="str">
        <f aca="false">IF(D105=1,"Done","Open")</f>
        <v>Open</v>
      </c>
    </row>
    <row r="106" customFormat="false" ht="44.25" hidden="false" customHeight="true" outlineLevel="0" collapsed="false">
      <c r="B106" s="15" t="s">
        <v>8600</v>
      </c>
      <c r="C106" s="15" t="s">
        <v>8601</v>
      </c>
      <c r="D106" s="155" t="n">
        <v>0</v>
      </c>
      <c r="E106" s="177" t="s">
        <v>8595</v>
      </c>
      <c r="F106" s="167" t="str">
        <f aca="false">IF(D106=1,"Done","Open")</f>
        <v>Open</v>
      </c>
    </row>
    <row r="107" customFormat="false" ht="58.5" hidden="false" customHeight="true" outlineLevel="0" collapsed="false">
      <c r="B107" s="15" t="s">
        <v>8602</v>
      </c>
      <c r="C107" s="15" t="s">
        <v>8603</v>
      </c>
      <c r="D107" s="155" t="n">
        <v>0</v>
      </c>
      <c r="E107" s="177" t="s">
        <v>8595</v>
      </c>
      <c r="F107" s="167" t="str">
        <f aca="false">IF(D107=1,"Done","Open")</f>
        <v>Open</v>
      </c>
    </row>
    <row r="109" customFormat="false" ht="17.25" hidden="false" customHeight="true" outlineLevel="0" collapsed="false">
      <c r="B109" s="152" t="s">
        <v>6689</v>
      </c>
      <c r="C109" s="152" t="s">
        <v>6654</v>
      </c>
      <c r="D109" s="152" t="s">
        <v>6575</v>
      </c>
      <c r="E109" s="152" t="s">
        <v>88</v>
      </c>
      <c r="F109" s="152"/>
      <c r="G109" s="152"/>
    </row>
    <row r="110" customFormat="false" ht="17.25" hidden="false" customHeight="true" outlineLevel="0" collapsed="false">
      <c r="B110" s="15" t="s">
        <v>8604</v>
      </c>
      <c r="C110" s="184" t="n">
        <f aca="false">IFERROR(SUM(D90:D97)/32,0)</f>
        <v>0.46875</v>
      </c>
      <c r="D110" s="15"/>
      <c r="E110" s="15" t="s">
        <v>8605</v>
      </c>
      <c r="F110" s="15"/>
      <c r="G110" s="15"/>
    </row>
    <row r="111" customFormat="false" ht="58.5" hidden="false" customHeight="true" outlineLevel="0" collapsed="false">
      <c r="B111" s="15" t="s">
        <v>8606</v>
      </c>
      <c r="C111" s="167" t="str">
        <f aca="false">INDEX(B90:B97,MATCH(MIN(D90:D97),D90:D97,0))</f>
        <v>4  Quality maintenance (Hinshitsu Hozen)</v>
      </c>
      <c r="D111" s="15"/>
      <c r="E111" s="15" t="s">
        <v>8607</v>
      </c>
      <c r="F111" s="15"/>
      <c r="G111" s="15"/>
    </row>
    <row r="112" customFormat="false" ht="17.25" hidden="false" customHeight="true" outlineLevel="0" collapsed="false">
      <c r="B112" s="15" t="s">
        <v>8608</v>
      </c>
      <c r="C112" s="184" t="n">
        <f aca="false">IFERROR(SUM(D101:D107)/7,0)</f>
        <v>0.285714285714286</v>
      </c>
      <c r="D112" s="15"/>
      <c r="E112" s="15" t="s">
        <v>8609</v>
      </c>
      <c r="F112" s="15"/>
      <c r="G112" s="15"/>
    </row>
    <row r="113" customFormat="false" ht="44.25" hidden="false" customHeight="true" outlineLevel="0" collapsed="false">
      <c r="B113" s="15" t="s">
        <v>8610</v>
      </c>
      <c r="C113" s="167" t="str">
        <f aca="false">IFERROR(INDEX(B101:B107,MATCH(0,D101:D107,0)),"All seven complete")</f>
        <v>3  Cleaning and lubrication standards</v>
      </c>
      <c r="D113" s="15"/>
      <c r="E113" s="15" t="s">
        <v>8611</v>
      </c>
      <c r="F113" s="15"/>
      <c r="G113" s="15"/>
    </row>
    <row r="115" customFormat="false" ht="15.75" hidden="false" customHeight="true" outlineLevel="0" collapsed="false">
      <c r="B115" s="103" t="s">
        <v>1493</v>
      </c>
      <c r="C115" s="8"/>
      <c r="D115" s="8"/>
      <c r="E115" s="8"/>
      <c r="F115" s="8"/>
      <c r="G115" s="8"/>
      <c r="H115" s="8"/>
      <c r="I115" s="8"/>
      <c r="J115" s="8"/>
      <c r="K115" s="8"/>
    </row>
    <row r="116" customFormat="false" ht="65.25" hidden="false" customHeight="true" outlineLevel="0" collapsed="false">
      <c r="B116" s="105" t="s">
        <v>1494</v>
      </c>
      <c r="C116" s="168" t="str">
        <f aca="false">"MTBF "&amp;TEXT(D81,"0")&amp;" min, MTTR "&amp;TEXT(D82,"0")&amp;" min, inherent availability "&amp;TEXT(D84,"0.0%")&amp;" against an operational availability of "&amp;TEXT(D85,"0.0%")&amp;". "&amp;IF(D86&gt;0.05,"The "&amp;TEXT(D86,"0.0%")&amp;" gap between the two is NOT breakdowns: it is micro-stops, waiting for a technician and waiting for spares. Attack the response process and the minor stops first.","Inherent and operational availability are close, so the losses really are failures: MTBF work (design and autonomous maintenance) will move the number more than faster repairs.")&amp;" TPM maturity is "&amp;TEXT(C110,"0%")&amp;", weakest pillar: "&amp;C111&amp;"."</f>
        <v>MTBF 527 min, MTTR 33 min, inherent availability 94.1% against an operational availability of 85.9%. The 8.2% gap between the two is NOT breakdowns: it is micro-stops, waiting for a technician and waiting for spares. Attack the response process and the minor stops first. TPM maturity is 47%, weakest pillar: 4  Quality maintenance (Hinshitsu Hozen).</v>
      </c>
      <c r="D116" s="168"/>
      <c r="E116" s="168"/>
      <c r="F116" s="168"/>
      <c r="G116" s="168"/>
    </row>
    <row r="118" customFormat="false" ht="16.5" hidden="false" customHeight="true" outlineLevel="0" collapsed="false">
      <c r="B118" s="152" t="s">
        <v>1495</v>
      </c>
      <c r="C118" s="152" t="s">
        <v>1496</v>
      </c>
      <c r="D118" s="152" t="s">
        <v>1497</v>
      </c>
    </row>
    <row r="119" customFormat="false" ht="30.75" hidden="false" customHeight="true" outlineLevel="0" collapsed="false">
      <c r="B119" s="15" t="s">
        <v>8612</v>
      </c>
      <c r="C119" s="15" t="s">
        <v>8613</v>
      </c>
      <c r="D119" s="15" t="s">
        <v>8614</v>
      </c>
    </row>
    <row r="120" customFormat="false" ht="30.75" hidden="false" customHeight="true" outlineLevel="0" collapsed="false">
      <c r="B120" s="15" t="s">
        <v>8615</v>
      </c>
      <c r="C120" s="15" t="s">
        <v>8616</v>
      </c>
      <c r="D120" s="15" t="s">
        <v>8617</v>
      </c>
    </row>
    <row r="121" customFormat="false" ht="30.75" hidden="false" customHeight="true" outlineLevel="0" collapsed="false">
      <c r="B121" s="15" t="s">
        <v>8618</v>
      </c>
      <c r="C121" s="15" t="s">
        <v>8619</v>
      </c>
      <c r="D121" s="15" t="s">
        <v>8620</v>
      </c>
    </row>
    <row r="122" customFormat="false" ht="30.75" hidden="false" customHeight="true" outlineLevel="0" collapsed="false">
      <c r="B122" s="15" t="s">
        <v>8621</v>
      </c>
      <c r="C122" s="15" t="s">
        <v>8622</v>
      </c>
      <c r="D122" s="15" t="s">
        <v>8623</v>
      </c>
    </row>
    <row r="123" customFormat="false" ht="30.75" hidden="false" customHeight="true" outlineLevel="0" collapsed="false">
      <c r="B123" s="15" t="s">
        <v>8606</v>
      </c>
      <c r="C123" s="15" t="s">
        <v>8624</v>
      </c>
      <c r="D123" s="15" t="s">
        <v>8625</v>
      </c>
    </row>
    <row r="125" customFormat="false" ht="15" hidden="false" customHeight="true" outlineLevel="0" collapsed="false">
      <c r="B125" s="105" t="s">
        <v>1507</v>
      </c>
    </row>
    <row r="126" customFormat="false" ht="17.25" hidden="false" customHeight="true" outlineLevel="0" collapsed="false">
      <c r="B126" s="106" t="s">
        <v>8626</v>
      </c>
      <c r="C126" s="106"/>
      <c r="D126" s="106"/>
      <c r="E126" s="106"/>
      <c r="F126" s="106"/>
      <c r="G126" s="106"/>
    </row>
    <row r="127" customFormat="false" ht="17.25" hidden="false" customHeight="true" outlineLevel="0" collapsed="false">
      <c r="B127" s="106" t="s">
        <v>8627</v>
      </c>
      <c r="C127" s="106"/>
      <c r="D127" s="106"/>
      <c r="E127" s="106"/>
      <c r="F127" s="106"/>
      <c r="G127" s="106"/>
    </row>
    <row r="128" customFormat="false" ht="17.25" hidden="false" customHeight="true" outlineLevel="0" collapsed="false">
      <c r="B128" s="106" t="s">
        <v>8628</v>
      </c>
      <c r="C128" s="106"/>
      <c r="D128" s="106"/>
      <c r="E128" s="106"/>
      <c r="F128" s="106"/>
      <c r="G128" s="106"/>
    </row>
    <row r="129" customFormat="false" ht="17.25" hidden="false" customHeight="true" outlineLevel="0" collapsed="false">
      <c r="B129" s="106" t="s">
        <v>8629</v>
      </c>
      <c r="C129" s="106"/>
      <c r="D129" s="106"/>
      <c r="E129" s="106"/>
      <c r="F129" s="106"/>
      <c r="G129" s="106"/>
    </row>
    <row r="130" customFormat="false" ht="17.25" hidden="false" customHeight="true" outlineLevel="0" collapsed="false">
      <c r="B130" s="106" t="s">
        <v>8630</v>
      </c>
      <c r="C130" s="106"/>
      <c r="D130" s="106"/>
      <c r="E130" s="106"/>
      <c r="F130" s="106"/>
      <c r="G130" s="106"/>
    </row>
    <row r="132" customFormat="false" ht="15.75" hidden="false" customHeight="true" outlineLevel="0" collapsed="false">
      <c r="B132" s="103" t="s">
        <v>1513</v>
      </c>
      <c r="C132" s="8"/>
      <c r="D132" s="8"/>
      <c r="E132" s="8"/>
      <c r="F132" s="8"/>
      <c r="G132" s="8"/>
      <c r="H132" s="8"/>
      <c r="I132" s="8"/>
      <c r="J132" s="8"/>
      <c r="K132" s="8"/>
    </row>
    <row r="133" customFormat="false" ht="17.25" hidden="false" customHeight="true" outlineLevel="0" collapsed="false">
      <c r="B133" s="106" t="s">
        <v>6712</v>
      </c>
      <c r="C133" s="106"/>
      <c r="D133" s="106"/>
      <c r="E133" s="106"/>
      <c r="F133" s="106"/>
      <c r="N133" s="169" t="s">
        <v>1515</v>
      </c>
    </row>
    <row r="134" customFormat="false" ht="44.25" hidden="false" customHeight="true" outlineLevel="0" collapsed="false">
      <c r="B134" s="106" t="s">
        <v>8631</v>
      </c>
      <c r="C134" s="106"/>
      <c r="D134" s="106"/>
      <c r="E134" s="106"/>
      <c r="F134" s="106"/>
      <c r="N134" s="120" t="s">
        <v>8632</v>
      </c>
    </row>
    <row r="135" customFormat="false" ht="44.25" hidden="false" customHeight="true" outlineLevel="0" collapsed="false">
      <c r="B135" s="106" t="s">
        <v>8633</v>
      </c>
      <c r="C135" s="106"/>
      <c r="D135" s="106"/>
      <c r="E135" s="106"/>
      <c r="F135" s="106"/>
      <c r="N135" s="120" t="s">
        <v>8634</v>
      </c>
    </row>
    <row r="136" customFormat="false" ht="58.5" hidden="false" customHeight="true" outlineLevel="0" collapsed="false">
      <c r="B136" s="106" t="s">
        <v>8635</v>
      </c>
      <c r="C136" s="106"/>
      <c r="D136" s="106"/>
      <c r="E136" s="106"/>
      <c r="F136" s="106"/>
      <c r="N136" s="120" t="s">
        <v>8636</v>
      </c>
    </row>
    <row r="138" customFormat="false" ht="15.75" hidden="false" customHeight="true" outlineLevel="0" collapsed="false">
      <c r="B138" s="103" t="s">
        <v>1522</v>
      </c>
      <c r="C138" s="8"/>
      <c r="D138" s="8"/>
      <c r="E138" s="8"/>
      <c r="F138" s="8"/>
      <c r="G138" s="8"/>
      <c r="H138" s="8"/>
      <c r="I138" s="8"/>
      <c r="J138" s="8"/>
      <c r="K138" s="8"/>
    </row>
    <row r="139" customFormat="false" ht="16.5" hidden="false" customHeight="true" outlineLevel="0" collapsed="false">
      <c r="B139" s="152" t="s">
        <v>1523</v>
      </c>
      <c r="C139" s="152" t="s">
        <v>1524</v>
      </c>
      <c r="D139" s="152" t="s">
        <v>6719</v>
      </c>
    </row>
    <row r="140" customFormat="false" ht="44.25" hidden="false" customHeight="true" outlineLevel="0" collapsed="false">
      <c r="B140" s="170" t="s">
        <v>1089</v>
      </c>
      <c r="C140" s="170" t="s">
        <v>1221</v>
      </c>
      <c r="D140" s="170" t="s">
        <v>8637</v>
      </c>
    </row>
  </sheetData>
  <mergeCells count="73">
    <mergeCell ref="B2:J2"/>
    <mergeCell ref="D3:G3"/>
    <mergeCell ref="C6:G6"/>
    <mergeCell ref="C7:G7"/>
    <mergeCell ref="C8:G8"/>
    <mergeCell ref="B11:G13"/>
    <mergeCell ref="B14:G17"/>
    <mergeCell ref="B18:G19"/>
    <mergeCell ref="B20:G21"/>
    <mergeCell ref="B22:G24"/>
    <mergeCell ref="B25:G26"/>
    <mergeCell ref="B29:D29"/>
    <mergeCell ref="E29:G29"/>
    <mergeCell ref="B30:D30"/>
    <mergeCell ref="E30:G30"/>
    <mergeCell ref="B31:D31"/>
    <mergeCell ref="E31:G31"/>
    <mergeCell ref="B32:D32"/>
    <mergeCell ref="E32:G32"/>
    <mergeCell ref="B33:G33"/>
    <mergeCell ref="E35:G35"/>
    <mergeCell ref="E36:G36"/>
    <mergeCell ref="E37:G37"/>
    <mergeCell ref="E38:G38"/>
    <mergeCell ref="E39:G39"/>
    <mergeCell ref="B42:G43"/>
    <mergeCell ref="B44:G44"/>
    <mergeCell ref="B46:G48"/>
    <mergeCell ref="B50:G52"/>
    <mergeCell ref="B54:G56"/>
    <mergeCell ref="B67:G68"/>
    <mergeCell ref="B69:G69"/>
    <mergeCell ref="C70:D70"/>
    <mergeCell ref="B72:G72"/>
    <mergeCell ref="E73:G73"/>
    <mergeCell ref="E74:G74"/>
    <mergeCell ref="E75:G75"/>
    <mergeCell ref="E76:G76"/>
    <mergeCell ref="E77:G77"/>
    <mergeCell ref="E78:G78"/>
    <mergeCell ref="F80:G80"/>
    <mergeCell ref="F81:G81"/>
    <mergeCell ref="F82:G82"/>
    <mergeCell ref="F83:G83"/>
    <mergeCell ref="F84:G84"/>
    <mergeCell ref="F85:G85"/>
    <mergeCell ref="F86:G86"/>
    <mergeCell ref="B88:G88"/>
    <mergeCell ref="F89:G89"/>
    <mergeCell ref="F90:G90"/>
    <mergeCell ref="F91:G91"/>
    <mergeCell ref="F92:G92"/>
    <mergeCell ref="F93:G93"/>
    <mergeCell ref="F94:G94"/>
    <mergeCell ref="F95:G95"/>
    <mergeCell ref="F96:G96"/>
    <mergeCell ref="F97:G97"/>
    <mergeCell ref="B99:G99"/>
    <mergeCell ref="E109:G109"/>
    <mergeCell ref="E110:G110"/>
    <mergeCell ref="E111:G111"/>
    <mergeCell ref="E112:G112"/>
    <mergeCell ref="E113:G113"/>
    <mergeCell ref="C116:G116"/>
    <mergeCell ref="B126:G126"/>
    <mergeCell ref="B127:G127"/>
    <mergeCell ref="B128:G128"/>
    <mergeCell ref="B129:G129"/>
    <mergeCell ref="B130:G130"/>
    <mergeCell ref="B133:F133"/>
    <mergeCell ref="B134:F134"/>
    <mergeCell ref="B135:F135"/>
    <mergeCell ref="B136:F136"/>
  </mergeCells>
  <hyperlinks>
    <hyperlink ref="B3" location="'N-03 Index DMAIC'!A1" display="← Back to Index"/>
    <hyperlink ref="E36" location="'L-11 OEE'!A1" display="L-11  Overall Equipment Effectiveness"/>
    <hyperlink ref="E37" location="'H-05 Check Sheets'!A1" display="H-05  Check Sheets"/>
    <hyperlink ref="E38" location="'E-12 Weibull Expon Lognorm'!A1" display="E-12  Weibull and Exponential"/>
    <hyperlink ref="E39" location="'L-14 Standard Work'!A1" display="L-14  Standard Work"/>
    <hyperlink ref="B140" location="'L-11 OEE'!A1" display="L-11  Overall Equipment Effectiveness"/>
    <hyperlink ref="C140" location="'L-12 5S'!A1" display="L-12  5S and Workplace Organisation"/>
    <hyperlink ref="D140" location="'H-13 FMEA AIAG-VDA'!A1" display="H-13  FMEA (AIAG-VD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6"/>
    <col collapsed="false" customWidth="true" hidden="false" outlineLevel="0" max="4" min="4" style="1" width="24"/>
    <col collapsed="false" customWidth="true" hidden="false" outlineLevel="0" max="5" min="5" style="1" width="16"/>
    <col collapsed="false" customWidth="true" hidden="false" outlineLevel="0" max="6" min="6" style="1" width="44"/>
    <col collapsed="false" customWidth="true" hidden="false" outlineLevel="0" max="7" min="7" style="1" width="15"/>
    <col collapsed="false" customWidth="true" hidden="false" outlineLevel="0" max="11" min="8" style="1" width="14"/>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8638</v>
      </c>
      <c r="C2" s="148"/>
      <c r="D2" s="148"/>
      <c r="E2" s="148"/>
      <c r="F2" s="148"/>
      <c r="G2" s="148"/>
      <c r="H2" s="148"/>
      <c r="I2" s="148"/>
      <c r="J2" s="148"/>
      <c r="K2" s="179" t="s">
        <v>5137</v>
      </c>
    </row>
    <row r="3" customFormat="false" ht="28.5" hidden="false" customHeight="true" outlineLevel="0" collapsed="false">
      <c r="B3" s="150" t="s">
        <v>3</v>
      </c>
      <c r="D3" s="151" t="s">
        <v>8639</v>
      </c>
      <c r="E3" s="151"/>
      <c r="F3" s="151"/>
      <c r="G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8640</v>
      </c>
      <c r="D6" s="106"/>
      <c r="E6" s="106"/>
      <c r="F6" s="106"/>
      <c r="G6" s="106"/>
    </row>
    <row r="7" customFormat="false" ht="31.5" hidden="false" customHeight="true" outlineLevel="0" collapsed="false">
      <c r="B7" s="105" t="s">
        <v>1394</v>
      </c>
      <c r="C7" s="106" t="s">
        <v>8641</v>
      </c>
      <c r="D7" s="106"/>
      <c r="E7" s="106"/>
      <c r="F7" s="106"/>
      <c r="G7" s="106"/>
    </row>
    <row r="8" customFormat="false" ht="17.25" hidden="false" customHeight="true" outlineLevel="0" collapsed="false">
      <c r="B8" s="105" t="s">
        <v>1396</v>
      </c>
      <c r="C8" s="106" t="s">
        <v>8642</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7.25" hidden="false" customHeight="true" outlineLevel="0" collapsed="false">
      <c r="B11" s="106" t="s">
        <v>8643</v>
      </c>
      <c r="C11" s="106"/>
      <c r="D11" s="106"/>
      <c r="E11" s="106"/>
      <c r="F11" s="106"/>
      <c r="G11" s="106"/>
    </row>
    <row r="12" customFormat="false" ht="10.5" hidden="false" customHeight="true" outlineLevel="0" collapsed="false">
      <c r="B12" s="106" t="s">
        <v>8644</v>
      </c>
      <c r="C12" s="106"/>
      <c r="D12" s="106"/>
      <c r="E12" s="106"/>
      <c r="F12" s="106"/>
      <c r="G12" s="106"/>
    </row>
    <row r="13" customFormat="false" ht="10.5" hidden="false" customHeight="true" outlineLevel="0" collapsed="false">
      <c r="B13" s="106"/>
      <c r="C13" s="106"/>
      <c r="D13" s="106"/>
      <c r="E13" s="106"/>
      <c r="F13" s="106"/>
      <c r="G13" s="106"/>
    </row>
    <row r="14" customFormat="false" ht="10.5" hidden="false" customHeight="true" outlineLevel="0" collapsed="false">
      <c r="B14" s="106"/>
      <c r="C14" s="106"/>
      <c r="D14" s="106"/>
      <c r="E14" s="106"/>
      <c r="F14" s="106"/>
      <c r="G14" s="106"/>
    </row>
    <row r="15" customFormat="false" ht="12" hidden="false" customHeight="true" outlineLevel="0" collapsed="false">
      <c r="B15" s="106" t="s">
        <v>8645</v>
      </c>
      <c r="C15" s="106"/>
      <c r="D15" s="106"/>
      <c r="E15" s="106"/>
      <c r="F15" s="106"/>
      <c r="G15" s="106"/>
    </row>
    <row r="16" customFormat="false" ht="12" hidden="false" customHeight="true" outlineLevel="0" collapsed="false">
      <c r="B16" s="106"/>
      <c r="C16" s="106"/>
      <c r="D16" s="106"/>
      <c r="E16" s="106"/>
      <c r="F16" s="106"/>
      <c r="G16" s="106"/>
    </row>
    <row r="17" customFormat="false" ht="12" hidden="false" customHeight="true" outlineLevel="0" collapsed="false">
      <c r="B17" s="106"/>
      <c r="C17" s="106"/>
      <c r="D17" s="106"/>
      <c r="E17" s="106"/>
      <c r="F17" s="106"/>
      <c r="G17" s="106"/>
    </row>
    <row r="18" customFormat="false" ht="12" hidden="false" customHeight="true" outlineLevel="0" collapsed="false">
      <c r="B18" s="106"/>
      <c r="C18" s="106"/>
      <c r="D18" s="106"/>
      <c r="E18" s="106"/>
      <c r="F18" s="106"/>
      <c r="G18" s="106"/>
    </row>
    <row r="19" customFormat="false" ht="12" hidden="false" customHeight="true" outlineLevel="0" collapsed="false">
      <c r="B19" s="106"/>
      <c r="C19" s="106"/>
      <c r="D19" s="106"/>
      <c r="E19" s="106"/>
      <c r="F19" s="106"/>
      <c r="G19" s="106"/>
    </row>
    <row r="20" customFormat="false" ht="10.5" hidden="false" customHeight="true" outlineLevel="0" collapsed="false">
      <c r="B20" s="106" t="s">
        <v>8646</v>
      </c>
      <c r="C20" s="106"/>
      <c r="D20" s="106"/>
      <c r="E20" s="106"/>
      <c r="F20" s="106"/>
      <c r="G20" s="106"/>
    </row>
    <row r="21" customFormat="false" ht="10.5" hidden="false" customHeight="true" outlineLevel="0" collapsed="false">
      <c r="B21" s="106"/>
      <c r="C21" s="106"/>
      <c r="D21" s="106"/>
      <c r="E21" s="106"/>
      <c r="F21" s="106"/>
      <c r="G21" s="106"/>
    </row>
    <row r="22" customFormat="false" ht="10.5" hidden="false" customHeight="true" outlineLevel="0" collapsed="false">
      <c r="B22" s="106"/>
      <c r="C22" s="106"/>
      <c r="D22" s="106"/>
      <c r="E22" s="106"/>
      <c r="F22" s="106"/>
      <c r="G22" s="106"/>
    </row>
    <row r="23" customFormat="false" ht="10.5" hidden="false" customHeight="true" outlineLevel="0" collapsed="false">
      <c r="B23" s="106" t="s">
        <v>8647</v>
      </c>
      <c r="C23" s="106"/>
      <c r="D23" s="106"/>
      <c r="E23" s="106"/>
      <c r="F23" s="106"/>
      <c r="G23" s="106"/>
    </row>
    <row r="24" customFormat="false" ht="10.5" hidden="false" customHeight="true" outlineLevel="0" collapsed="false">
      <c r="B24" s="106"/>
      <c r="C24" s="106"/>
      <c r="D24" s="106"/>
      <c r="E24" s="106"/>
      <c r="F24" s="106"/>
      <c r="G24" s="106"/>
    </row>
    <row r="25" customFormat="false" ht="10.5" hidden="false" customHeight="true" outlineLevel="0" collapsed="false">
      <c r="B25" s="106"/>
      <c r="C25" s="106"/>
      <c r="D25" s="106"/>
      <c r="E25" s="106"/>
      <c r="F25" s="106"/>
      <c r="G25" s="106"/>
    </row>
    <row r="27" customFormat="false" ht="15.75" hidden="false" customHeight="true" outlineLevel="0" collapsed="false">
      <c r="B27" s="103" t="s">
        <v>1406</v>
      </c>
      <c r="C27" s="8"/>
      <c r="D27" s="8"/>
      <c r="E27" s="8"/>
      <c r="F27" s="8"/>
      <c r="G27" s="8"/>
      <c r="H27" s="8"/>
      <c r="I27" s="8"/>
      <c r="J27" s="8"/>
      <c r="K27" s="8"/>
    </row>
    <row r="28" customFormat="false" ht="17.25" hidden="false" customHeight="true" outlineLevel="0" collapsed="false">
      <c r="B28" s="107" t="s">
        <v>1407</v>
      </c>
      <c r="C28" s="107"/>
      <c r="D28" s="107"/>
      <c r="E28" s="107" t="s">
        <v>1408</v>
      </c>
      <c r="F28" s="107"/>
      <c r="G28" s="107"/>
    </row>
    <row r="29" customFormat="false" ht="31.5" hidden="false" customHeight="true" outlineLevel="0" collapsed="false">
      <c r="B29" s="106" t="s">
        <v>8648</v>
      </c>
      <c r="C29" s="106"/>
      <c r="D29" s="106"/>
      <c r="E29" s="106" t="s">
        <v>8649</v>
      </c>
      <c r="F29" s="106"/>
      <c r="G29" s="106"/>
    </row>
    <row r="30" customFormat="false" ht="31.5" hidden="false" customHeight="true" outlineLevel="0" collapsed="false">
      <c r="B30" s="106" t="s">
        <v>8650</v>
      </c>
      <c r="C30" s="106"/>
      <c r="D30" s="106"/>
      <c r="E30" s="106" t="s">
        <v>8651</v>
      </c>
      <c r="F30" s="106"/>
      <c r="G30" s="106"/>
    </row>
    <row r="31" customFormat="false" ht="31.5" hidden="false" customHeight="true" outlineLevel="0" collapsed="false">
      <c r="B31" s="106" t="s">
        <v>8652</v>
      </c>
      <c r="C31" s="106"/>
      <c r="D31" s="106"/>
      <c r="E31" s="106" t="s">
        <v>8653</v>
      </c>
      <c r="F31" s="106"/>
      <c r="G31" s="106"/>
    </row>
    <row r="32" customFormat="false" ht="17.25" hidden="false" customHeight="true" outlineLevel="0" collapsed="false">
      <c r="B32" s="106" t="s">
        <v>8654</v>
      </c>
      <c r="C32" s="106"/>
      <c r="D32" s="106"/>
      <c r="E32" s="106"/>
      <c r="F32" s="106"/>
      <c r="G32" s="106"/>
    </row>
    <row r="34" customFormat="false" ht="17.25" hidden="false" customHeight="true" outlineLevel="0" collapsed="false">
      <c r="B34" s="152" t="s">
        <v>6621</v>
      </c>
      <c r="C34" s="152" t="s">
        <v>1417</v>
      </c>
      <c r="D34" s="152" t="s">
        <v>1418</v>
      </c>
      <c r="E34" s="152" t="s">
        <v>1419</v>
      </c>
      <c r="F34" s="152"/>
    </row>
    <row r="35" customFormat="false" ht="72" hidden="false" customHeight="true" outlineLevel="0" collapsed="false">
      <c r="B35" s="15" t="s">
        <v>8655</v>
      </c>
      <c r="C35" s="15" t="s">
        <v>8656</v>
      </c>
      <c r="D35" s="15" t="s">
        <v>8657</v>
      </c>
      <c r="E35" s="153" t="s">
        <v>8637</v>
      </c>
      <c r="F35" s="153"/>
    </row>
    <row r="36" customFormat="false" ht="72" hidden="false" customHeight="true" outlineLevel="0" collapsed="false">
      <c r="B36" s="15" t="s">
        <v>8658</v>
      </c>
      <c r="C36" s="15" t="s">
        <v>8659</v>
      </c>
      <c r="D36" s="15" t="s">
        <v>8660</v>
      </c>
      <c r="E36" s="153" t="s">
        <v>1113</v>
      </c>
      <c r="F36" s="153"/>
    </row>
    <row r="37" customFormat="false" ht="44.25" hidden="false" customHeight="true" outlineLevel="0" collapsed="false">
      <c r="B37" s="15" t="s">
        <v>8661</v>
      </c>
      <c r="C37" s="15" t="s">
        <v>8662</v>
      </c>
      <c r="D37" s="15" t="s">
        <v>8663</v>
      </c>
      <c r="E37" s="153" t="s">
        <v>8664</v>
      </c>
      <c r="F37" s="153"/>
    </row>
    <row r="38" customFormat="false" ht="44.25" hidden="false" customHeight="true" outlineLevel="0" collapsed="false">
      <c r="B38" s="15" t="s">
        <v>8665</v>
      </c>
      <c r="C38" s="15" t="s">
        <v>8666</v>
      </c>
      <c r="D38" s="15" t="s">
        <v>8667</v>
      </c>
      <c r="E38" s="153" t="s">
        <v>6744</v>
      </c>
      <c r="F38" s="153"/>
    </row>
    <row r="40" customFormat="false" ht="15.75" hidden="false" customHeight="true" outlineLevel="0" collapsed="false">
      <c r="B40" s="103" t="s">
        <v>1429</v>
      </c>
      <c r="C40" s="8"/>
      <c r="D40" s="8"/>
      <c r="E40" s="8"/>
      <c r="F40" s="8"/>
      <c r="G40" s="8"/>
      <c r="H40" s="8"/>
      <c r="I40" s="8"/>
      <c r="J40" s="8"/>
      <c r="K40" s="8"/>
    </row>
    <row r="41" customFormat="false" ht="17.25" hidden="false" customHeight="true" outlineLevel="0" collapsed="false">
      <c r="B41" s="106" t="s">
        <v>8668</v>
      </c>
      <c r="C41" s="106"/>
      <c r="D41" s="106"/>
      <c r="E41" s="106"/>
      <c r="F41" s="106"/>
      <c r="G41" s="106"/>
    </row>
    <row r="42" customFormat="false" ht="15" hidden="false" customHeight="true" outlineLevel="0" collapsed="false">
      <c r="B42" s="122"/>
    </row>
    <row r="43" customFormat="false" ht="11.25" hidden="false" customHeight="true" outlineLevel="0" collapsed="false">
      <c r="B43" s="106" t="s">
        <v>8669</v>
      </c>
      <c r="C43" s="106"/>
      <c r="D43" s="106"/>
      <c r="E43" s="106"/>
      <c r="F43" s="106"/>
      <c r="G43" s="106"/>
    </row>
    <row r="44" customFormat="false" ht="11.25" hidden="false" customHeight="true" outlineLevel="0" collapsed="false">
      <c r="B44" s="106"/>
      <c r="C44" s="106"/>
      <c r="D44" s="106"/>
      <c r="E44" s="106"/>
      <c r="F44" s="106"/>
      <c r="G44" s="106"/>
    </row>
    <row r="45" customFormat="false" ht="11.25" hidden="false" customHeight="true" outlineLevel="0" collapsed="false">
      <c r="B45" s="106"/>
      <c r="C45" s="106"/>
      <c r="D45" s="106"/>
      <c r="E45" s="106"/>
      <c r="F45" s="106"/>
      <c r="G45" s="106"/>
    </row>
    <row r="46" customFormat="false" ht="11.25" hidden="false" customHeight="true" outlineLevel="0" collapsed="false">
      <c r="B46" s="106"/>
      <c r="C46" s="106"/>
      <c r="D46" s="106"/>
      <c r="E46" s="106"/>
      <c r="F46" s="106"/>
      <c r="G46" s="106"/>
    </row>
    <row r="47" customFormat="false" ht="15" hidden="false" customHeight="true" outlineLevel="0" collapsed="false">
      <c r="B47" s="122"/>
    </row>
    <row r="48" customFormat="false" ht="15.75" hidden="false" customHeight="true" outlineLevel="0" collapsed="false">
      <c r="B48" s="106" t="s">
        <v>8670</v>
      </c>
      <c r="C48" s="106"/>
      <c r="D48" s="106"/>
      <c r="E48" s="106"/>
      <c r="F48" s="106"/>
      <c r="G48" s="106"/>
    </row>
    <row r="49" customFormat="false" ht="15.75" hidden="false" customHeight="true" outlineLevel="0" collapsed="false">
      <c r="B49" s="106"/>
      <c r="C49" s="106"/>
      <c r="D49" s="106"/>
      <c r="E49" s="106"/>
      <c r="F49" s="106"/>
      <c r="G49" s="106"/>
    </row>
    <row r="50" customFormat="false" ht="15" hidden="false" customHeight="true" outlineLevel="0" collapsed="false">
      <c r="B50" s="122"/>
    </row>
    <row r="51" customFormat="false" ht="15.75" hidden="false" customHeight="true" outlineLevel="0" collapsed="false">
      <c r="B51" s="106" t="s">
        <v>8671</v>
      </c>
      <c r="C51" s="106"/>
      <c r="D51" s="106"/>
      <c r="E51" s="106"/>
      <c r="F51" s="106"/>
      <c r="G51" s="106"/>
    </row>
    <row r="52" customFormat="false" ht="15.75" hidden="false" customHeight="true" outlineLevel="0" collapsed="false">
      <c r="B52" s="106"/>
      <c r="C52" s="106"/>
      <c r="D52" s="106"/>
      <c r="E52" s="106"/>
      <c r="F52" s="106"/>
      <c r="G52" s="106"/>
    </row>
    <row r="54" customFormat="false" ht="15.75" hidden="false" customHeight="true" outlineLevel="0" collapsed="false">
      <c r="B54" s="103" t="s">
        <v>1437</v>
      </c>
      <c r="C54" s="8"/>
      <c r="D54" s="8"/>
      <c r="E54" s="8"/>
      <c r="F54" s="8"/>
      <c r="G54" s="8"/>
      <c r="H54" s="8"/>
      <c r="I54" s="8"/>
      <c r="J54" s="8"/>
      <c r="K54" s="8"/>
    </row>
    <row r="55" customFormat="false" ht="16.5" hidden="false" customHeight="true" outlineLevel="0" collapsed="false">
      <c r="B55" s="152" t="s">
        <v>1438</v>
      </c>
      <c r="C55" s="152" t="s">
        <v>1439</v>
      </c>
      <c r="D55" s="152" t="s">
        <v>1440</v>
      </c>
    </row>
    <row r="56" customFormat="false" ht="44.25" hidden="false" customHeight="true" outlineLevel="0" collapsed="false">
      <c r="B56" s="15" t="s">
        <v>1920</v>
      </c>
      <c r="C56" s="15" t="s">
        <v>8672</v>
      </c>
      <c r="D56" s="15" t="s">
        <v>8673</v>
      </c>
    </row>
    <row r="57" customFormat="false" ht="44.25" hidden="false" customHeight="true" outlineLevel="0" collapsed="false">
      <c r="B57" s="15" t="s">
        <v>3248</v>
      </c>
      <c r="C57" s="15" t="s">
        <v>8674</v>
      </c>
      <c r="D57" s="15" t="s">
        <v>8675</v>
      </c>
    </row>
    <row r="58" customFormat="false" ht="30.75" hidden="false" customHeight="true" outlineLevel="0" collapsed="false">
      <c r="B58" s="15" t="s">
        <v>1562</v>
      </c>
      <c r="C58" s="15" t="s">
        <v>1563</v>
      </c>
      <c r="D58" s="15" t="s">
        <v>8676</v>
      </c>
    </row>
    <row r="59" customFormat="false" ht="44.25" hidden="false" customHeight="true" outlineLevel="0" collapsed="false">
      <c r="B59" s="15" t="s">
        <v>7487</v>
      </c>
      <c r="C59" s="15" t="s">
        <v>8677</v>
      </c>
      <c r="D59" s="15" t="s">
        <v>8678</v>
      </c>
    </row>
    <row r="61" customFormat="false" ht="15.75" hidden="false" customHeight="true" outlineLevel="0" collapsed="false">
      <c r="B61" s="103" t="s">
        <v>1454</v>
      </c>
      <c r="C61" s="8"/>
      <c r="D61" s="8"/>
      <c r="E61" s="8"/>
      <c r="F61" s="8"/>
      <c r="G61" s="8"/>
      <c r="H61" s="8"/>
      <c r="I61" s="8"/>
      <c r="J61" s="8"/>
      <c r="K61" s="8"/>
    </row>
    <row r="62" customFormat="false" ht="10.5" hidden="false" customHeight="true" outlineLevel="0" collapsed="false">
      <c r="B62" s="106" t="s">
        <v>8679</v>
      </c>
      <c r="C62" s="106"/>
      <c r="D62" s="106"/>
      <c r="E62" s="106"/>
      <c r="F62" s="106"/>
      <c r="G62" s="106"/>
    </row>
    <row r="63" customFormat="false" ht="10.5" hidden="false" customHeight="true" outlineLevel="0" collapsed="false">
      <c r="B63" s="106"/>
      <c r="C63" s="106"/>
      <c r="D63" s="106"/>
      <c r="E63" s="106"/>
      <c r="F63" s="106"/>
      <c r="G63" s="106"/>
    </row>
    <row r="64" customFormat="false" ht="10.5" hidden="false" customHeight="true" outlineLevel="0" collapsed="false">
      <c r="B64" s="106"/>
      <c r="C64" s="106"/>
      <c r="D64" s="106"/>
      <c r="E64" s="106"/>
      <c r="F64" s="106"/>
      <c r="G64" s="106"/>
    </row>
    <row r="65" customFormat="false" ht="17.25" hidden="false" customHeight="true" outlineLevel="0" collapsed="false">
      <c r="B65" s="112" t="s">
        <v>85</v>
      </c>
      <c r="C65" s="113" t="s">
        <v>86</v>
      </c>
      <c r="D65" s="113"/>
    </row>
    <row r="67" customFormat="false" ht="17.25" hidden="false" customHeight="true" outlineLevel="0" collapsed="false">
      <c r="B67" s="107" t="s">
        <v>8680</v>
      </c>
      <c r="C67" s="107"/>
      <c r="D67" s="107"/>
      <c r="E67" s="107"/>
      <c r="F67" s="107"/>
      <c r="G67" s="107"/>
    </row>
    <row r="68" customFormat="false" ht="44.25" hidden="false" customHeight="true" outlineLevel="0" collapsed="false">
      <c r="B68" s="152" t="s">
        <v>8681</v>
      </c>
      <c r="C68" s="152" t="s">
        <v>8682</v>
      </c>
      <c r="D68" s="152" t="s">
        <v>8683</v>
      </c>
      <c r="E68" s="152" t="s">
        <v>8684</v>
      </c>
      <c r="F68" s="152" t="s">
        <v>8685</v>
      </c>
      <c r="G68" s="152" t="s">
        <v>8686</v>
      </c>
      <c r="H68" s="152" t="s">
        <v>8687</v>
      </c>
      <c r="I68" s="152" t="s">
        <v>8688</v>
      </c>
      <c r="J68" s="152" t="s">
        <v>8689</v>
      </c>
      <c r="K68" s="152" t="s">
        <v>8690</v>
      </c>
    </row>
    <row r="69" customFormat="false" ht="30.75" hidden="false" customHeight="true" outlineLevel="0" collapsed="false">
      <c r="B69" s="15" t="s">
        <v>8691</v>
      </c>
      <c r="C69" s="177" t="s">
        <v>8692</v>
      </c>
      <c r="D69" s="177" t="s">
        <v>8693</v>
      </c>
      <c r="E69" s="177" t="s">
        <v>8694</v>
      </c>
      <c r="F69" s="177" t="s">
        <v>8695</v>
      </c>
      <c r="G69" s="177" t="s">
        <v>8696</v>
      </c>
      <c r="H69" s="155" t="n">
        <v>7</v>
      </c>
      <c r="I69" s="155" t="n">
        <v>2</v>
      </c>
      <c r="J69" s="161" t="n">
        <f aca="false">H69-I69</f>
        <v>5</v>
      </c>
      <c r="K69" s="161" t="n">
        <f aca="false">IF(G69="Elimination",4,IF(G69="Prevention",3,IF(G69="Detection",2,1)))</f>
        <v>3</v>
      </c>
    </row>
    <row r="70" customFormat="false" ht="30.75" hidden="false" customHeight="true" outlineLevel="0" collapsed="false">
      <c r="B70" s="15" t="s">
        <v>8697</v>
      </c>
      <c r="C70" s="177" t="s">
        <v>8692</v>
      </c>
      <c r="D70" s="177" t="s">
        <v>8693</v>
      </c>
      <c r="E70" s="177" t="s">
        <v>8694</v>
      </c>
      <c r="F70" s="177" t="s">
        <v>8698</v>
      </c>
      <c r="G70" s="177" t="s">
        <v>8696</v>
      </c>
      <c r="H70" s="155" t="n">
        <v>6</v>
      </c>
      <c r="I70" s="155" t="n">
        <v>2</v>
      </c>
      <c r="J70" s="161" t="n">
        <f aca="false">H70-I70</f>
        <v>4</v>
      </c>
      <c r="K70" s="161" t="n">
        <f aca="false">IF(G70="Elimination",4,IF(G70="Prevention",3,IF(G70="Detection",2,1)))</f>
        <v>3</v>
      </c>
    </row>
    <row r="71" customFormat="false" ht="30.75" hidden="false" customHeight="true" outlineLevel="0" collapsed="false">
      <c r="B71" s="15" t="s">
        <v>8699</v>
      </c>
      <c r="C71" s="177" t="s">
        <v>8692</v>
      </c>
      <c r="D71" s="177" t="s">
        <v>8700</v>
      </c>
      <c r="E71" s="177" t="s">
        <v>8701</v>
      </c>
      <c r="F71" s="177" t="s">
        <v>8702</v>
      </c>
      <c r="G71" s="177" t="s">
        <v>8703</v>
      </c>
      <c r="H71" s="155" t="n">
        <v>5</v>
      </c>
      <c r="I71" s="155" t="n">
        <v>1</v>
      </c>
      <c r="J71" s="161" t="n">
        <f aca="false">H71-I71</f>
        <v>4</v>
      </c>
      <c r="K71" s="161" t="n">
        <f aca="false">IF(G71="Elimination",4,IF(G71="Prevention",3,IF(G71="Detection",2,1)))</f>
        <v>4</v>
      </c>
    </row>
    <row r="72" customFormat="false" ht="30.75" hidden="false" customHeight="true" outlineLevel="0" collapsed="false">
      <c r="B72" s="15" t="s">
        <v>8704</v>
      </c>
      <c r="C72" s="177" t="s">
        <v>8692</v>
      </c>
      <c r="D72" s="177" t="s">
        <v>8705</v>
      </c>
      <c r="E72" s="177" t="s">
        <v>8694</v>
      </c>
      <c r="F72" s="177" t="s">
        <v>8706</v>
      </c>
      <c r="G72" s="177" t="s">
        <v>8696</v>
      </c>
      <c r="H72" s="155" t="n">
        <v>6</v>
      </c>
      <c r="I72" s="155" t="n">
        <v>1</v>
      </c>
      <c r="J72" s="161" t="n">
        <f aca="false">H72-I72</f>
        <v>5</v>
      </c>
      <c r="K72" s="161" t="n">
        <f aca="false">IF(G72="Elimination",4,IF(G72="Prevention",3,IF(G72="Detection",2,1)))</f>
        <v>3</v>
      </c>
    </row>
    <row r="73" customFormat="false" ht="30.75" hidden="false" customHeight="true" outlineLevel="0" collapsed="false">
      <c r="B73" s="15" t="s">
        <v>8707</v>
      </c>
      <c r="C73" s="177" t="s">
        <v>8692</v>
      </c>
      <c r="D73" s="177" t="s">
        <v>8708</v>
      </c>
      <c r="E73" s="177" t="s">
        <v>8701</v>
      </c>
      <c r="F73" s="177" t="s">
        <v>8709</v>
      </c>
      <c r="G73" s="177" t="s">
        <v>8696</v>
      </c>
      <c r="H73" s="155" t="n">
        <v>8</v>
      </c>
      <c r="I73" s="155" t="n">
        <v>2</v>
      </c>
      <c r="J73" s="161" t="n">
        <f aca="false">H73-I73</f>
        <v>6</v>
      </c>
      <c r="K73" s="161" t="n">
        <f aca="false">IF(G73="Elimination",4,IF(G73="Prevention",3,IF(G73="Detection",2,1)))</f>
        <v>3</v>
      </c>
    </row>
    <row r="74" customFormat="false" ht="30.75" hidden="false" customHeight="true" outlineLevel="0" collapsed="false">
      <c r="B74" s="15" t="s">
        <v>8710</v>
      </c>
      <c r="C74" s="177" t="s">
        <v>8711</v>
      </c>
      <c r="D74" s="177" t="s">
        <v>8712</v>
      </c>
      <c r="E74" s="177" t="s">
        <v>8701</v>
      </c>
      <c r="F74" s="177" t="s">
        <v>8713</v>
      </c>
      <c r="G74" s="177" t="s">
        <v>8701</v>
      </c>
      <c r="H74" s="155" t="n">
        <v>7</v>
      </c>
      <c r="I74" s="155" t="n">
        <v>3</v>
      </c>
      <c r="J74" s="161" t="n">
        <f aca="false">H74-I74</f>
        <v>4</v>
      </c>
      <c r="K74" s="161" t="n">
        <f aca="false">IF(G74="Elimination",4,IF(G74="Prevention",3,IF(G74="Detection",2,1)))</f>
        <v>2</v>
      </c>
    </row>
    <row r="75" customFormat="false" ht="16.5" hidden="false" customHeight="true" outlineLevel="0" collapsed="false">
      <c r="B75" s="15" t="s">
        <v>8714</v>
      </c>
      <c r="C75" s="177" t="s">
        <v>8711</v>
      </c>
      <c r="D75" s="177" t="s">
        <v>8715</v>
      </c>
      <c r="E75" s="177" t="s">
        <v>8701</v>
      </c>
      <c r="F75" s="177" t="s">
        <v>8716</v>
      </c>
      <c r="G75" s="177" t="s">
        <v>8701</v>
      </c>
      <c r="H75" s="155" t="n">
        <v>4</v>
      </c>
      <c r="I75" s="155" t="n">
        <v>2</v>
      </c>
      <c r="J75" s="161" t="n">
        <f aca="false">H75-I75</f>
        <v>2</v>
      </c>
      <c r="K75" s="161" t="n">
        <f aca="false">IF(G75="Elimination",4,IF(G75="Prevention",3,IF(G75="Detection",2,1)))</f>
        <v>2</v>
      </c>
    </row>
    <row r="76" customFormat="false" ht="30.75" hidden="false" customHeight="true" outlineLevel="0" collapsed="false">
      <c r="B76" s="15" t="s">
        <v>8717</v>
      </c>
      <c r="C76" s="177" t="s">
        <v>8711</v>
      </c>
      <c r="D76" s="177" t="s">
        <v>7018</v>
      </c>
      <c r="E76" s="177" t="s">
        <v>8694</v>
      </c>
      <c r="F76" s="177" t="s">
        <v>8718</v>
      </c>
      <c r="G76" s="177" t="s">
        <v>8703</v>
      </c>
      <c r="H76" s="155" t="n">
        <v>8</v>
      </c>
      <c r="I76" s="155" t="n">
        <v>1</v>
      </c>
      <c r="J76" s="161" t="n">
        <f aca="false">H76-I76</f>
        <v>7</v>
      </c>
      <c r="K76" s="161" t="n">
        <f aca="false">IF(G76="Elimination",4,IF(G76="Prevention",3,IF(G76="Detection",2,1)))</f>
        <v>4</v>
      </c>
    </row>
    <row r="78" customFormat="false" ht="17.25" hidden="false" customHeight="true" outlineLevel="0" collapsed="false">
      <c r="B78" s="107" t="s">
        <v>8719</v>
      </c>
      <c r="C78" s="107"/>
      <c r="D78" s="107"/>
      <c r="E78" s="107"/>
      <c r="F78" s="107"/>
      <c r="G78" s="107"/>
    </row>
    <row r="79" customFormat="false" ht="17.25" hidden="false" customHeight="true" outlineLevel="0" collapsed="false">
      <c r="B79" s="152" t="s">
        <v>5376</v>
      </c>
      <c r="C79" s="152" t="s">
        <v>8686</v>
      </c>
      <c r="D79" s="152" t="s">
        <v>8170</v>
      </c>
      <c r="E79" s="152" t="s">
        <v>8720</v>
      </c>
      <c r="F79" s="152"/>
    </row>
    <row r="80" customFormat="false" ht="30.75" hidden="false" customHeight="true" outlineLevel="0" collapsed="false">
      <c r="B80" s="15" t="s">
        <v>8721</v>
      </c>
      <c r="C80" s="15" t="s">
        <v>8722</v>
      </c>
      <c r="D80" s="15" t="s">
        <v>8723</v>
      </c>
      <c r="E80" s="15" t="s">
        <v>8724</v>
      </c>
      <c r="F80" s="15"/>
    </row>
    <row r="81" customFormat="false" ht="44.25" hidden="false" customHeight="true" outlineLevel="0" collapsed="false">
      <c r="B81" s="15" t="s">
        <v>6926</v>
      </c>
      <c r="C81" s="15" t="s">
        <v>8725</v>
      </c>
      <c r="D81" s="15" t="s">
        <v>8726</v>
      </c>
      <c r="E81" s="15" t="s">
        <v>8695</v>
      </c>
      <c r="F81" s="15"/>
    </row>
    <row r="82" customFormat="false" ht="44.25" hidden="false" customHeight="true" outlineLevel="0" collapsed="false">
      <c r="B82" s="15" t="s">
        <v>6922</v>
      </c>
      <c r="C82" s="15" t="s">
        <v>8727</v>
      </c>
      <c r="D82" s="15" t="s">
        <v>8728</v>
      </c>
      <c r="E82" s="15" t="s">
        <v>8729</v>
      </c>
      <c r="F82" s="15"/>
    </row>
    <row r="83" customFormat="false" ht="30.75" hidden="false" customHeight="true" outlineLevel="0" collapsed="false">
      <c r="B83" s="15" t="s">
        <v>8730</v>
      </c>
      <c r="C83" s="15" t="s">
        <v>8731</v>
      </c>
      <c r="D83" s="15" t="s">
        <v>8732</v>
      </c>
      <c r="E83" s="15" t="s">
        <v>8733</v>
      </c>
      <c r="F83" s="15"/>
    </row>
    <row r="84" customFormat="false" ht="28.5" hidden="false" customHeight="true" outlineLevel="0" collapsed="false">
      <c r="B84" s="182" t="s">
        <v>8734</v>
      </c>
      <c r="C84" s="182"/>
      <c r="D84" s="182"/>
      <c r="E84" s="182"/>
      <c r="F84" s="182"/>
      <c r="G84" s="182"/>
    </row>
    <row r="86" customFormat="false" ht="17.25" hidden="false" customHeight="true" outlineLevel="0" collapsed="false">
      <c r="B86" s="152" t="s">
        <v>6689</v>
      </c>
      <c r="C86" s="152" t="s">
        <v>6654</v>
      </c>
      <c r="D86" s="152" t="s">
        <v>88</v>
      </c>
      <c r="E86" s="152"/>
    </row>
    <row r="87" customFormat="false" ht="17.25" hidden="false" customHeight="true" outlineLevel="0" collapsed="false">
      <c r="B87" s="15" t="s">
        <v>8735</v>
      </c>
      <c r="C87" s="161" t="n">
        <f aca="false">COUNTA(B69:B76)</f>
        <v>8</v>
      </c>
      <c r="D87" s="15" t="s">
        <v>8736</v>
      </c>
      <c r="E87" s="15"/>
    </row>
    <row r="88" customFormat="false" ht="31.5" hidden="false" customHeight="true" outlineLevel="0" collapsed="false">
      <c r="B88" s="15" t="s">
        <v>8737</v>
      </c>
      <c r="C88" s="161" t="n">
        <f aca="false">COUNTIF(G69:G76,"Elimination")+COUNTIF(G69:G76,"Prevention")</f>
        <v>6</v>
      </c>
      <c r="D88" s="15" t="s">
        <v>8738</v>
      </c>
      <c r="E88" s="15"/>
    </row>
    <row r="89" customFormat="false" ht="17.25" hidden="false" customHeight="true" outlineLevel="0" collapsed="false">
      <c r="B89" s="15" t="s">
        <v>8739</v>
      </c>
      <c r="C89" s="161" t="n">
        <f aca="false">COUNTIF(G69:G76,"Warning")</f>
        <v>0</v>
      </c>
      <c r="D89" s="15" t="s">
        <v>8740</v>
      </c>
      <c r="E89" s="15"/>
    </row>
    <row r="90" customFormat="false" ht="17.25" hidden="false" customHeight="true" outlineLevel="0" collapsed="false">
      <c r="B90" s="15" t="s">
        <v>8741</v>
      </c>
      <c r="C90" s="174" t="n">
        <f aca="false">IFERROR(AVERAGE(K69:K76),0)</f>
        <v>3</v>
      </c>
      <c r="D90" s="15" t="s">
        <v>8742</v>
      </c>
      <c r="E90" s="15"/>
    </row>
    <row r="91" customFormat="false" ht="31.5" hidden="false" customHeight="true" outlineLevel="0" collapsed="false">
      <c r="B91" s="15" t="s">
        <v>8743</v>
      </c>
      <c r="C91" s="161" t="n">
        <f aca="false">SUM(J69:J76)</f>
        <v>37</v>
      </c>
      <c r="D91" s="15" t="s">
        <v>8744</v>
      </c>
      <c r="E91" s="15"/>
    </row>
    <row r="92" customFormat="false" ht="17.25" hidden="false" customHeight="true" outlineLevel="0" collapsed="false">
      <c r="B92" s="15" t="s">
        <v>8745</v>
      </c>
      <c r="C92" s="161" t="n">
        <f aca="false">MAX(J69:J76)</f>
        <v>7</v>
      </c>
      <c r="D92" s="15" t="s">
        <v>8746</v>
      </c>
      <c r="E92" s="15"/>
    </row>
    <row r="93" customFormat="false" ht="58.5" hidden="false" customHeight="true" outlineLevel="0" collapsed="false">
      <c r="B93" s="15" t="s">
        <v>8747</v>
      </c>
      <c r="C93" s="167" t="str">
        <f aca="false">INDEX(F69:F76,MATCH(MAX(J69:J76),J69:J76,0))</f>
        <v>Trapped-key interlock — the machine cannot start</v>
      </c>
      <c r="D93" s="15" t="s">
        <v>8748</v>
      </c>
      <c r="E93" s="15"/>
    </row>
    <row r="95" customFormat="false" ht="15.75" hidden="false" customHeight="true" outlineLevel="0" collapsed="false">
      <c r="B95" s="103" t="s">
        <v>1493</v>
      </c>
      <c r="C95" s="8"/>
      <c r="D95" s="8"/>
      <c r="E95" s="8"/>
      <c r="F95" s="8"/>
      <c r="G95" s="8"/>
      <c r="H95" s="8"/>
      <c r="I95" s="8"/>
      <c r="J95" s="8"/>
      <c r="K95" s="8"/>
    </row>
    <row r="96" customFormat="false" ht="65.25" hidden="false" customHeight="true" outlineLevel="0" collapsed="false">
      <c r="B96" s="105" t="s">
        <v>1494</v>
      </c>
      <c r="C96" s="168" t="str">
        <f aca="false">"The register holds "&amp;TEXT(C87,"0")&amp;" error opportunities. "&amp;TEXT(C88,"0")&amp;" are addressed by elimination or prevention and "&amp;TEXT(C89,"0")&amp;" only by a warning, giving an average device strength of "&amp;TEXT(C90,"0.00")&amp;"/4. "&amp;"Implement first: "&amp;INDEX(F69:F76,MATCH(MAX(J69:J76),J69:J76,0))&amp;" (Detection "&amp;TEXT(MAX(J69:J76),"0")&amp;" points). "&amp;IF(C90&lt;3,"Average strength below 3: too much of this register depends on someone noticing. Push the weakest devices up the ladder before implementing any of them.","The register is dominated by prevention and elimination, which is where mistake-proofing survives.")</f>
        <v>The register holds 8 error opportunities. 6 are addressed by elimination or prevention and 0 only by a warning, giving an average device strength of 3.00/4. Implement first: Trapped-key interlock — the machine cannot start (Detection 7 points). The register is dominated by prevention and elimination, which is where mistake-proofing survives.</v>
      </c>
      <c r="D96" s="168"/>
      <c r="E96" s="168"/>
      <c r="F96" s="168"/>
      <c r="G96" s="168"/>
    </row>
    <row r="98" customFormat="false" ht="17.25" hidden="false" customHeight="true" outlineLevel="0" collapsed="false">
      <c r="B98" s="152" t="s">
        <v>1495</v>
      </c>
      <c r="C98" s="152" t="s">
        <v>1496</v>
      </c>
      <c r="D98" s="152" t="s">
        <v>1497</v>
      </c>
      <c r="E98" s="152"/>
    </row>
    <row r="99" customFormat="false" ht="44.25" hidden="false" customHeight="true" outlineLevel="0" collapsed="false">
      <c r="B99" s="15" t="s">
        <v>8749</v>
      </c>
      <c r="C99" s="15" t="s">
        <v>8750</v>
      </c>
      <c r="D99" s="15" t="s">
        <v>8751</v>
      </c>
      <c r="E99" s="15"/>
    </row>
    <row r="100" customFormat="false" ht="31.5" hidden="false" customHeight="true" outlineLevel="0" collapsed="false">
      <c r="B100" s="15" t="s">
        <v>8752</v>
      </c>
      <c r="C100" s="15" t="s">
        <v>8753</v>
      </c>
      <c r="D100" s="15" t="s">
        <v>8754</v>
      </c>
      <c r="E100" s="15"/>
    </row>
    <row r="101" customFormat="false" ht="44.25" hidden="false" customHeight="true" outlineLevel="0" collapsed="false">
      <c r="B101" s="15" t="s">
        <v>8755</v>
      </c>
      <c r="C101" s="15" t="s">
        <v>8756</v>
      </c>
      <c r="D101" s="15" t="s">
        <v>8757</v>
      </c>
      <c r="E101" s="15"/>
    </row>
    <row r="102" customFormat="false" ht="31.5" hidden="false" customHeight="true" outlineLevel="0" collapsed="false">
      <c r="B102" s="15" t="s">
        <v>8758</v>
      </c>
      <c r="C102" s="15" t="s">
        <v>8759</v>
      </c>
      <c r="D102" s="15" t="s">
        <v>8760</v>
      </c>
      <c r="E102" s="15"/>
    </row>
    <row r="104" customFormat="false" ht="15" hidden="false" customHeight="true" outlineLevel="0" collapsed="false">
      <c r="B104" s="105" t="s">
        <v>1507</v>
      </c>
    </row>
    <row r="105" customFormat="false" ht="17.25" hidden="false" customHeight="true" outlineLevel="0" collapsed="false">
      <c r="B105" s="106" t="s">
        <v>8761</v>
      </c>
      <c r="C105" s="106"/>
      <c r="D105" s="106"/>
      <c r="E105" s="106"/>
      <c r="F105" s="106"/>
      <c r="G105" s="106"/>
    </row>
    <row r="106" customFormat="false" ht="17.25" hidden="false" customHeight="true" outlineLevel="0" collapsed="false">
      <c r="B106" s="106" t="s">
        <v>8762</v>
      </c>
      <c r="C106" s="106"/>
      <c r="D106" s="106"/>
      <c r="E106" s="106"/>
      <c r="F106" s="106"/>
      <c r="G106" s="106"/>
    </row>
    <row r="107" customFormat="false" ht="17.25" hidden="false" customHeight="true" outlineLevel="0" collapsed="false">
      <c r="B107" s="106" t="s">
        <v>8763</v>
      </c>
      <c r="C107" s="106"/>
      <c r="D107" s="106"/>
      <c r="E107" s="106"/>
      <c r="F107" s="106"/>
      <c r="G107" s="106"/>
    </row>
    <row r="108" customFormat="false" ht="17.25" hidden="false" customHeight="true" outlineLevel="0" collapsed="false">
      <c r="B108" s="106" t="s">
        <v>8764</v>
      </c>
      <c r="C108" s="106"/>
      <c r="D108" s="106"/>
      <c r="E108" s="106"/>
      <c r="F108" s="106"/>
      <c r="G108" s="106"/>
    </row>
    <row r="109" customFormat="false" ht="17.25" hidden="false" customHeight="true" outlineLevel="0" collapsed="false">
      <c r="B109" s="106" t="s">
        <v>8765</v>
      </c>
      <c r="C109" s="106"/>
      <c r="D109" s="106"/>
      <c r="E109" s="106"/>
      <c r="F109" s="106"/>
      <c r="G109" s="106"/>
    </row>
    <row r="111" customFormat="false" ht="15.75" hidden="false" customHeight="true" outlineLevel="0" collapsed="false">
      <c r="B111" s="103" t="s">
        <v>1513</v>
      </c>
      <c r="C111" s="8"/>
      <c r="D111" s="8"/>
      <c r="E111" s="8"/>
      <c r="F111" s="8"/>
      <c r="G111" s="8"/>
      <c r="H111" s="8"/>
      <c r="I111" s="8"/>
      <c r="J111" s="8"/>
      <c r="K111" s="8"/>
    </row>
    <row r="112" customFormat="false" ht="17.25" hidden="false" customHeight="true" outlineLevel="0" collapsed="false">
      <c r="B112" s="106" t="s">
        <v>6712</v>
      </c>
      <c r="C112" s="106"/>
      <c r="D112" s="106"/>
      <c r="E112" s="106"/>
      <c r="F112" s="106"/>
      <c r="N112" s="169" t="s">
        <v>1515</v>
      </c>
    </row>
    <row r="113" customFormat="false" ht="44.25" hidden="false" customHeight="true" outlineLevel="0" collapsed="false">
      <c r="B113" s="106" t="s">
        <v>8766</v>
      </c>
      <c r="C113" s="106"/>
      <c r="D113" s="106"/>
      <c r="E113" s="106"/>
      <c r="F113" s="106"/>
      <c r="N113" s="120" t="s">
        <v>8767</v>
      </c>
    </row>
    <row r="114" customFormat="false" ht="44.25" hidden="false" customHeight="true" outlineLevel="0" collapsed="false">
      <c r="B114" s="106" t="s">
        <v>8768</v>
      </c>
      <c r="C114" s="106"/>
      <c r="D114" s="106"/>
      <c r="E114" s="106"/>
      <c r="F114" s="106"/>
      <c r="N114" s="120" t="s">
        <v>8769</v>
      </c>
    </row>
    <row r="115" customFormat="false" ht="44.25" hidden="false" customHeight="true" outlineLevel="0" collapsed="false">
      <c r="B115" s="106" t="s">
        <v>8770</v>
      </c>
      <c r="C115" s="106"/>
      <c r="D115" s="106"/>
      <c r="E115" s="106"/>
      <c r="F115" s="106"/>
      <c r="N115" s="120" t="s">
        <v>8771</v>
      </c>
    </row>
    <row r="117" customFormat="false" ht="15.75" hidden="false" customHeight="true" outlineLevel="0" collapsed="false">
      <c r="B117" s="103" t="s">
        <v>1522</v>
      </c>
      <c r="C117" s="8"/>
      <c r="D117" s="8"/>
      <c r="E117" s="8"/>
      <c r="F117" s="8"/>
      <c r="G117" s="8"/>
      <c r="H117" s="8"/>
      <c r="I117" s="8"/>
      <c r="J117" s="8"/>
      <c r="K117" s="8"/>
    </row>
    <row r="118" customFormat="false" ht="30.75" hidden="false" customHeight="true" outlineLevel="0" collapsed="false">
      <c r="B118" s="152" t="s">
        <v>1523</v>
      </c>
      <c r="C118" s="152" t="s">
        <v>1524</v>
      </c>
      <c r="D118" s="152" t="s">
        <v>6719</v>
      </c>
    </row>
    <row r="119" customFormat="false" ht="30.75" hidden="false" customHeight="true" outlineLevel="0" collapsed="false">
      <c r="B119" s="170" t="s">
        <v>8637</v>
      </c>
      <c r="C119" s="170" t="s">
        <v>1103</v>
      </c>
      <c r="D119" s="170" t="s">
        <v>8094</v>
      </c>
    </row>
  </sheetData>
  <mergeCells count="61">
    <mergeCell ref="B2:J2"/>
    <mergeCell ref="D3:G3"/>
    <mergeCell ref="C6:G6"/>
    <mergeCell ref="C7:G7"/>
    <mergeCell ref="C8:G8"/>
    <mergeCell ref="B11:G11"/>
    <mergeCell ref="B12:G14"/>
    <mergeCell ref="B15:G19"/>
    <mergeCell ref="B20:G22"/>
    <mergeCell ref="B23:G25"/>
    <mergeCell ref="B28:D28"/>
    <mergeCell ref="E28:G28"/>
    <mergeCell ref="B29:D29"/>
    <mergeCell ref="E29:G29"/>
    <mergeCell ref="B30:D30"/>
    <mergeCell ref="E30:G30"/>
    <mergeCell ref="B31:D31"/>
    <mergeCell ref="E31:G31"/>
    <mergeCell ref="B32:G32"/>
    <mergeCell ref="E34:F34"/>
    <mergeCell ref="E35:F35"/>
    <mergeCell ref="E36:F36"/>
    <mergeCell ref="E37:F37"/>
    <mergeCell ref="E38:F38"/>
    <mergeCell ref="B41:G41"/>
    <mergeCell ref="B43:G46"/>
    <mergeCell ref="B48:G49"/>
    <mergeCell ref="B51:G52"/>
    <mergeCell ref="B62:G64"/>
    <mergeCell ref="C65:D65"/>
    <mergeCell ref="B67:G67"/>
    <mergeCell ref="B78:G78"/>
    <mergeCell ref="E79:F79"/>
    <mergeCell ref="E80:F80"/>
    <mergeCell ref="E81:F81"/>
    <mergeCell ref="E82:F82"/>
    <mergeCell ref="E83:F83"/>
    <mergeCell ref="B84:G84"/>
    <mergeCell ref="D86:E86"/>
    <mergeCell ref="D87:E87"/>
    <mergeCell ref="D88:E88"/>
    <mergeCell ref="D89:E89"/>
    <mergeCell ref="D90:E90"/>
    <mergeCell ref="D91:E91"/>
    <mergeCell ref="D92:E92"/>
    <mergeCell ref="D93:E93"/>
    <mergeCell ref="C96:G96"/>
    <mergeCell ref="D98:E98"/>
    <mergeCell ref="D99:E99"/>
    <mergeCell ref="D100:E100"/>
    <mergeCell ref="D101:E101"/>
    <mergeCell ref="D102:E102"/>
    <mergeCell ref="B105:G105"/>
    <mergeCell ref="B106:G106"/>
    <mergeCell ref="B107:G107"/>
    <mergeCell ref="B108:G108"/>
    <mergeCell ref="B109:G109"/>
    <mergeCell ref="B112:F112"/>
    <mergeCell ref="B113:F113"/>
    <mergeCell ref="B114:F114"/>
    <mergeCell ref="B115:F115"/>
  </mergeCells>
  <hyperlinks>
    <hyperlink ref="B3" location="'N-03 Index DMAIC'!A1" display="← Back to Index"/>
    <hyperlink ref="E35" location="'H-13 FMEA AIAG-VDA'!A1" display="H-13  FMEA (AIAG-VDA)"/>
    <hyperlink ref="E36" location="'L-22 Gemba Walk'!A1" display="L-22  Gemba Walk"/>
    <hyperlink ref="E37" location="'G-07 Risk Register'!A1" display="G-07  Risk Register"/>
    <hyperlink ref="E38" location="'L-14 Standard Work'!A1" display="L-14  Standard Work"/>
    <hyperlink ref="B119" location="'H-13 FMEA AIAG-VDA'!A1" display="H-13  FMEA (AIAG-VDA)"/>
    <hyperlink ref="C119" location="'L-18 Jidoka and Andon'!A1" display="L-18  Jidoka and Andon"/>
    <hyperlink ref="D119" location="'H-16 Control and Reaction'!A1" display="H-16  Control Plan and Reaction Pl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N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22"/>
    <col collapsed="false" customWidth="true" hidden="false" outlineLevel="0" max="4" min="4" style="1" width="34"/>
    <col collapsed="false" customWidth="true" hidden="false" outlineLevel="0" max="5" min="5" style="1" width="15"/>
    <col collapsed="false" customWidth="true" hidden="false" outlineLevel="0" max="6" min="6" style="1" width="16"/>
    <col collapsed="false" customWidth="true" hidden="false" outlineLevel="0" max="7" min="7" style="1" width="17"/>
    <col collapsed="false" customWidth="true" hidden="false" outlineLevel="0" max="8" min="8" style="1" width="20"/>
    <col collapsed="false" customWidth="true" hidden="false" outlineLevel="0" max="9" min="9" style="1" width="18"/>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8772</v>
      </c>
      <c r="C2" s="148"/>
      <c r="D2" s="148"/>
      <c r="E2" s="148"/>
      <c r="F2" s="148"/>
      <c r="G2" s="148"/>
      <c r="H2" s="148"/>
      <c r="I2" s="148"/>
      <c r="J2" s="148"/>
      <c r="K2" s="189" t="s">
        <v>5631</v>
      </c>
    </row>
    <row r="3" customFormat="false" ht="42" hidden="false" customHeight="true" outlineLevel="0" collapsed="false">
      <c r="B3" s="150" t="s">
        <v>3</v>
      </c>
      <c r="D3" s="151" t="s">
        <v>8773</v>
      </c>
      <c r="E3" s="151"/>
      <c r="F3" s="151"/>
      <c r="G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8774</v>
      </c>
      <c r="D6" s="106"/>
    </row>
    <row r="7" customFormat="false" ht="31.5" hidden="false" customHeight="true" outlineLevel="0" collapsed="false">
      <c r="B7" s="105" t="s">
        <v>1394</v>
      </c>
      <c r="C7" s="106" t="s">
        <v>8775</v>
      </c>
      <c r="D7" s="106"/>
    </row>
    <row r="8" customFormat="false" ht="31.5" hidden="false" customHeight="true" outlineLevel="0" collapsed="false">
      <c r="B8" s="105" t="s">
        <v>1396</v>
      </c>
      <c r="C8" s="106" t="s">
        <v>8776</v>
      </c>
      <c r="D8" s="106"/>
    </row>
    <row r="10" customFormat="false" ht="15.75" hidden="false" customHeight="true" outlineLevel="0" collapsed="false">
      <c r="B10" s="103" t="s">
        <v>1398</v>
      </c>
      <c r="C10" s="8"/>
      <c r="D10" s="8"/>
      <c r="E10" s="8"/>
      <c r="F10" s="8"/>
      <c r="G10" s="8"/>
      <c r="H10" s="8"/>
      <c r="I10" s="8"/>
      <c r="J10" s="8"/>
      <c r="K10" s="8"/>
    </row>
    <row r="11" customFormat="false" ht="17.25" hidden="false" customHeight="true" outlineLevel="0" collapsed="false">
      <c r="B11" s="106" t="s">
        <v>8777</v>
      </c>
      <c r="C11" s="106"/>
      <c r="D11" s="106"/>
      <c r="E11" s="106"/>
      <c r="F11" s="106"/>
      <c r="G11" s="106"/>
    </row>
    <row r="12" customFormat="false" ht="17.25" hidden="false" customHeight="true" outlineLevel="0" collapsed="false">
      <c r="B12" s="106" t="s">
        <v>8778</v>
      </c>
      <c r="C12" s="106"/>
      <c r="D12" s="106"/>
      <c r="E12" s="106"/>
      <c r="F12" s="106"/>
      <c r="G12" s="106"/>
    </row>
    <row r="13" customFormat="false" ht="10.5" hidden="false" customHeight="true" outlineLevel="0" collapsed="false">
      <c r="B13" s="106" t="s">
        <v>8779</v>
      </c>
      <c r="C13" s="106"/>
      <c r="D13" s="106"/>
      <c r="E13" s="106"/>
      <c r="F13" s="106"/>
      <c r="G13" s="106"/>
    </row>
    <row r="14" customFormat="false" ht="10.5" hidden="false" customHeight="true" outlineLevel="0" collapsed="false">
      <c r="B14" s="106"/>
      <c r="C14" s="106"/>
      <c r="D14" s="106"/>
      <c r="E14" s="106"/>
      <c r="F14" s="106"/>
      <c r="G14" s="106"/>
    </row>
    <row r="15" customFormat="false" ht="10.5" hidden="false" customHeight="true" outlineLevel="0" collapsed="false">
      <c r="B15" s="106"/>
      <c r="C15" s="106"/>
      <c r="D15" s="106"/>
      <c r="E15" s="106"/>
      <c r="F15" s="106"/>
      <c r="G15" s="106"/>
    </row>
    <row r="16" customFormat="false" ht="11.25" hidden="false" customHeight="true" outlineLevel="0" collapsed="false">
      <c r="B16" s="106" t="s">
        <v>8780</v>
      </c>
      <c r="C16" s="106"/>
      <c r="D16" s="106"/>
      <c r="E16" s="106"/>
      <c r="F16" s="106"/>
      <c r="G16" s="106"/>
    </row>
    <row r="17" customFormat="false" ht="11.25" hidden="false" customHeight="true" outlineLevel="0" collapsed="false">
      <c r="B17" s="106"/>
      <c r="C17" s="106"/>
      <c r="D17" s="106"/>
      <c r="E17" s="106"/>
      <c r="F17" s="106"/>
      <c r="G17" s="106"/>
    </row>
    <row r="18" customFormat="false" ht="11.25" hidden="false" customHeight="true" outlineLevel="0" collapsed="false">
      <c r="B18" s="106"/>
      <c r="C18" s="106"/>
      <c r="D18" s="106"/>
      <c r="E18" s="106"/>
      <c r="F18" s="106"/>
      <c r="G18" s="106"/>
    </row>
    <row r="19" customFormat="false" ht="11.25" hidden="false" customHeight="true" outlineLevel="0" collapsed="false">
      <c r="B19" s="106"/>
      <c r="C19" s="106"/>
      <c r="D19" s="106"/>
      <c r="E19" s="106"/>
      <c r="F19" s="106"/>
      <c r="G19" s="106"/>
    </row>
    <row r="20" customFormat="false" ht="15.75" hidden="false" customHeight="true" outlineLevel="0" collapsed="false">
      <c r="B20" s="106" t="s">
        <v>8781</v>
      </c>
      <c r="C20" s="106"/>
      <c r="D20" s="106"/>
      <c r="E20" s="106"/>
      <c r="F20" s="106"/>
      <c r="G20" s="106"/>
    </row>
    <row r="21" customFormat="false" ht="15.75" hidden="false" customHeight="true" outlineLevel="0" collapsed="false">
      <c r="B21" s="106"/>
      <c r="C21" s="106"/>
      <c r="D21" s="106"/>
      <c r="E21" s="106"/>
      <c r="F21" s="106"/>
      <c r="G21" s="106"/>
    </row>
    <row r="22" customFormat="false" ht="10.5" hidden="false" customHeight="true" outlineLevel="0" collapsed="false">
      <c r="B22" s="106" t="s">
        <v>8782</v>
      </c>
      <c r="C22" s="106"/>
      <c r="D22" s="106"/>
      <c r="E22" s="106"/>
      <c r="F22" s="106"/>
      <c r="G22" s="106"/>
    </row>
    <row r="23" customFormat="false" ht="10.5" hidden="false" customHeight="true" outlineLevel="0" collapsed="false">
      <c r="B23" s="106"/>
      <c r="C23" s="106"/>
      <c r="D23" s="106"/>
      <c r="E23" s="106"/>
      <c r="F23" s="106"/>
      <c r="G23" s="106"/>
    </row>
    <row r="24" customFormat="false" ht="10.5" hidden="false" customHeight="true" outlineLevel="0" collapsed="false">
      <c r="B24" s="106"/>
      <c r="C24" s="106"/>
      <c r="D24" s="106"/>
      <c r="E24" s="106"/>
      <c r="F24" s="106"/>
      <c r="G24" s="106"/>
    </row>
    <row r="26" customFormat="false" ht="15.75" hidden="false" customHeight="true" outlineLevel="0" collapsed="false">
      <c r="B26" s="103" t="s">
        <v>1406</v>
      </c>
      <c r="C26" s="8"/>
      <c r="D26" s="8"/>
      <c r="E26" s="8"/>
      <c r="F26" s="8"/>
      <c r="G26" s="8"/>
      <c r="H26" s="8"/>
      <c r="I26" s="8"/>
      <c r="J26" s="8"/>
      <c r="K26" s="8"/>
    </row>
    <row r="27" customFormat="false" ht="17.25" hidden="false" customHeight="true" outlineLevel="0" collapsed="false">
      <c r="B27" s="107" t="s">
        <v>1407</v>
      </c>
      <c r="C27" s="107"/>
      <c r="D27" s="107"/>
      <c r="E27" s="107" t="s">
        <v>1408</v>
      </c>
      <c r="F27" s="107"/>
      <c r="G27" s="107"/>
    </row>
    <row r="28" customFormat="false" ht="45.75" hidden="false" customHeight="true" outlineLevel="0" collapsed="false">
      <c r="B28" s="106" t="s">
        <v>8783</v>
      </c>
      <c r="C28" s="106"/>
      <c r="D28" s="106"/>
      <c r="E28" s="106" t="s">
        <v>8784</v>
      </c>
      <c r="F28" s="106"/>
      <c r="G28" s="106"/>
    </row>
    <row r="29" customFormat="false" ht="45.75" hidden="false" customHeight="true" outlineLevel="0" collapsed="false">
      <c r="B29" s="106" t="s">
        <v>8785</v>
      </c>
      <c r="C29" s="106"/>
      <c r="D29" s="106"/>
      <c r="E29" s="106" t="s">
        <v>8786</v>
      </c>
      <c r="F29" s="106"/>
      <c r="G29" s="106"/>
    </row>
    <row r="30" customFormat="false" ht="31.5" hidden="false" customHeight="true" outlineLevel="0" collapsed="false">
      <c r="B30" s="106" t="s">
        <v>8787</v>
      </c>
      <c r="C30" s="106"/>
      <c r="D30" s="106"/>
      <c r="E30" s="106" t="s">
        <v>8788</v>
      </c>
      <c r="F30" s="106"/>
      <c r="G30" s="106"/>
    </row>
    <row r="31" customFormat="false" ht="17.25" hidden="false" customHeight="true" outlineLevel="0" collapsed="false">
      <c r="B31" s="106" t="s">
        <v>8789</v>
      </c>
      <c r="C31" s="106"/>
      <c r="D31" s="106"/>
      <c r="E31" s="106"/>
      <c r="F31" s="106"/>
      <c r="G31" s="106"/>
    </row>
    <row r="33" customFormat="false" ht="17.25" hidden="false" customHeight="true" outlineLevel="0" collapsed="false">
      <c r="B33" s="152" t="s">
        <v>6621</v>
      </c>
      <c r="C33" s="152" t="s">
        <v>1417</v>
      </c>
      <c r="D33" s="152" t="s">
        <v>1418</v>
      </c>
      <c r="E33" s="152" t="s">
        <v>1419</v>
      </c>
      <c r="F33" s="152"/>
    </row>
    <row r="34" customFormat="false" ht="44.25" hidden="false" customHeight="true" outlineLevel="0" collapsed="false">
      <c r="B34" s="15" t="s">
        <v>8790</v>
      </c>
      <c r="C34" s="15" t="s">
        <v>8791</v>
      </c>
      <c r="D34" s="15" t="s">
        <v>8792</v>
      </c>
      <c r="E34" s="153" t="s">
        <v>1262</v>
      </c>
      <c r="F34" s="153"/>
    </row>
    <row r="35" customFormat="false" ht="44.25" hidden="false" customHeight="true" outlineLevel="0" collapsed="false">
      <c r="B35" s="15" t="s">
        <v>8793</v>
      </c>
      <c r="C35" s="15" t="s">
        <v>8794</v>
      </c>
      <c r="D35" s="15" t="s">
        <v>8795</v>
      </c>
      <c r="E35" s="153" t="s">
        <v>1223</v>
      </c>
      <c r="F35" s="153"/>
    </row>
    <row r="36" customFormat="false" ht="58.5" hidden="false" customHeight="true" outlineLevel="0" collapsed="false">
      <c r="B36" s="15" t="s">
        <v>8796</v>
      </c>
      <c r="C36" s="15" t="s">
        <v>8797</v>
      </c>
      <c r="D36" s="15" t="s">
        <v>8798</v>
      </c>
      <c r="E36" s="153" t="s">
        <v>7107</v>
      </c>
      <c r="F36" s="153"/>
    </row>
    <row r="37" customFormat="false" ht="44.25" hidden="false" customHeight="true" outlineLevel="0" collapsed="false">
      <c r="B37" s="15" t="s">
        <v>8799</v>
      </c>
      <c r="C37" s="15" t="s">
        <v>8800</v>
      </c>
      <c r="D37" s="15" t="s">
        <v>8801</v>
      </c>
      <c r="E37" s="153" t="s">
        <v>6632</v>
      </c>
      <c r="F37" s="153"/>
    </row>
    <row r="39" customFormat="false" ht="15.75" hidden="false" customHeight="true" outlineLevel="0" collapsed="false">
      <c r="B39" s="103" t="s">
        <v>1429</v>
      </c>
      <c r="C39" s="8"/>
      <c r="D39" s="8"/>
      <c r="E39" s="8"/>
      <c r="F39" s="8"/>
      <c r="G39" s="8"/>
      <c r="H39" s="8"/>
      <c r="I39" s="8"/>
      <c r="J39" s="8"/>
      <c r="K39" s="8"/>
    </row>
    <row r="40" customFormat="false" ht="11.25" hidden="false" customHeight="true" outlineLevel="0" collapsed="false">
      <c r="B40" s="106" t="s">
        <v>8802</v>
      </c>
      <c r="C40" s="106"/>
      <c r="D40" s="106"/>
      <c r="E40" s="106"/>
      <c r="F40" s="106"/>
      <c r="G40" s="106"/>
    </row>
    <row r="41" customFormat="false" ht="11.25" hidden="false" customHeight="true" outlineLevel="0" collapsed="false">
      <c r="B41" s="106"/>
      <c r="C41" s="106"/>
      <c r="D41" s="106"/>
      <c r="E41" s="106"/>
      <c r="F41" s="106"/>
      <c r="G41" s="106"/>
    </row>
    <row r="42" customFormat="false" ht="11.25" hidden="false" customHeight="true" outlineLevel="0" collapsed="false">
      <c r="B42" s="106"/>
      <c r="C42" s="106"/>
      <c r="D42" s="106"/>
      <c r="E42" s="106"/>
      <c r="F42" s="106"/>
      <c r="G42" s="106"/>
    </row>
    <row r="43" customFormat="false" ht="11.25" hidden="false" customHeight="true" outlineLevel="0" collapsed="false">
      <c r="B43" s="106"/>
      <c r="C43" s="106"/>
      <c r="D43" s="106"/>
      <c r="E43" s="106"/>
      <c r="F43" s="106"/>
      <c r="G43" s="106"/>
    </row>
    <row r="44" customFormat="false" ht="15" hidden="false" customHeight="true" outlineLevel="0" collapsed="false">
      <c r="B44" s="122"/>
    </row>
    <row r="45" customFormat="false" ht="17.25" hidden="false" customHeight="true" outlineLevel="0" collapsed="false">
      <c r="B45" s="106" t="s">
        <v>8803</v>
      </c>
      <c r="C45" s="106"/>
      <c r="D45" s="106"/>
      <c r="E45" s="106"/>
      <c r="F45" s="106"/>
      <c r="G45" s="106"/>
    </row>
    <row r="46" customFormat="false" ht="17.25" hidden="false" customHeight="true" outlineLevel="0" collapsed="false">
      <c r="B46" s="106" t="s">
        <v>8804</v>
      </c>
      <c r="C46" s="106"/>
      <c r="D46" s="106"/>
      <c r="E46" s="106"/>
      <c r="F46" s="106"/>
      <c r="G46" s="106"/>
    </row>
    <row r="47" customFormat="false" ht="15" hidden="false" customHeight="true" outlineLevel="0" collapsed="false">
      <c r="B47" s="122"/>
    </row>
    <row r="48" customFormat="false" ht="17.25" hidden="false" customHeight="true" outlineLevel="0" collapsed="false">
      <c r="B48" s="106" t="s">
        <v>8805</v>
      </c>
      <c r="C48" s="106"/>
      <c r="D48" s="106"/>
      <c r="E48" s="106"/>
      <c r="F48" s="106"/>
      <c r="G48" s="106"/>
    </row>
    <row r="49" customFormat="false" ht="17.25" hidden="false" customHeight="true" outlineLevel="0" collapsed="false">
      <c r="B49" s="106" t="s">
        <v>8806</v>
      </c>
      <c r="C49" s="106"/>
      <c r="D49" s="106"/>
      <c r="E49" s="106"/>
      <c r="F49" s="106"/>
      <c r="G49" s="106"/>
    </row>
    <row r="51" customFormat="false" ht="15.75" hidden="false" customHeight="true" outlineLevel="0" collapsed="false">
      <c r="B51" s="103" t="s">
        <v>1437</v>
      </c>
      <c r="C51" s="8"/>
      <c r="D51" s="8"/>
      <c r="E51" s="8"/>
      <c r="F51" s="8"/>
      <c r="G51" s="8"/>
      <c r="H51" s="8"/>
      <c r="I51" s="8"/>
      <c r="J51" s="8"/>
      <c r="K51" s="8"/>
    </row>
    <row r="52" customFormat="false" ht="16.5" hidden="false" customHeight="true" outlineLevel="0" collapsed="false">
      <c r="B52" s="152" t="s">
        <v>1438</v>
      </c>
      <c r="C52" s="152" t="s">
        <v>1439</v>
      </c>
      <c r="D52" s="152" t="s">
        <v>1440</v>
      </c>
    </row>
    <row r="53" customFormat="false" ht="30.75" hidden="false" customHeight="true" outlineLevel="0" collapsed="false">
      <c r="B53" s="15" t="s">
        <v>1920</v>
      </c>
      <c r="C53" s="15" t="s">
        <v>8807</v>
      </c>
      <c r="D53" s="15" t="s">
        <v>8808</v>
      </c>
    </row>
    <row r="54" customFormat="false" ht="30.75" hidden="false" customHeight="true" outlineLevel="0" collapsed="false">
      <c r="B54" s="15" t="s">
        <v>8809</v>
      </c>
      <c r="C54" s="15" t="s">
        <v>8810</v>
      </c>
      <c r="D54" s="15" t="s">
        <v>8811</v>
      </c>
    </row>
    <row r="55" customFormat="false" ht="30.75" hidden="false" customHeight="true" outlineLevel="0" collapsed="false">
      <c r="B55" s="15" t="s">
        <v>3248</v>
      </c>
      <c r="C55" s="15" t="s">
        <v>8812</v>
      </c>
      <c r="D55" s="15" t="s">
        <v>8813</v>
      </c>
    </row>
    <row r="56" customFormat="false" ht="30.75" hidden="false" customHeight="true" outlineLevel="0" collapsed="false">
      <c r="B56" s="15" t="s">
        <v>8814</v>
      </c>
      <c r="C56" s="15" t="s">
        <v>8815</v>
      </c>
      <c r="D56" s="15" t="s">
        <v>8816</v>
      </c>
    </row>
    <row r="58" customFormat="false" ht="15.75" hidden="false" customHeight="true" outlineLevel="0" collapsed="false">
      <c r="B58" s="103" t="s">
        <v>1454</v>
      </c>
      <c r="C58" s="8"/>
      <c r="D58" s="8"/>
      <c r="E58" s="8"/>
      <c r="F58" s="8"/>
      <c r="G58" s="8"/>
      <c r="H58" s="8"/>
      <c r="I58" s="8"/>
      <c r="J58" s="8"/>
      <c r="K58" s="8"/>
    </row>
    <row r="59" customFormat="false" ht="15.75" hidden="false" customHeight="true" outlineLevel="0" collapsed="false">
      <c r="B59" s="106" t="s">
        <v>8817</v>
      </c>
      <c r="C59" s="106"/>
      <c r="D59" s="106"/>
      <c r="E59" s="106"/>
      <c r="F59" s="106"/>
      <c r="G59" s="106"/>
    </row>
    <row r="60" customFormat="false" ht="15.75" hidden="false" customHeight="true" outlineLevel="0" collapsed="false">
      <c r="B60" s="106"/>
      <c r="C60" s="106"/>
      <c r="D60" s="106"/>
      <c r="E60" s="106"/>
      <c r="F60" s="106"/>
      <c r="G60" s="106"/>
    </row>
    <row r="61" customFormat="false" ht="15" hidden="false" customHeight="true" outlineLevel="0" collapsed="false">
      <c r="B61" s="112" t="s">
        <v>85</v>
      </c>
      <c r="C61" s="154" t="s">
        <v>86</v>
      </c>
    </row>
    <row r="63" customFormat="false" ht="17.25" hidden="false" customHeight="true" outlineLevel="0" collapsed="false">
      <c r="B63" s="107" t="s">
        <v>8818</v>
      </c>
      <c r="C63" s="107"/>
      <c r="D63" s="107"/>
      <c r="E63" s="107"/>
      <c r="F63" s="107"/>
      <c r="G63" s="107"/>
    </row>
    <row r="64" customFormat="false" ht="17.25" hidden="false" customHeight="true" outlineLevel="0" collapsed="false">
      <c r="B64" s="152" t="s">
        <v>8819</v>
      </c>
      <c r="C64" s="152" t="s">
        <v>6654</v>
      </c>
      <c r="D64" s="152" t="s">
        <v>6575</v>
      </c>
      <c r="E64" s="152" t="s">
        <v>6655</v>
      </c>
      <c r="F64" s="152"/>
      <c r="G64" s="152"/>
    </row>
    <row r="65" customFormat="false" ht="17.25" hidden="false" customHeight="true" outlineLevel="0" collapsed="false">
      <c r="B65" s="15" t="s">
        <v>8820</v>
      </c>
      <c r="C65" s="157" t="n">
        <v>2</v>
      </c>
      <c r="D65" s="15" t="s">
        <v>6816</v>
      </c>
      <c r="E65" s="15" t="s">
        <v>8821</v>
      </c>
      <c r="F65" s="15"/>
      <c r="G65" s="15"/>
    </row>
    <row r="66" customFormat="false" ht="17.25" hidden="false" customHeight="true" outlineLevel="0" collapsed="false">
      <c r="B66" s="15" t="s">
        <v>8822</v>
      </c>
      <c r="C66" s="155" t="n">
        <v>10</v>
      </c>
      <c r="D66" s="15" t="s">
        <v>6816</v>
      </c>
      <c r="E66" s="15" t="s">
        <v>8823</v>
      </c>
      <c r="F66" s="15"/>
      <c r="G66" s="15"/>
    </row>
    <row r="68" customFormat="false" ht="30.75" hidden="false" customHeight="true" outlineLevel="0" collapsed="false">
      <c r="B68" s="152" t="s">
        <v>8824</v>
      </c>
      <c r="C68" s="152" t="s">
        <v>8825</v>
      </c>
      <c r="D68" s="152" t="s">
        <v>8826</v>
      </c>
      <c r="E68" s="152" t="s">
        <v>8827</v>
      </c>
      <c r="F68" s="152" t="s">
        <v>8828</v>
      </c>
      <c r="G68" s="152" t="s">
        <v>8829</v>
      </c>
      <c r="H68" s="152" t="s">
        <v>8830</v>
      </c>
      <c r="I68" s="152" t="s">
        <v>8831</v>
      </c>
      <c r="J68" s="152" t="s">
        <v>8832</v>
      </c>
      <c r="K68" s="152"/>
    </row>
    <row r="69" customFormat="false" ht="17.25" hidden="false" customHeight="true" outlineLevel="0" collapsed="false">
      <c r="B69" s="177" t="s">
        <v>8833</v>
      </c>
      <c r="C69" s="177" t="s">
        <v>7398</v>
      </c>
      <c r="D69" s="177" t="s">
        <v>8834</v>
      </c>
      <c r="E69" s="157" t="n">
        <v>1.5</v>
      </c>
      <c r="F69" s="155" t="n">
        <v>8</v>
      </c>
      <c r="G69" s="167" t="str">
        <f aca="false">IF(E69&lt;=$C$65,"On time","LATE")</f>
        <v>On time</v>
      </c>
      <c r="H69" s="167" t="str">
        <f aca="false">IF(F69&gt;$C$66,"Should have escalated","Within threshold")</f>
        <v>Within threshold</v>
      </c>
      <c r="I69" s="177" t="s">
        <v>8835</v>
      </c>
      <c r="J69" s="161" t="n">
        <f aca="false">COUNTIF($C$69:$C$78,C69)</f>
        <v>2</v>
      </c>
      <c r="K69" s="161"/>
    </row>
    <row r="70" customFormat="false" ht="17.25" hidden="false" customHeight="true" outlineLevel="0" collapsed="false">
      <c r="B70" s="177" t="s">
        <v>8836</v>
      </c>
      <c r="C70" s="177" t="s">
        <v>7400</v>
      </c>
      <c r="D70" s="177" t="s">
        <v>8837</v>
      </c>
      <c r="E70" s="157" t="n">
        <v>4</v>
      </c>
      <c r="F70" s="155" t="n">
        <v>22</v>
      </c>
      <c r="G70" s="167" t="str">
        <f aca="false">IF(E70&lt;=$C$65,"On time","LATE")</f>
        <v>LATE</v>
      </c>
      <c r="H70" s="167" t="str">
        <f aca="false">IF(F70&gt;$C$66,"Should have escalated","Within threshold")</f>
        <v>Should have escalated</v>
      </c>
      <c r="I70" s="177" t="s">
        <v>8838</v>
      </c>
      <c r="J70" s="161" t="n">
        <f aca="false">COUNTIF($C$69:$C$78,C70)</f>
        <v>2</v>
      </c>
      <c r="K70" s="161"/>
    </row>
    <row r="71" customFormat="false" ht="17.25" hidden="false" customHeight="true" outlineLevel="0" collapsed="false">
      <c r="B71" s="177" t="s">
        <v>8839</v>
      </c>
      <c r="C71" s="177" t="s">
        <v>7399</v>
      </c>
      <c r="D71" s="177" t="s">
        <v>8840</v>
      </c>
      <c r="E71" s="157" t="n">
        <v>1</v>
      </c>
      <c r="F71" s="155" t="n">
        <v>6</v>
      </c>
      <c r="G71" s="167" t="str">
        <f aca="false">IF(E71&lt;=$C$65,"On time","LATE")</f>
        <v>On time</v>
      </c>
      <c r="H71" s="167" t="str">
        <f aca="false">IF(F71&gt;$C$66,"Should have escalated","Within threshold")</f>
        <v>Within threshold</v>
      </c>
      <c r="I71" s="177" t="s">
        <v>8835</v>
      </c>
      <c r="J71" s="161" t="n">
        <f aca="false">COUNTIF($C$69:$C$78,C71)</f>
        <v>2</v>
      </c>
      <c r="K71" s="161"/>
    </row>
    <row r="72" customFormat="false" ht="17.25" hidden="false" customHeight="true" outlineLevel="0" collapsed="false">
      <c r="B72" s="177" t="s">
        <v>8841</v>
      </c>
      <c r="C72" s="177" t="s">
        <v>7403</v>
      </c>
      <c r="D72" s="177" t="s">
        <v>8842</v>
      </c>
      <c r="E72" s="157" t="n">
        <v>3.5</v>
      </c>
      <c r="F72" s="155" t="n">
        <v>31</v>
      </c>
      <c r="G72" s="167" t="str">
        <f aca="false">IF(E72&lt;=$C$65,"On time","LATE")</f>
        <v>LATE</v>
      </c>
      <c r="H72" s="167" t="str">
        <f aca="false">IF(F72&gt;$C$66,"Should have escalated","Within threshold")</f>
        <v>Should have escalated</v>
      </c>
      <c r="I72" s="177" t="s">
        <v>8838</v>
      </c>
      <c r="J72" s="161" t="n">
        <f aca="false">COUNTIF($C$69:$C$78,C72)</f>
        <v>1</v>
      </c>
      <c r="K72" s="161"/>
    </row>
    <row r="73" customFormat="false" ht="17.25" hidden="false" customHeight="true" outlineLevel="0" collapsed="false">
      <c r="B73" s="177" t="s">
        <v>8843</v>
      </c>
      <c r="C73" s="177" t="s">
        <v>7397</v>
      </c>
      <c r="D73" s="177" t="s">
        <v>8844</v>
      </c>
      <c r="E73" s="157" t="n">
        <v>0.5</v>
      </c>
      <c r="F73" s="155" t="n">
        <v>4</v>
      </c>
      <c r="G73" s="167" t="str">
        <f aca="false">IF(E73&lt;=$C$65,"On time","LATE")</f>
        <v>On time</v>
      </c>
      <c r="H73" s="167" t="str">
        <f aca="false">IF(F73&gt;$C$66,"Should have escalated","Within threshold")</f>
        <v>Within threshold</v>
      </c>
      <c r="I73" s="177" t="s">
        <v>8835</v>
      </c>
      <c r="J73" s="161" t="n">
        <f aca="false">COUNTIF($C$69:$C$78,C73)</f>
        <v>1</v>
      </c>
      <c r="K73" s="161"/>
    </row>
    <row r="74" customFormat="false" ht="17.25" hidden="false" customHeight="true" outlineLevel="0" collapsed="false">
      <c r="B74" s="177" t="s">
        <v>8845</v>
      </c>
      <c r="C74" s="177" t="s">
        <v>7398</v>
      </c>
      <c r="D74" s="177" t="s">
        <v>8846</v>
      </c>
      <c r="E74" s="157" t="n">
        <v>6</v>
      </c>
      <c r="F74" s="155" t="n">
        <v>17</v>
      </c>
      <c r="G74" s="167" t="str">
        <f aca="false">IF(E74&lt;=$C$65,"On time","LATE")</f>
        <v>LATE</v>
      </c>
      <c r="H74" s="167" t="str">
        <f aca="false">IF(F74&gt;$C$66,"Should have escalated","Within threshold")</f>
        <v>Should have escalated</v>
      </c>
      <c r="I74" s="177" t="s">
        <v>8838</v>
      </c>
      <c r="J74" s="161" t="n">
        <f aca="false">COUNTIF($C$69:$C$78,C74)</f>
        <v>2</v>
      </c>
      <c r="K74" s="161"/>
    </row>
    <row r="75" customFormat="false" ht="17.25" hidden="false" customHeight="true" outlineLevel="0" collapsed="false">
      <c r="B75" s="177" t="s">
        <v>8847</v>
      </c>
      <c r="C75" s="177" t="s">
        <v>7404</v>
      </c>
      <c r="D75" s="177" t="s">
        <v>8848</v>
      </c>
      <c r="E75" s="157" t="n">
        <v>1</v>
      </c>
      <c r="F75" s="155" t="n">
        <v>5</v>
      </c>
      <c r="G75" s="167" t="str">
        <f aca="false">IF(E75&lt;=$C$65,"On time","LATE")</f>
        <v>On time</v>
      </c>
      <c r="H75" s="167" t="str">
        <f aca="false">IF(F75&gt;$C$66,"Should have escalated","Within threshold")</f>
        <v>Within threshold</v>
      </c>
      <c r="I75" s="177" t="s">
        <v>8835</v>
      </c>
      <c r="J75" s="161" t="n">
        <f aca="false">COUNTIF($C$69:$C$78,C75)</f>
        <v>1</v>
      </c>
      <c r="K75" s="161"/>
    </row>
    <row r="76" customFormat="false" ht="17.25" hidden="false" customHeight="true" outlineLevel="0" collapsed="false">
      <c r="B76" s="177" t="s">
        <v>8849</v>
      </c>
      <c r="C76" s="177" t="s">
        <v>8850</v>
      </c>
      <c r="D76" s="177" t="s">
        <v>8851</v>
      </c>
      <c r="E76" s="157" t="n">
        <v>2.5</v>
      </c>
      <c r="F76" s="155" t="n">
        <v>14</v>
      </c>
      <c r="G76" s="167" t="str">
        <f aca="false">IF(E76&lt;=$C$65,"On time","LATE")</f>
        <v>LATE</v>
      </c>
      <c r="H76" s="167" t="str">
        <f aca="false">IF(F76&gt;$C$66,"Should have escalated","Within threshold")</f>
        <v>Should have escalated</v>
      </c>
      <c r="I76" s="177" t="s">
        <v>8835</v>
      </c>
      <c r="J76" s="161" t="n">
        <f aca="false">COUNTIF($C$69:$C$78,C76)</f>
        <v>1</v>
      </c>
      <c r="K76" s="161"/>
    </row>
    <row r="77" customFormat="false" ht="17.25" hidden="false" customHeight="true" outlineLevel="0" collapsed="false">
      <c r="B77" s="177" t="s">
        <v>8852</v>
      </c>
      <c r="C77" s="177" t="s">
        <v>7399</v>
      </c>
      <c r="D77" s="177" t="s">
        <v>8853</v>
      </c>
      <c r="E77" s="157" t="n">
        <v>1.5</v>
      </c>
      <c r="F77" s="155" t="n">
        <v>3</v>
      </c>
      <c r="G77" s="167" t="str">
        <f aca="false">IF(E77&lt;=$C$65,"On time","LATE")</f>
        <v>On time</v>
      </c>
      <c r="H77" s="167" t="str">
        <f aca="false">IF(F77&gt;$C$66,"Should have escalated","Within threshold")</f>
        <v>Within threshold</v>
      </c>
      <c r="I77" s="177" t="s">
        <v>8835</v>
      </c>
      <c r="J77" s="161" t="n">
        <f aca="false">COUNTIF($C$69:$C$78,C77)</f>
        <v>2</v>
      </c>
      <c r="K77" s="161"/>
    </row>
    <row r="78" customFormat="false" ht="17.25" hidden="false" customHeight="true" outlineLevel="0" collapsed="false">
      <c r="B78" s="177" t="s">
        <v>8854</v>
      </c>
      <c r="C78" s="177" t="s">
        <v>7400</v>
      </c>
      <c r="D78" s="177" t="s">
        <v>8855</v>
      </c>
      <c r="E78" s="157" t="n">
        <v>5</v>
      </c>
      <c r="F78" s="155" t="n">
        <v>26</v>
      </c>
      <c r="G78" s="167" t="str">
        <f aca="false">IF(E78&lt;=$C$65,"On time","LATE")</f>
        <v>LATE</v>
      </c>
      <c r="H78" s="167" t="str">
        <f aca="false">IF(F78&gt;$C$66,"Should have escalated","Within threshold")</f>
        <v>Should have escalated</v>
      </c>
      <c r="I78" s="177" t="s">
        <v>8838</v>
      </c>
      <c r="J78" s="161" t="n">
        <f aca="false">COUNTIF($C$69:$C$78,C78)</f>
        <v>2</v>
      </c>
      <c r="K78" s="161"/>
    </row>
    <row r="80" customFormat="false" ht="17.25" hidden="false" customHeight="true" outlineLevel="0" collapsed="false">
      <c r="B80" s="152" t="s">
        <v>1929</v>
      </c>
      <c r="C80" s="152" t="s">
        <v>6654</v>
      </c>
      <c r="D80" s="152" t="s">
        <v>6575</v>
      </c>
      <c r="E80" s="152" t="s">
        <v>88</v>
      </c>
      <c r="F80" s="152"/>
      <c r="G80" s="152"/>
    </row>
    <row r="81" customFormat="false" ht="17.25" hidden="false" customHeight="true" outlineLevel="0" collapsed="false">
      <c r="B81" s="15" t="s">
        <v>8856</v>
      </c>
      <c r="C81" s="161" t="n">
        <f aca="false">COUNTA(B69:B78)</f>
        <v>10</v>
      </c>
      <c r="D81" s="15" t="s">
        <v>8857</v>
      </c>
      <c r="E81" s="15" t="s">
        <v>8858</v>
      </c>
      <c r="F81" s="15"/>
      <c r="G81" s="15"/>
    </row>
    <row r="82" customFormat="false" ht="17.25" hidden="false" customHeight="true" outlineLevel="0" collapsed="false">
      <c r="B82" s="15" t="s">
        <v>8859</v>
      </c>
      <c r="C82" s="158" t="n">
        <f aca="false">IFERROR(AVERAGE(E69:E78),0)</f>
        <v>2.65</v>
      </c>
      <c r="D82" s="15" t="s">
        <v>6816</v>
      </c>
      <c r="E82" s="15" t="s">
        <v>8860</v>
      </c>
      <c r="F82" s="15"/>
      <c r="G82" s="15"/>
    </row>
    <row r="83" customFormat="false" ht="17.25" hidden="false" customHeight="true" outlineLevel="0" collapsed="false">
      <c r="B83" s="15" t="s">
        <v>8861</v>
      </c>
      <c r="C83" s="158" t="n">
        <f aca="false">MAX(E69:E78)</f>
        <v>6</v>
      </c>
      <c r="D83" s="15" t="s">
        <v>6816</v>
      </c>
      <c r="E83" s="15" t="s">
        <v>8862</v>
      </c>
      <c r="F83" s="15"/>
      <c r="G83" s="15"/>
    </row>
    <row r="84" customFormat="false" ht="17.25" hidden="false" customHeight="true" outlineLevel="0" collapsed="false">
      <c r="B84" s="15" t="s">
        <v>8863</v>
      </c>
      <c r="C84" s="184" t="n">
        <f aca="false">IFERROR(COUNTIF(G69:G78,"On time")/COUNTA(G69:G78),0)</f>
        <v>0.5</v>
      </c>
      <c r="D84" s="15"/>
      <c r="E84" s="15" t="s">
        <v>8864</v>
      </c>
      <c r="F84" s="15"/>
      <c r="G84" s="15"/>
    </row>
    <row r="85" customFormat="false" ht="17.25" hidden="false" customHeight="true" outlineLevel="0" collapsed="false">
      <c r="B85" s="15" t="s">
        <v>8865</v>
      </c>
      <c r="C85" s="158" t="n">
        <f aca="false">IFERROR(AVERAGE(F69:F78),0)</f>
        <v>13.6</v>
      </c>
      <c r="D85" s="15" t="s">
        <v>6816</v>
      </c>
      <c r="E85" s="15" t="s">
        <v>8866</v>
      </c>
      <c r="F85" s="15"/>
      <c r="G85" s="15"/>
    </row>
    <row r="86" customFormat="false" ht="17.25" hidden="false" customHeight="true" outlineLevel="0" collapsed="false">
      <c r="B86" s="15" t="s">
        <v>8867</v>
      </c>
      <c r="C86" s="161" t="n">
        <f aca="false">COUNTIF(H69:H78,"Should have escalated")</f>
        <v>5</v>
      </c>
      <c r="D86" s="15" t="s">
        <v>8857</v>
      </c>
      <c r="E86" s="15" t="s">
        <v>8868</v>
      </c>
      <c r="F86" s="15"/>
      <c r="G86" s="15"/>
    </row>
    <row r="87" customFormat="false" ht="31.5" hidden="false" customHeight="true" outlineLevel="0" collapsed="false">
      <c r="B87" s="15" t="s">
        <v>8869</v>
      </c>
      <c r="C87" s="161" t="n">
        <f aca="false">COUNTIF(I69:I78,"Line stopped")</f>
        <v>4</v>
      </c>
      <c r="D87" s="15" t="s">
        <v>8857</v>
      </c>
      <c r="E87" s="15" t="s">
        <v>8870</v>
      </c>
      <c r="F87" s="15"/>
      <c r="G87" s="15"/>
    </row>
    <row r="88" customFormat="false" ht="17.25" hidden="false" customHeight="true" outlineLevel="0" collapsed="false">
      <c r="B88" s="15" t="s">
        <v>8871</v>
      </c>
      <c r="C88" s="167" t="str">
        <f aca="false">INDEX(C69:C78,MATCH(MAX(J69:J78),J69:J78,0))</f>
        <v>Filler (Innofil)</v>
      </c>
      <c r="D88" s="15"/>
      <c r="E88" s="15" t="s">
        <v>8872</v>
      </c>
      <c r="F88" s="15"/>
      <c r="G88" s="15"/>
    </row>
    <row r="90" customFormat="false" ht="17.25" hidden="false" customHeight="true" outlineLevel="0" collapsed="false">
      <c r="B90" s="107" t="s">
        <v>8873</v>
      </c>
      <c r="C90" s="107"/>
      <c r="D90" s="107"/>
      <c r="E90" s="107"/>
      <c r="F90" s="107"/>
      <c r="G90" s="107"/>
    </row>
    <row r="91" customFormat="false" ht="30.75" hidden="false" customHeight="true" outlineLevel="0" collapsed="false">
      <c r="B91" s="152" t="s">
        <v>5293</v>
      </c>
      <c r="C91" s="152" t="s">
        <v>8874</v>
      </c>
      <c r="D91" s="152" t="s">
        <v>8875</v>
      </c>
      <c r="E91" s="152" t="s">
        <v>8876</v>
      </c>
      <c r="F91" s="152" t="s">
        <v>8877</v>
      </c>
      <c r="G91" s="152"/>
    </row>
    <row r="92" customFormat="false" ht="30.75" hidden="false" customHeight="true" outlineLevel="0" collapsed="false">
      <c r="B92" s="15" t="s">
        <v>34</v>
      </c>
      <c r="C92" s="15" t="s">
        <v>8122</v>
      </c>
      <c r="D92" s="15" t="s">
        <v>8878</v>
      </c>
      <c r="E92" s="15" t="s">
        <v>8879</v>
      </c>
      <c r="F92" s="15" t="s">
        <v>8880</v>
      </c>
      <c r="G92" s="15"/>
    </row>
    <row r="93" customFormat="false" ht="30.75" hidden="false" customHeight="true" outlineLevel="0" collapsed="false">
      <c r="B93" s="15" t="s">
        <v>6922</v>
      </c>
      <c r="C93" s="15" t="s">
        <v>8881</v>
      </c>
      <c r="D93" s="15" t="s">
        <v>8882</v>
      </c>
      <c r="E93" s="15" t="s">
        <v>8883</v>
      </c>
      <c r="F93" s="15" t="s">
        <v>8884</v>
      </c>
      <c r="G93" s="15"/>
    </row>
    <row r="94" customFormat="false" ht="44.25" hidden="false" customHeight="true" outlineLevel="0" collapsed="false">
      <c r="B94" s="15" t="s">
        <v>6926</v>
      </c>
      <c r="C94" s="15" t="s">
        <v>8885</v>
      </c>
      <c r="D94" s="15" t="s">
        <v>8886</v>
      </c>
      <c r="E94" s="15" t="s">
        <v>8887</v>
      </c>
      <c r="F94" s="15" t="s">
        <v>8888</v>
      </c>
      <c r="G94" s="15"/>
    </row>
    <row r="95" customFormat="false" ht="30.75" hidden="false" customHeight="true" outlineLevel="0" collapsed="false">
      <c r="B95" s="15" t="s">
        <v>6931</v>
      </c>
      <c r="C95" s="15" t="s">
        <v>8889</v>
      </c>
      <c r="D95" s="15" t="s">
        <v>8890</v>
      </c>
      <c r="E95" s="15" t="s">
        <v>8891</v>
      </c>
      <c r="F95" s="15" t="s">
        <v>8892</v>
      </c>
      <c r="G95" s="15"/>
    </row>
    <row r="97" customFormat="false" ht="15.75" hidden="false" customHeight="true" outlineLevel="0" collapsed="false">
      <c r="B97" s="103" t="s">
        <v>1493</v>
      </c>
      <c r="C97" s="8"/>
      <c r="D97" s="8"/>
      <c r="E97" s="8"/>
      <c r="F97" s="8"/>
      <c r="G97" s="8"/>
      <c r="H97" s="8"/>
      <c r="I97" s="8"/>
      <c r="J97" s="8"/>
      <c r="K97" s="8"/>
    </row>
    <row r="98" customFormat="false" ht="81" hidden="false" customHeight="true" outlineLevel="0" collapsed="false">
      <c r="B98" s="105" t="s">
        <v>1494</v>
      </c>
      <c r="C98" s="168" t="str">
        <f aca="false">"Ten andon calls, mean response "&amp;TEXT(C82,"0.0")&amp;" min against a "&amp;TEXT($C$65,"0.0")&amp;" min target, with "&amp;TEXT(C84,"0%")&amp;" answered on time and mean resolution "&amp;TEXT(C85,"0.0")&amp;" min. "&amp;IF(C84&lt;0.8,"Fewer than 80% of calls are answered within target: the andon system will stop being used, because an operator who waits is an operator who learns not to call. Fix the response before adding any more triggers.","Response is reliable, which is the condition for andon to be trusted.")&amp;IF(C86&gt;0," "&amp;TEXT(C86,"0")&amp;" call(s) ran past the escalation threshold with nobody escalating — check the ladder is known.","")</f>
        <v>Ten andon calls, mean response 2.7 min against a 2.0 min target, with 50% answered on time and mean resolution 13.6 min. Fewer than 80% of calls are answered within target: the andon system will stop being used, because an operator who waits is an operator who learns not to call. Fix the response before adding any more triggers. 5 call(s) ran past the escalation threshold with nobody escalating — check the ladder is known.</v>
      </c>
      <c r="D98" s="168"/>
      <c r="E98" s="168"/>
      <c r="F98" s="168"/>
      <c r="G98" s="168"/>
    </row>
    <row r="100" customFormat="false" ht="16.5" hidden="false" customHeight="true" outlineLevel="0" collapsed="false">
      <c r="B100" s="152" t="s">
        <v>1495</v>
      </c>
      <c r="C100" s="152" t="s">
        <v>1496</v>
      </c>
      <c r="D100" s="152" t="s">
        <v>1497</v>
      </c>
    </row>
    <row r="101" customFormat="false" ht="30.75" hidden="false" customHeight="true" outlineLevel="0" collapsed="false">
      <c r="B101" s="15" t="s">
        <v>8893</v>
      </c>
      <c r="C101" s="15" t="s">
        <v>8894</v>
      </c>
      <c r="D101" s="15" t="s">
        <v>8895</v>
      </c>
    </row>
    <row r="102" customFormat="false" ht="30.75" hidden="false" customHeight="true" outlineLevel="0" collapsed="false">
      <c r="B102" s="15" t="s">
        <v>8859</v>
      </c>
      <c r="C102" s="15" t="s">
        <v>8896</v>
      </c>
      <c r="D102" s="15" t="s">
        <v>8897</v>
      </c>
    </row>
    <row r="103" customFormat="false" ht="44.25" hidden="false" customHeight="true" outlineLevel="0" collapsed="false">
      <c r="B103" s="15" t="s">
        <v>8898</v>
      </c>
      <c r="C103" s="15" t="s">
        <v>8899</v>
      </c>
      <c r="D103" s="15" t="s">
        <v>8900</v>
      </c>
    </row>
    <row r="104" customFormat="false" ht="44.25" hidden="false" customHeight="true" outlineLevel="0" collapsed="false">
      <c r="B104" s="15" t="s">
        <v>8901</v>
      </c>
      <c r="C104" s="15" t="s">
        <v>8902</v>
      </c>
      <c r="D104" s="15" t="s">
        <v>8903</v>
      </c>
    </row>
    <row r="106" customFormat="false" ht="15" hidden="false" customHeight="true" outlineLevel="0" collapsed="false">
      <c r="B106" s="105" t="s">
        <v>1507</v>
      </c>
    </row>
    <row r="107" customFormat="false" ht="17.25" hidden="false" customHeight="true" outlineLevel="0" collapsed="false">
      <c r="B107" s="106" t="s">
        <v>8904</v>
      </c>
      <c r="C107" s="106"/>
      <c r="D107" s="106"/>
      <c r="E107" s="106"/>
      <c r="F107" s="106"/>
      <c r="G107" s="106"/>
    </row>
    <row r="108" customFormat="false" ht="17.25" hidden="false" customHeight="true" outlineLevel="0" collapsed="false">
      <c r="B108" s="106" t="s">
        <v>8905</v>
      </c>
      <c r="C108" s="106"/>
      <c r="D108" s="106"/>
      <c r="E108" s="106"/>
      <c r="F108" s="106"/>
      <c r="G108" s="106"/>
    </row>
    <row r="109" customFormat="false" ht="17.25" hidden="false" customHeight="true" outlineLevel="0" collapsed="false">
      <c r="B109" s="106" t="s">
        <v>8906</v>
      </c>
      <c r="C109" s="106"/>
      <c r="D109" s="106"/>
      <c r="E109" s="106"/>
      <c r="F109" s="106"/>
      <c r="G109" s="106"/>
    </row>
    <row r="110" customFormat="false" ht="17.25" hidden="false" customHeight="true" outlineLevel="0" collapsed="false">
      <c r="B110" s="106" t="s">
        <v>8907</v>
      </c>
      <c r="C110" s="106"/>
      <c r="D110" s="106"/>
      <c r="E110" s="106"/>
      <c r="F110" s="106"/>
      <c r="G110" s="106"/>
    </row>
    <row r="111" customFormat="false" ht="17.25" hidden="false" customHeight="true" outlineLevel="0" collapsed="false">
      <c r="B111" s="106" t="s">
        <v>8908</v>
      </c>
      <c r="C111" s="106"/>
      <c r="D111" s="106"/>
      <c r="E111" s="106"/>
      <c r="F111" s="106"/>
      <c r="G111" s="106"/>
    </row>
    <row r="113" customFormat="false" ht="15.75" hidden="false" customHeight="true" outlineLevel="0" collapsed="false">
      <c r="B113" s="103" t="s">
        <v>1513</v>
      </c>
      <c r="C113" s="8"/>
      <c r="D113" s="8"/>
      <c r="E113" s="8"/>
      <c r="F113" s="8"/>
      <c r="G113" s="8"/>
      <c r="H113" s="8"/>
      <c r="I113" s="8"/>
      <c r="J113" s="8"/>
      <c r="K113" s="8"/>
    </row>
    <row r="114" customFormat="false" ht="17.25" hidden="false" customHeight="true" outlineLevel="0" collapsed="false">
      <c r="B114" s="106" t="s">
        <v>6712</v>
      </c>
      <c r="C114" s="106"/>
      <c r="D114" s="106"/>
      <c r="E114" s="106"/>
      <c r="F114" s="106"/>
      <c r="N114" s="169" t="s">
        <v>1515</v>
      </c>
    </row>
    <row r="115" customFormat="false" ht="44.25" hidden="false" customHeight="true" outlineLevel="0" collapsed="false">
      <c r="B115" s="106" t="s">
        <v>8909</v>
      </c>
      <c r="C115" s="106"/>
      <c r="D115" s="106"/>
      <c r="E115" s="106"/>
      <c r="F115" s="106"/>
      <c r="N115" s="120" t="s">
        <v>8910</v>
      </c>
    </row>
    <row r="116" customFormat="false" ht="44.25" hidden="false" customHeight="true" outlineLevel="0" collapsed="false">
      <c r="B116" s="106" t="s">
        <v>8911</v>
      </c>
      <c r="C116" s="106"/>
      <c r="D116" s="106"/>
      <c r="E116" s="106"/>
      <c r="F116" s="106"/>
      <c r="N116" s="120" t="s">
        <v>8912</v>
      </c>
    </row>
    <row r="117" customFormat="false" ht="44.25" hidden="false" customHeight="true" outlineLevel="0" collapsed="false">
      <c r="B117" s="106" t="s">
        <v>8913</v>
      </c>
      <c r="C117" s="106"/>
      <c r="D117" s="106"/>
      <c r="E117" s="106"/>
      <c r="F117" s="106"/>
      <c r="N117" s="120" t="s">
        <v>8914</v>
      </c>
    </row>
    <row r="119" customFormat="false" ht="15.75" hidden="false" customHeight="true" outlineLevel="0" collapsed="false">
      <c r="B119" s="103" t="s">
        <v>1522</v>
      </c>
      <c r="C119" s="8"/>
      <c r="D119" s="8"/>
      <c r="E119" s="8"/>
      <c r="F119" s="8"/>
      <c r="G119" s="8"/>
      <c r="H119" s="8"/>
      <c r="I119" s="8"/>
      <c r="J119" s="8"/>
      <c r="K119" s="8"/>
    </row>
    <row r="120" customFormat="false" ht="30.75" hidden="false" customHeight="true" outlineLevel="0" collapsed="false">
      <c r="B120" s="152" t="s">
        <v>1523</v>
      </c>
      <c r="C120" s="152" t="s">
        <v>1524</v>
      </c>
      <c r="D120" s="152" t="s">
        <v>6719</v>
      </c>
    </row>
    <row r="121" customFormat="false" ht="16.5" hidden="false" customHeight="true" outlineLevel="0" collapsed="false">
      <c r="B121" s="170" t="s">
        <v>1223</v>
      </c>
      <c r="C121" s="170" t="s">
        <v>7917</v>
      </c>
      <c r="D121" s="170" t="s">
        <v>8094</v>
      </c>
    </row>
  </sheetData>
  <mergeCells count="71">
    <mergeCell ref="B2:J2"/>
    <mergeCell ref="D3:G3"/>
    <mergeCell ref="C6:D6"/>
    <mergeCell ref="C7:D7"/>
    <mergeCell ref="C8:D8"/>
    <mergeCell ref="B11:G11"/>
    <mergeCell ref="B12:G12"/>
    <mergeCell ref="B13:G15"/>
    <mergeCell ref="B16:G19"/>
    <mergeCell ref="B20:G21"/>
    <mergeCell ref="B22:G24"/>
    <mergeCell ref="B27:D27"/>
    <mergeCell ref="E27:G27"/>
    <mergeCell ref="B28:D28"/>
    <mergeCell ref="E28:G28"/>
    <mergeCell ref="B29:D29"/>
    <mergeCell ref="E29:G29"/>
    <mergeCell ref="B30:D30"/>
    <mergeCell ref="E30:G30"/>
    <mergeCell ref="B31:G31"/>
    <mergeCell ref="E33:F33"/>
    <mergeCell ref="E34:F34"/>
    <mergeCell ref="E35:F35"/>
    <mergeCell ref="E36:F36"/>
    <mergeCell ref="E37:F37"/>
    <mergeCell ref="B40:G43"/>
    <mergeCell ref="B45:G45"/>
    <mergeCell ref="B46:G46"/>
    <mergeCell ref="B48:G48"/>
    <mergeCell ref="B49:G49"/>
    <mergeCell ref="B59:G60"/>
    <mergeCell ref="B63:G63"/>
    <mergeCell ref="E64:G64"/>
    <mergeCell ref="E65:G65"/>
    <mergeCell ref="E66:G66"/>
    <mergeCell ref="J68:K68"/>
    <mergeCell ref="J69:K69"/>
    <mergeCell ref="J70:K70"/>
    <mergeCell ref="J71:K71"/>
    <mergeCell ref="J72:K72"/>
    <mergeCell ref="J73:K73"/>
    <mergeCell ref="J74:K74"/>
    <mergeCell ref="J75:K75"/>
    <mergeCell ref="J76:K76"/>
    <mergeCell ref="J77:K77"/>
    <mergeCell ref="J78:K78"/>
    <mergeCell ref="E80:G80"/>
    <mergeCell ref="E81:G81"/>
    <mergeCell ref="E82:G82"/>
    <mergeCell ref="E83:G83"/>
    <mergeCell ref="E84:G84"/>
    <mergeCell ref="E85:G85"/>
    <mergeCell ref="E86:G86"/>
    <mergeCell ref="E87:G87"/>
    <mergeCell ref="E88:G88"/>
    <mergeCell ref="B90:G90"/>
    <mergeCell ref="F91:G91"/>
    <mergeCell ref="F92:G92"/>
    <mergeCell ref="F93:G93"/>
    <mergeCell ref="F94:G94"/>
    <mergeCell ref="F95:G95"/>
    <mergeCell ref="C98:G98"/>
    <mergeCell ref="B107:G107"/>
    <mergeCell ref="B108:G108"/>
    <mergeCell ref="B109:G109"/>
    <mergeCell ref="B110:G110"/>
    <mergeCell ref="B111:G111"/>
    <mergeCell ref="B114:F114"/>
    <mergeCell ref="B115:F115"/>
    <mergeCell ref="B116:F116"/>
    <mergeCell ref="B117:F117"/>
  </mergeCells>
  <hyperlinks>
    <hyperlink ref="B3" location="'N-03 Index DMAIC'!A1" display="← Back to Index"/>
    <hyperlink ref="E34" location="'G-04 RACI Matrix'!A1" display="G-04  RACI Matrix"/>
    <hyperlink ref="E35" location="'L-13 Visual Management'!A1" display="L-13  Visual Management"/>
    <hyperlink ref="E36" location="'G-06 Change Management'!A1" display="G-06  Change Management"/>
    <hyperlink ref="E37" location="'H-05 Check Sheets'!A1" display="H-05  Check Sheets"/>
    <hyperlink ref="B121" location="'L-13 Visual Management'!A1" display="L-13  Visual Management"/>
    <hyperlink ref="C121" location="'L-17 Poka-Yoke'!A1" display="L-17  Poka-Yoke"/>
    <hyperlink ref="D121" location="'H-16 Control and Reaction'!A1" display="H-16  Control Plan and Reaction Pl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5"/>
    <col collapsed="false" customWidth="true" hidden="false" outlineLevel="0" max="4" min="4" style="1" width="20"/>
    <col collapsed="false" customWidth="true" hidden="false" outlineLevel="0" max="5" min="5" style="1" width="13"/>
    <col collapsed="false" customWidth="true" hidden="false" outlineLevel="0" max="7" min="6" style="1" width="17"/>
    <col collapsed="false" customWidth="true" hidden="false" outlineLevel="0" max="8" min="8" style="1" width="15"/>
    <col collapsed="false" customWidth="true" hidden="false" outlineLevel="0" max="9" min="9" style="1" width="18"/>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8915</v>
      </c>
      <c r="C2" s="148"/>
      <c r="D2" s="148"/>
      <c r="E2" s="148"/>
      <c r="F2" s="148"/>
      <c r="G2" s="148"/>
      <c r="H2" s="148"/>
      <c r="I2" s="148"/>
      <c r="J2" s="148"/>
      <c r="K2" s="179" t="s">
        <v>5137</v>
      </c>
    </row>
    <row r="3" customFormat="false" ht="42" hidden="false" customHeight="true" outlineLevel="0" collapsed="false">
      <c r="B3" s="150" t="s">
        <v>3</v>
      </c>
      <c r="D3" s="151" t="s">
        <v>8916</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8917</v>
      </c>
      <c r="D6" s="106"/>
      <c r="E6" s="106"/>
      <c r="F6" s="106"/>
      <c r="G6" s="106"/>
    </row>
    <row r="7" customFormat="false" ht="31.5" hidden="false" customHeight="true" outlineLevel="0" collapsed="false">
      <c r="B7" s="105" t="s">
        <v>1394</v>
      </c>
      <c r="C7" s="106" t="s">
        <v>8918</v>
      </c>
      <c r="D7" s="106"/>
      <c r="E7" s="106"/>
      <c r="F7" s="106"/>
      <c r="G7" s="106"/>
    </row>
    <row r="8" customFormat="false" ht="31.5" hidden="false" customHeight="true" outlineLevel="0" collapsed="false">
      <c r="B8" s="105" t="s">
        <v>1396</v>
      </c>
      <c r="C8" s="106" t="s">
        <v>8919</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8920</v>
      </c>
      <c r="C11" s="106"/>
      <c r="D11" s="106"/>
      <c r="E11" s="106"/>
      <c r="F11" s="106"/>
      <c r="G11" s="106"/>
      <c r="H11" s="106"/>
      <c r="I11" s="106"/>
    </row>
    <row r="12" customFormat="false" ht="10.5" hidden="false" customHeight="true" outlineLevel="0" collapsed="false">
      <c r="B12" s="106"/>
      <c r="C12" s="106"/>
      <c r="D12" s="106"/>
      <c r="E12" s="106"/>
      <c r="F12" s="106"/>
      <c r="G12" s="106"/>
      <c r="H12" s="106"/>
      <c r="I12" s="106"/>
    </row>
    <row r="13" customFormat="false" ht="10.5" hidden="false" customHeight="true" outlineLevel="0" collapsed="false">
      <c r="B13" s="106"/>
      <c r="C13" s="106"/>
      <c r="D13" s="106"/>
      <c r="E13" s="106"/>
      <c r="F13" s="106"/>
      <c r="G13" s="106"/>
      <c r="H13" s="106"/>
      <c r="I13" s="106"/>
    </row>
    <row r="14" customFormat="false" ht="10.5" hidden="false" customHeight="true" outlineLevel="0" collapsed="false">
      <c r="B14" s="106" t="s">
        <v>8921</v>
      </c>
      <c r="C14" s="106"/>
      <c r="D14" s="106"/>
      <c r="E14" s="106"/>
      <c r="F14" s="106"/>
      <c r="G14" s="106"/>
      <c r="H14" s="106"/>
      <c r="I14" s="106"/>
    </row>
    <row r="15" customFormat="false" ht="10.5" hidden="false" customHeight="true" outlineLevel="0" collapsed="false">
      <c r="B15" s="106"/>
      <c r="C15" s="106"/>
      <c r="D15" s="106"/>
      <c r="E15" s="106"/>
      <c r="F15" s="106"/>
      <c r="G15" s="106"/>
      <c r="H15" s="106"/>
      <c r="I15" s="106"/>
    </row>
    <row r="16" customFormat="false" ht="10.5" hidden="false" customHeight="true" outlineLevel="0" collapsed="false">
      <c r="B16" s="106"/>
      <c r="C16" s="106"/>
      <c r="D16" s="106"/>
      <c r="E16" s="106"/>
      <c r="F16" s="106"/>
      <c r="G16" s="106"/>
      <c r="H16" s="106"/>
      <c r="I16" s="106"/>
    </row>
    <row r="17" customFormat="false" ht="11.25" hidden="false" customHeight="true" outlineLevel="0" collapsed="false">
      <c r="B17" s="106" t="s">
        <v>8922</v>
      </c>
      <c r="C17" s="106"/>
      <c r="D17" s="106"/>
      <c r="E17" s="106"/>
      <c r="F17" s="106"/>
      <c r="G17" s="106"/>
      <c r="H17" s="106"/>
      <c r="I17" s="106"/>
    </row>
    <row r="18" customFormat="false" ht="11.25" hidden="false" customHeight="true" outlineLevel="0" collapsed="false">
      <c r="B18" s="106"/>
      <c r="C18" s="106"/>
      <c r="D18" s="106"/>
      <c r="E18" s="106"/>
      <c r="F18" s="106"/>
      <c r="G18" s="106"/>
      <c r="H18" s="106"/>
      <c r="I18" s="106"/>
    </row>
    <row r="19" customFormat="false" ht="11.25" hidden="false" customHeight="true" outlineLevel="0" collapsed="false">
      <c r="B19" s="106"/>
      <c r="C19" s="106"/>
      <c r="D19" s="106"/>
      <c r="E19" s="106"/>
      <c r="F19" s="106"/>
      <c r="G19" s="106"/>
      <c r="H19" s="106"/>
      <c r="I19" s="106"/>
    </row>
    <row r="20" customFormat="false" ht="11.25" hidden="false" customHeight="true" outlineLevel="0" collapsed="false">
      <c r="B20" s="106"/>
      <c r="C20" s="106"/>
      <c r="D20" s="106"/>
      <c r="E20" s="106"/>
      <c r="F20" s="106"/>
      <c r="G20" s="106"/>
      <c r="H20" s="106"/>
      <c r="I20" s="106"/>
    </row>
    <row r="21" customFormat="false" ht="10.5" hidden="false" customHeight="true" outlineLevel="0" collapsed="false">
      <c r="B21" s="106" t="s">
        <v>8923</v>
      </c>
      <c r="C21" s="106"/>
      <c r="D21" s="106"/>
      <c r="E21" s="106"/>
      <c r="F21" s="106"/>
      <c r="G21" s="106"/>
      <c r="H21" s="106"/>
      <c r="I21" s="106"/>
    </row>
    <row r="22" customFormat="false" ht="10.5" hidden="false" customHeight="true" outlineLevel="0" collapsed="false">
      <c r="B22" s="106"/>
      <c r="C22" s="106"/>
      <c r="D22" s="106"/>
      <c r="E22" s="106"/>
      <c r="F22" s="106"/>
      <c r="G22" s="106"/>
      <c r="H22" s="106"/>
      <c r="I22" s="106"/>
    </row>
    <row r="23" customFormat="false" ht="10.5" hidden="false" customHeight="true" outlineLevel="0" collapsed="false">
      <c r="B23" s="106"/>
      <c r="C23" s="106"/>
      <c r="D23" s="106"/>
      <c r="E23" s="106"/>
      <c r="F23" s="106"/>
      <c r="G23" s="106"/>
      <c r="H23" s="106"/>
      <c r="I23" s="106"/>
    </row>
    <row r="24" customFormat="false" ht="15.75" hidden="false" customHeight="true" outlineLevel="0" collapsed="false">
      <c r="B24" s="106" t="s">
        <v>8924</v>
      </c>
      <c r="C24" s="106"/>
      <c r="D24" s="106"/>
      <c r="E24" s="106"/>
      <c r="F24" s="106"/>
      <c r="G24" s="106"/>
      <c r="H24" s="106"/>
      <c r="I24" s="106"/>
    </row>
    <row r="25" customFormat="false" ht="15.75" hidden="false" customHeight="true" outlineLevel="0" collapsed="false">
      <c r="B25" s="106"/>
      <c r="C25" s="106"/>
      <c r="D25" s="106"/>
      <c r="E25" s="106"/>
      <c r="F25" s="106"/>
      <c r="G25" s="106"/>
      <c r="H25" s="106"/>
      <c r="I25" s="106"/>
    </row>
    <row r="27" customFormat="false" ht="15.75" hidden="false" customHeight="true" outlineLevel="0" collapsed="false">
      <c r="B27" s="103" t="s">
        <v>1406</v>
      </c>
      <c r="C27" s="8"/>
      <c r="D27" s="8"/>
      <c r="E27" s="8"/>
      <c r="F27" s="8"/>
      <c r="G27" s="8"/>
      <c r="H27" s="8"/>
      <c r="I27" s="8"/>
      <c r="J27" s="8"/>
      <c r="K27" s="8"/>
    </row>
    <row r="28" customFormat="false" ht="17.25" hidden="false" customHeight="true" outlineLevel="0" collapsed="false">
      <c r="B28" s="107" t="s">
        <v>1407</v>
      </c>
      <c r="C28" s="107"/>
      <c r="D28" s="107"/>
      <c r="E28" s="107" t="s">
        <v>1408</v>
      </c>
      <c r="F28" s="107"/>
      <c r="G28" s="107"/>
      <c r="H28" s="107"/>
      <c r="I28" s="107"/>
    </row>
    <row r="29" customFormat="false" ht="31.5" hidden="false" customHeight="true" outlineLevel="0" collapsed="false">
      <c r="B29" s="106" t="s">
        <v>8925</v>
      </c>
      <c r="C29" s="106"/>
      <c r="D29" s="106"/>
      <c r="E29" s="106" t="s">
        <v>8926</v>
      </c>
      <c r="F29" s="106"/>
      <c r="G29" s="106"/>
      <c r="H29" s="106"/>
      <c r="I29" s="106"/>
    </row>
    <row r="30" customFormat="false" ht="31.5" hidden="false" customHeight="true" outlineLevel="0" collapsed="false">
      <c r="B30" s="106" t="s">
        <v>8927</v>
      </c>
      <c r="C30" s="106"/>
      <c r="D30" s="106"/>
      <c r="E30" s="106" t="s">
        <v>8928</v>
      </c>
      <c r="F30" s="106"/>
      <c r="G30" s="106"/>
      <c r="H30" s="106"/>
      <c r="I30" s="106"/>
    </row>
    <row r="31" customFormat="false" ht="31.5" hidden="false" customHeight="true" outlineLevel="0" collapsed="false">
      <c r="B31" s="106" t="s">
        <v>8929</v>
      </c>
      <c r="C31" s="106"/>
      <c r="D31" s="106"/>
      <c r="E31" s="106" t="s">
        <v>8930</v>
      </c>
      <c r="F31" s="106"/>
      <c r="G31" s="106"/>
      <c r="H31" s="106"/>
      <c r="I31" s="106"/>
    </row>
    <row r="32" customFormat="false" ht="17.25" hidden="false" customHeight="true" outlineLevel="0" collapsed="false">
      <c r="B32" s="106" t="s">
        <v>8931</v>
      </c>
      <c r="C32" s="106"/>
      <c r="D32" s="106"/>
      <c r="E32" s="106"/>
      <c r="F32" s="106"/>
      <c r="G32" s="106"/>
      <c r="H32" s="106"/>
      <c r="I32" s="106"/>
    </row>
    <row r="34" customFormat="false" ht="30.75" hidden="false" customHeight="true" outlineLevel="0" collapsed="false">
      <c r="B34" s="152" t="s">
        <v>6621</v>
      </c>
      <c r="C34" s="152" t="s">
        <v>1417</v>
      </c>
      <c r="D34" s="152" t="s">
        <v>1418</v>
      </c>
      <c r="E34" s="152" t="s">
        <v>1419</v>
      </c>
      <c r="F34" s="152"/>
    </row>
    <row r="35" customFormat="false" ht="58.5" hidden="false" customHeight="true" outlineLevel="0" collapsed="false">
      <c r="B35" s="15" t="s">
        <v>8932</v>
      </c>
      <c r="C35" s="15" t="s">
        <v>8933</v>
      </c>
      <c r="D35" s="15" t="s">
        <v>8934</v>
      </c>
      <c r="E35" s="153" t="s">
        <v>6740</v>
      </c>
      <c r="F35" s="153"/>
    </row>
    <row r="36" customFormat="false" ht="72" hidden="false" customHeight="true" outlineLevel="0" collapsed="false">
      <c r="B36" s="15" t="s">
        <v>8935</v>
      </c>
      <c r="C36" s="15" t="s">
        <v>8936</v>
      </c>
      <c r="D36" s="15" t="s">
        <v>8937</v>
      </c>
      <c r="E36" s="153" t="s">
        <v>6748</v>
      </c>
      <c r="F36" s="153"/>
    </row>
    <row r="37" customFormat="false" ht="58.5" hidden="false" customHeight="true" outlineLevel="0" collapsed="false">
      <c r="B37" s="15" t="s">
        <v>8938</v>
      </c>
      <c r="C37" s="15" t="s">
        <v>8939</v>
      </c>
      <c r="D37" s="15" t="s">
        <v>8940</v>
      </c>
      <c r="E37" s="153" t="s">
        <v>1221</v>
      </c>
      <c r="F37" s="153"/>
    </row>
    <row r="38" customFormat="false" ht="72" hidden="false" customHeight="true" outlineLevel="0" collapsed="false">
      <c r="B38" s="15" t="s">
        <v>8941</v>
      </c>
      <c r="C38" s="15" t="s">
        <v>8942</v>
      </c>
      <c r="D38" s="15" t="s">
        <v>8943</v>
      </c>
      <c r="E38" s="153" t="s">
        <v>1103</v>
      </c>
      <c r="F38" s="153"/>
    </row>
    <row r="40" customFormat="false" ht="15.75" hidden="false" customHeight="true" outlineLevel="0" collapsed="false">
      <c r="B40" s="103" t="s">
        <v>1429</v>
      </c>
      <c r="C40" s="8"/>
      <c r="D40" s="8"/>
      <c r="E40" s="8"/>
      <c r="F40" s="8"/>
      <c r="G40" s="8"/>
      <c r="H40" s="8"/>
      <c r="I40" s="8"/>
      <c r="J40" s="8"/>
      <c r="K40" s="8"/>
    </row>
    <row r="41" customFormat="false" ht="10.5" hidden="false" customHeight="true" outlineLevel="0" collapsed="false">
      <c r="B41" s="106" t="s">
        <v>8944</v>
      </c>
      <c r="C41" s="106"/>
      <c r="D41" s="106"/>
      <c r="E41" s="106"/>
      <c r="F41" s="106"/>
      <c r="G41" s="106"/>
      <c r="H41" s="106"/>
      <c r="I41" s="106"/>
    </row>
    <row r="42" customFormat="false" ht="10.5" hidden="false" customHeight="true" outlineLevel="0" collapsed="false">
      <c r="B42" s="106"/>
      <c r="C42" s="106"/>
      <c r="D42" s="106"/>
      <c r="E42" s="106"/>
      <c r="F42" s="106"/>
      <c r="G42" s="106"/>
      <c r="H42" s="106"/>
      <c r="I42" s="106"/>
    </row>
    <row r="43" customFormat="false" ht="10.5" hidden="false" customHeight="true" outlineLevel="0" collapsed="false">
      <c r="B43" s="106"/>
      <c r="C43" s="106"/>
      <c r="D43" s="106"/>
      <c r="E43" s="106"/>
      <c r="F43" s="106"/>
      <c r="G43" s="106"/>
      <c r="H43" s="106"/>
      <c r="I43" s="106"/>
    </row>
    <row r="44" customFormat="false" ht="17.25" hidden="false" customHeight="true" outlineLevel="0" collapsed="false">
      <c r="B44" s="106" t="s">
        <v>8945</v>
      </c>
      <c r="C44" s="106"/>
      <c r="D44" s="106"/>
      <c r="E44" s="106"/>
      <c r="F44" s="106"/>
      <c r="G44" s="106"/>
      <c r="H44" s="106"/>
      <c r="I44" s="106"/>
    </row>
    <row r="45" customFormat="false" ht="15" hidden="false" customHeight="true" outlineLevel="0" collapsed="false">
      <c r="B45" s="122"/>
    </row>
    <row r="46" customFormat="false" ht="15.75" hidden="false" customHeight="true" outlineLevel="0" collapsed="false">
      <c r="B46" s="106" t="s">
        <v>8946</v>
      </c>
      <c r="C46" s="106"/>
      <c r="D46" s="106"/>
      <c r="E46" s="106"/>
      <c r="F46" s="106"/>
      <c r="G46" s="106"/>
      <c r="H46" s="106"/>
      <c r="I46" s="106"/>
    </row>
    <row r="47" customFormat="false" ht="15.75" hidden="false" customHeight="true" outlineLevel="0" collapsed="false">
      <c r="B47" s="106"/>
      <c r="C47" s="106"/>
      <c r="D47" s="106"/>
      <c r="E47" s="106"/>
      <c r="F47" s="106"/>
      <c r="G47" s="106"/>
      <c r="H47" s="106"/>
      <c r="I47" s="106"/>
    </row>
    <row r="48" customFormat="false" ht="15" hidden="false" customHeight="true" outlineLevel="0" collapsed="false">
      <c r="B48" s="122"/>
    </row>
    <row r="49" customFormat="false" ht="10.5" hidden="false" customHeight="true" outlineLevel="0" collapsed="false">
      <c r="B49" s="106" t="s">
        <v>8947</v>
      </c>
      <c r="C49" s="106"/>
      <c r="D49" s="106"/>
      <c r="E49" s="106"/>
      <c r="F49" s="106"/>
      <c r="G49" s="106"/>
      <c r="H49" s="106"/>
      <c r="I49" s="106"/>
    </row>
    <row r="50" customFormat="false" ht="10.5" hidden="false" customHeight="true" outlineLevel="0" collapsed="false">
      <c r="B50" s="106"/>
      <c r="C50" s="106"/>
      <c r="D50" s="106"/>
      <c r="E50" s="106"/>
      <c r="F50" s="106"/>
      <c r="G50" s="106"/>
      <c r="H50" s="106"/>
      <c r="I50" s="106"/>
    </row>
    <row r="51" customFormat="false" ht="10.5" hidden="false" customHeight="true" outlineLevel="0" collapsed="false">
      <c r="B51" s="106"/>
      <c r="C51" s="106"/>
      <c r="D51" s="106"/>
      <c r="E51" s="106"/>
      <c r="F51" s="106"/>
      <c r="G51" s="106"/>
      <c r="H51" s="106"/>
      <c r="I51" s="106"/>
    </row>
    <row r="53" customFormat="false" ht="15.75" hidden="false" customHeight="true" outlineLevel="0" collapsed="false">
      <c r="B53" s="103" t="s">
        <v>1437</v>
      </c>
      <c r="C53" s="8"/>
      <c r="D53" s="8"/>
      <c r="E53" s="8"/>
      <c r="F53" s="8"/>
      <c r="G53" s="8"/>
      <c r="H53" s="8"/>
      <c r="I53" s="8"/>
      <c r="J53" s="8"/>
      <c r="K53" s="8"/>
    </row>
    <row r="54" customFormat="false" ht="17.25" hidden="false" customHeight="true" outlineLevel="0" collapsed="false">
      <c r="B54" s="152" t="s">
        <v>1438</v>
      </c>
      <c r="C54" s="152" t="s">
        <v>1439</v>
      </c>
      <c r="D54" s="152" t="s">
        <v>1440</v>
      </c>
      <c r="E54" s="152"/>
    </row>
    <row r="55" customFormat="false" ht="31.5" hidden="false" customHeight="true" outlineLevel="0" collapsed="false">
      <c r="B55" s="15" t="s">
        <v>2667</v>
      </c>
      <c r="C55" s="15" t="s">
        <v>8948</v>
      </c>
      <c r="D55" s="15" t="s">
        <v>8949</v>
      </c>
      <c r="E55" s="15"/>
    </row>
    <row r="56" customFormat="false" ht="31.5" hidden="false" customHeight="true" outlineLevel="0" collapsed="false">
      <c r="B56" s="15" t="s">
        <v>8950</v>
      </c>
      <c r="C56" s="15" t="s">
        <v>8951</v>
      </c>
      <c r="D56" s="15" t="s">
        <v>8952</v>
      </c>
      <c r="E56" s="15"/>
    </row>
    <row r="57" customFormat="false" ht="44.25" hidden="false" customHeight="true" outlineLevel="0" collapsed="false">
      <c r="B57" s="15" t="s">
        <v>7487</v>
      </c>
      <c r="C57" s="15" t="s">
        <v>8953</v>
      </c>
      <c r="D57" s="15" t="s">
        <v>8954</v>
      </c>
      <c r="E57" s="15"/>
    </row>
    <row r="58" customFormat="false" ht="31.5" hidden="false" customHeight="true" outlineLevel="0" collapsed="false">
      <c r="B58" s="15" t="s">
        <v>1839</v>
      </c>
      <c r="C58" s="15" t="s">
        <v>6647</v>
      </c>
      <c r="D58" s="15" t="s">
        <v>8955</v>
      </c>
      <c r="E58" s="15"/>
    </row>
    <row r="60" customFormat="false" ht="15.75" hidden="false" customHeight="true" outlineLevel="0" collapsed="false">
      <c r="B60" s="103" t="s">
        <v>1454</v>
      </c>
      <c r="C60" s="8"/>
      <c r="D60" s="8"/>
      <c r="E60" s="8"/>
      <c r="F60" s="8"/>
      <c r="G60" s="8"/>
      <c r="H60" s="8"/>
      <c r="I60" s="8"/>
      <c r="J60" s="8"/>
      <c r="K60" s="8"/>
    </row>
    <row r="61" customFormat="false" ht="10.5" hidden="false" customHeight="true" outlineLevel="0" collapsed="false">
      <c r="B61" s="106" t="s">
        <v>8956</v>
      </c>
      <c r="C61" s="106"/>
      <c r="D61" s="106"/>
      <c r="E61" s="106"/>
      <c r="F61" s="106"/>
      <c r="G61" s="106"/>
      <c r="H61" s="106"/>
      <c r="I61" s="106"/>
    </row>
    <row r="62" customFormat="false" ht="10.5" hidden="false" customHeight="true" outlineLevel="0" collapsed="false">
      <c r="B62" s="106"/>
      <c r="C62" s="106"/>
      <c r="D62" s="106"/>
      <c r="E62" s="106"/>
      <c r="F62" s="106"/>
      <c r="G62" s="106"/>
      <c r="H62" s="106"/>
      <c r="I62" s="106"/>
    </row>
    <row r="63" customFormat="false" ht="10.5" hidden="false" customHeight="true" outlineLevel="0" collapsed="false">
      <c r="B63" s="106"/>
      <c r="C63" s="106"/>
      <c r="D63" s="106"/>
      <c r="E63" s="106"/>
      <c r="F63" s="106"/>
      <c r="G63" s="106"/>
      <c r="H63" s="106"/>
      <c r="I63" s="106"/>
    </row>
    <row r="64" customFormat="false" ht="17.25" hidden="false" customHeight="true" outlineLevel="0" collapsed="false">
      <c r="B64" s="112" t="s">
        <v>85</v>
      </c>
      <c r="C64" s="113" t="s">
        <v>86</v>
      </c>
      <c r="D64" s="113"/>
    </row>
    <row r="66" customFormat="false" ht="17.25" hidden="false" customHeight="true" outlineLevel="0" collapsed="false">
      <c r="B66" s="107" t="s">
        <v>8957</v>
      </c>
      <c r="C66" s="107"/>
      <c r="D66" s="107"/>
      <c r="E66" s="107"/>
      <c r="F66" s="107"/>
      <c r="G66" s="107"/>
      <c r="H66" s="107"/>
      <c r="I66" s="107"/>
    </row>
    <row r="67" customFormat="false" ht="44.25" hidden="false" customHeight="true" outlineLevel="0" collapsed="false">
      <c r="B67" s="152" t="s">
        <v>8958</v>
      </c>
      <c r="C67" s="152" t="s">
        <v>8959</v>
      </c>
      <c r="D67" s="152" t="s">
        <v>8960</v>
      </c>
      <c r="E67" s="152" t="s">
        <v>8961</v>
      </c>
      <c r="F67" s="152" t="s">
        <v>8962</v>
      </c>
      <c r="G67" s="152" t="s">
        <v>8963</v>
      </c>
      <c r="H67" s="152" t="s">
        <v>8964</v>
      </c>
      <c r="I67" s="152" t="s">
        <v>8965</v>
      </c>
      <c r="J67" s="152" t="s">
        <v>8966</v>
      </c>
    </row>
    <row r="68" customFormat="false" ht="16.5" hidden="false" customHeight="true" outlineLevel="0" collapsed="false">
      <c r="B68" s="15" t="s">
        <v>8967</v>
      </c>
      <c r="C68" s="173" t="n">
        <v>372000</v>
      </c>
      <c r="D68" s="156" t="n">
        <v>0.3</v>
      </c>
      <c r="E68" s="175" t="n">
        <v>0.2</v>
      </c>
      <c r="F68" s="173" t="n">
        <v>6000</v>
      </c>
      <c r="G68" s="159" t="n">
        <f aca="false">C68*D68*(1+E68)</f>
        <v>133920</v>
      </c>
      <c r="H68" s="161" t="n">
        <f aca="false">IFERROR(ROUNDUP(G68/F68,0),0)</f>
        <v>23</v>
      </c>
      <c r="I68" s="159" t="n">
        <f aca="false">H68*F68</f>
        <v>138000</v>
      </c>
      <c r="J68" s="174" t="n">
        <f aca="false">IFERROR(I68/C68,0)</f>
        <v>0.370967741935484</v>
      </c>
    </row>
    <row r="69" customFormat="false" ht="16.5" hidden="false" customHeight="true" outlineLevel="0" collapsed="false">
      <c r="B69" s="15" t="s">
        <v>8968</v>
      </c>
      <c r="C69" s="173" t="n">
        <v>372000</v>
      </c>
      <c r="D69" s="156" t="n">
        <v>0.5</v>
      </c>
      <c r="E69" s="175" t="n">
        <v>0.2</v>
      </c>
      <c r="F69" s="173" t="n">
        <v>12000</v>
      </c>
      <c r="G69" s="159" t="n">
        <f aca="false">C69*D69*(1+E69)</f>
        <v>223200</v>
      </c>
      <c r="H69" s="161" t="n">
        <f aca="false">IFERROR(ROUNDUP(G69/F69,0),0)</f>
        <v>19</v>
      </c>
      <c r="I69" s="159" t="n">
        <f aca="false">H69*F69</f>
        <v>228000</v>
      </c>
      <c r="J69" s="174" t="n">
        <f aca="false">IFERROR(I69/C69,0)</f>
        <v>0.612903225806452</v>
      </c>
    </row>
    <row r="70" customFormat="false" ht="16.5" hidden="false" customHeight="true" outlineLevel="0" collapsed="false">
      <c r="B70" s="15" t="s">
        <v>8969</v>
      </c>
      <c r="C70" s="173" t="n">
        <v>372000</v>
      </c>
      <c r="D70" s="156" t="n">
        <v>0.25</v>
      </c>
      <c r="E70" s="175" t="n">
        <v>0.15</v>
      </c>
      <c r="F70" s="173" t="n">
        <v>20000</v>
      </c>
      <c r="G70" s="159" t="n">
        <f aca="false">C70*D70*(1+E70)</f>
        <v>106950</v>
      </c>
      <c r="H70" s="161" t="n">
        <f aca="false">IFERROR(ROUNDUP(G70/F70,0),0)</f>
        <v>6</v>
      </c>
      <c r="I70" s="159" t="n">
        <f aca="false">H70*F70</f>
        <v>120000</v>
      </c>
      <c r="J70" s="174" t="n">
        <f aca="false">IFERROR(I70/C70,0)</f>
        <v>0.32258064516129</v>
      </c>
    </row>
    <row r="71" customFormat="false" ht="16.5" hidden="false" customHeight="true" outlineLevel="0" collapsed="false">
      <c r="B71" s="15" t="s">
        <v>8970</v>
      </c>
      <c r="C71" s="173" t="n">
        <v>6200</v>
      </c>
      <c r="D71" s="156" t="n">
        <v>1</v>
      </c>
      <c r="E71" s="175" t="n">
        <v>0.25</v>
      </c>
      <c r="F71" s="173" t="n">
        <v>400</v>
      </c>
      <c r="G71" s="159" t="n">
        <f aca="false">C71*D71*(1+E71)</f>
        <v>7750</v>
      </c>
      <c r="H71" s="161" t="n">
        <f aca="false">IFERROR(ROUNDUP(G71/F71,0),0)</f>
        <v>20</v>
      </c>
      <c r="I71" s="159" t="n">
        <f aca="false">H71*F71</f>
        <v>8000</v>
      </c>
      <c r="J71" s="174" t="n">
        <f aca="false">IFERROR(I71/C71,0)</f>
        <v>1.29032258064516</v>
      </c>
    </row>
    <row r="72" customFormat="false" ht="16.5" hidden="false" customHeight="true" outlineLevel="0" collapsed="false">
      <c r="B72" s="15" t="s">
        <v>8971</v>
      </c>
      <c r="C72" s="173" t="n">
        <v>620</v>
      </c>
      <c r="D72" s="156" t="n">
        <v>0.5</v>
      </c>
      <c r="E72" s="175" t="n">
        <v>0.3</v>
      </c>
      <c r="F72" s="173" t="n">
        <v>40</v>
      </c>
      <c r="G72" s="159" t="n">
        <f aca="false">C72*D72*(1+E72)</f>
        <v>403</v>
      </c>
      <c r="H72" s="161" t="n">
        <f aca="false">IFERROR(ROUNDUP(G72/F72,0),0)</f>
        <v>11</v>
      </c>
      <c r="I72" s="159" t="n">
        <f aca="false">H72*F72</f>
        <v>440</v>
      </c>
      <c r="J72" s="174" t="n">
        <f aca="false">IFERROR(I72/C72,0)</f>
        <v>0.709677419354839</v>
      </c>
    </row>
    <row r="73" customFormat="false" ht="16.5" hidden="false" customHeight="true" outlineLevel="0" collapsed="false">
      <c r="B73" s="15" t="s">
        <v>8972</v>
      </c>
      <c r="C73" s="173" t="n">
        <v>24</v>
      </c>
      <c r="D73" s="156" t="n">
        <v>2</v>
      </c>
      <c r="E73" s="175" t="n">
        <v>0.5</v>
      </c>
      <c r="F73" s="173" t="n">
        <v>6</v>
      </c>
      <c r="G73" s="159" t="n">
        <f aca="false">C73*D73*(1+E73)</f>
        <v>72</v>
      </c>
      <c r="H73" s="161" t="n">
        <f aca="false">IFERROR(ROUNDUP(G73/F73,0),0)</f>
        <v>12</v>
      </c>
      <c r="I73" s="159" t="n">
        <f aca="false">H73*F73</f>
        <v>72</v>
      </c>
      <c r="J73" s="174" t="n">
        <f aca="false">IFERROR(I73/C73,0)</f>
        <v>3</v>
      </c>
    </row>
    <row r="75" customFormat="false" ht="15" hidden="false" customHeight="true" outlineLevel="0" collapsed="false">
      <c r="B75" s="105" t="s">
        <v>8973</v>
      </c>
    </row>
    <row r="76" customFormat="false" ht="17.25" hidden="false" customHeight="true" outlineLevel="0" collapsed="false">
      <c r="B76" s="152" t="s">
        <v>1929</v>
      </c>
      <c r="C76" s="152" t="s">
        <v>6654</v>
      </c>
      <c r="D76" s="152" t="s">
        <v>6575</v>
      </c>
      <c r="E76" s="152" t="s">
        <v>88</v>
      </c>
      <c r="F76" s="152"/>
      <c r="G76" s="152"/>
      <c r="H76" s="152"/>
      <c r="I76" s="152"/>
    </row>
    <row r="77" customFormat="false" ht="17.25" hidden="false" customHeight="true" outlineLevel="0" collapsed="false">
      <c r="B77" s="15" t="s">
        <v>8974</v>
      </c>
      <c r="C77" s="161" t="n">
        <f aca="false">SUM(H68:H73)</f>
        <v>91</v>
      </c>
      <c r="D77" s="15" t="s">
        <v>8975</v>
      </c>
      <c r="E77" s="15" t="s">
        <v>8976</v>
      </c>
      <c r="F77" s="15"/>
      <c r="G77" s="15"/>
      <c r="H77" s="15"/>
      <c r="I77" s="15"/>
    </row>
    <row r="78" customFormat="false" ht="17.25" hidden="false" customHeight="true" outlineLevel="0" collapsed="false">
      <c r="B78" s="15" t="s">
        <v>8977</v>
      </c>
      <c r="C78" s="167" t="str">
        <f aca="false">INDEX(B68:B73,MATCH(MAX(J68:J73),J68:J73,0))</f>
        <v>Glue cartridges</v>
      </c>
      <c r="D78" s="15"/>
      <c r="E78" s="15" t="s">
        <v>8978</v>
      </c>
      <c r="F78" s="15"/>
      <c r="G78" s="15"/>
      <c r="H78" s="15"/>
      <c r="I78" s="15"/>
    </row>
    <row r="79" customFormat="false" ht="17.25" hidden="false" customHeight="true" outlineLevel="0" collapsed="false">
      <c r="B79" s="15" t="s">
        <v>8979</v>
      </c>
      <c r="C79" s="174" t="n">
        <f aca="false">MAX(J68:J73)</f>
        <v>3</v>
      </c>
      <c r="D79" s="15" t="s">
        <v>6801</v>
      </c>
      <c r="E79" s="15" t="s">
        <v>8980</v>
      </c>
      <c r="F79" s="15"/>
      <c r="G79" s="15"/>
      <c r="H79" s="15"/>
      <c r="I79" s="15"/>
    </row>
    <row r="80" customFormat="false" ht="17.25" hidden="false" customHeight="true" outlineLevel="0" collapsed="false">
      <c r="B80" s="15" t="s">
        <v>8981</v>
      </c>
      <c r="C80" s="161" t="n">
        <f aca="false">COUNTIF(H68:H73,"&lt;2")</f>
        <v>0</v>
      </c>
      <c r="D80" s="15" t="s">
        <v>8982</v>
      </c>
      <c r="E80" s="15" t="s">
        <v>8983</v>
      </c>
      <c r="F80" s="15"/>
      <c r="G80" s="15"/>
      <c r="H80" s="15"/>
      <c r="I80" s="15"/>
    </row>
    <row r="81" customFormat="false" ht="17.25" hidden="false" customHeight="true" outlineLevel="0" collapsed="false">
      <c r="B81" s="15" t="s">
        <v>8984</v>
      </c>
      <c r="C81" s="155" t="n">
        <v>4</v>
      </c>
      <c r="D81" s="15" t="s">
        <v>8985</v>
      </c>
      <c r="E81" s="15" t="s">
        <v>8986</v>
      </c>
      <c r="F81" s="15"/>
      <c r="G81" s="15"/>
      <c r="H81" s="15"/>
      <c r="I81" s="15"/>
    </row>
    <row r="82" customFormat="false" ht="17.25" hidden="false" customHeight="true" outlineLevel="0" collapsed="false">
      <c r="B82" s="15" t="s">
        <v>8987</v>
      </c>
      <c r="C82" s="155" t="n">
        <v>0</v>
      </c>
      <c r="D82" s="15" t="s">
        <v>8975</v>
      </c>
      <c r="E82" s="15" t="s">
        <v>8988</v>
      </c>
      <c r="F82" s="15"/>
      <c r="G82" s="15"/>
      <c r="H82" s="15"/>
      <c r="I82" s="15"/>
    </row>
    <row r="84" customFormat="false" ht="17.25" hidden="false" customHeight="true" outlineLevel="0" collapsed="false">
      <c r="B84" s="107" t="s">
        <v>8989</v>
      </c>
      <c r="C84" s="107"/>
      <c r="D84" s="107"/>
      <c r="E84" s="107"/>
      <c r="F84" s="107"/>
      <c r="G84" s="107"/>
      <c r="H84" s="107"/>
      <c r="I84" s="107"/>
    </row>
    <row r="85" customFormat="false" ht="17.25" hidden="false" customHeight="true" outlineLevel="0" collapsed="false">
      <c r="B85" s="152" t="s">
        <v>6912</v>
      </c>
      <c r="C85" s="152" t="s">
        <v>8990</v>
      </c>
      <c r="D85" s="152" t="s">
        <v>8991</v>
      </c>
      <c r="E85" s="152"/>
    </row>
    <row r="86" customFormat="false" ht="86.25" hidden="false" customHeight="true" outlineLevel="0" collapsed="false">
      <c r="B86" s="15" t="s">
        <v>34</v>
      </c>
      <c r="C86" s="15" t="s">
        <v>8992</v>
      </c>
      <c r="D86" s="15" t="s">
        <v>8993</v>
      </c>
      <c r="E86" s="15"/>
    </row>
    <row r="87" customFormat="false" ht="72" hidden="false" customHeight="true" outlineLevel="0" collapsed="false">
      <c r="B87" s="15" t="s">
        <v>6922</v>
      </c>
      <c r="C87" s="15" t="s">
        <v>8994</v>
      </c>
      <c r="D87" s="15" t="s">
        <v>8995</v>
      </c>
      <c r="E87" s="15"/>
    </row>
    <row r="88" customFormat="false" ht="58.5" hidden="false" customHeight="true" outlineLevel="0" collapsed="false">
      <c r="B88" s="15" t="s">
        <v>6926</v>
      </c>
      <c r="C88" s="15" t="s">
        <v>8996</v>
      </c>
      <c r="D88" s="15" t="s">
        <v>8997</v>
      </c>
      <c r="E88" s="15"/>
    </row>
    <row r="89" customFormat="false" ht="58.5" hidden="false" customHeight="true" outlineLevel="0" collapsed="false">
      <c r="B89" s="15" t="s">
        <v>6931</v>
      </c>
      <c r="C89" s="15" t="s">
        <v>8998</v>
      </c>
      <c r="D89" s="15" t="s">
        <v>8999</v>
      </c>
      <c r="E89" s="15"/>
    </row>
    <row r="90" customFormat="false" ht="44.25" hidden="false" customHeight="true" outlineLevel="0" collapsed="false">
      <c r="B90" s="15" t="s">
        <v>40</v>
      </c>
      <c r="C90" s="15" t="s">
        <v>9000</v>
      </c>
      <c r="D90" s="15" t="s">
        <v>9001</v>
      </c>
      <c r="E90" s="15"/>
    </row>
    <row r="91" customFormat="false" ht="72" hidden="false" customHeight="true" outlineLevel="0" collapsed="false">
      <c r="B91" s="15" t="s">
        <v>45</v>
      </c>
      <c r="C91" s="15" t="s">
        <v>9002</v>
      </c>
      <c r="D91" s="15" t="s">
        <v>9003</v>
      </c>
      <c r="E91" s="15"/>
    </row>
    <row r="92" customFormat="false" ht="28.5" hidden="false" customHeight="true" outlineLevel="0" collapsed="false">
      <c r="B92" s="182" t="s">
        <v>9004</v>
      </c>
      <c r="C92" s="182"/>
      <c r="D92" s="182"/>
      <c r="E92" s="182"/>
      <c r="F92" s="182"/>
      <c r="G92" s="182"/>
      <c r="H92" s="182"/>
      <c r="I92" s="182"/>
    </row>
    <row r="94" customFormat="false" ht="15.75" hidden="false" customHeight="true" outlineLevel="0" collapsed="false">
      <c r="B94" s="103" t="s">
        <v>1493</v>
      </c>
      <c r="C94" s="8"/>
      <c r="D94" s="8"/>
      <c r="E94" s="8"/>
      <c r="F94" s="8"/>
      <c r="G94" s="8"/>
      <c r="H94" s="8"/>
      <c r="I94" s="8"/>
      <c r="J94" s="8"/>
      <c r="K94" s="8"/>
    </row>
    <row r="95" customFormat="false" ht="65.25" hidden="false" customHeight="true" outlineLevel="0" collapsed="false">
      <c r="B95" s="105" t="s">
        <v>1494</v>
      </c>
      <c r="C95" s="168" t="str">
        <f aca="false">"The line needs "&amp;TEXT(C77,"0")&amp;" kanban cards across "&amp;TEXT(COUNTA(B68:B73),"0")&amp;" parts. Longest cover: "&amp;INDEX(B68:B73,MATCH(MAX(J68:J73),J68:J73,0))&amp;" at "&amp;TEXT(MAX(J68:J73),"0.00")&amp;" days. "&amp;IF(C80&gt;0,"WARNING: "&amp;TEXT(C80,"0")&amp;" part(s) size to fewer than 2 cards — with one card in transit the line has nothing. Use a smaller container or accept more cards.","Every part sizes to at least two cards, so the loop can cycle.")&amp;IF(C82=0," No cards have been removed since the last review: the system is holding stock, not driving improvement (rule 6).","")</f>
        <v>The line needs 91 kanban cards across 6 parts. Longest cover: Glue cartridges at 3.00 days. Every part sizes to at least two cards, so the loop can cycle. No cards have been removed since the last review: the system is holding stock, not driving improvement (rule 6).</v>
      </c>
      <c r="D95" s="168"/>
      <c r="E95" s="168"/>
      <c r="F95" s="168"/>
      <c r="G95" s="168"/>
    </row>
    <row r="97" customFormat="false" ht="17.25" hidden="false" customHeight="true" outlineLevel="0" collapsed="false">
      <c r="B97" s="152" t="s">
        <v>1495</v>
      </c>
      <c r="C97" s="152" t="s">
        <v>1496</v>
      </c>
      <c r="D97" s="152" t="s">
        <v>1497</v>
      </c>
      <c r="E97" s="152"/>
    </row>
    <row r="98" customFormat="false" ht="31.5" hidden="false" customHeight="true" outlineLevel="0" collapsed="false">
      <c r="B98" s="15" t="s">
        <v>9005</v>
      </c>
      <c r="C98" s="15" t="s">
        <v>9006</v>
      </c>
      <c r="D98" s="15" t="s">
        <v>9007</v>
      </c>
      <c r="E98" s="15"/>
    </row>
    <row r="99" customFormat="false" ht="44.25" hidden="false" customHeight="true" outlineLevel="0" collapsed="false">
      <c r="B99" s="15" t="s">
        <v>8966</v>
      </c>
      <c r="C99" s="15" t="s">
        <v>9008</v>
      </c>
      <c r="D99" s="15" t="s">
        <v>9009</v>
      </c>
      <c r="E99" s="15"/>
    </row>
    <row r="100" customFormat="false" ht="31.5" hidden="false" customHeight="true" outlineLevel="0" collapsed="false">
      <c r="B100" s="15" t="s">
        <v>8961</v>
      </c>
      <c r="C100" s="15" t="s">
        <v>9010</v>
      </c>
      <c r="D100" s="15" t="s">
        <v>9011</v>
      </c>
      <c r="E100" s="15"/>
    </row>
    <row r="101" customFormat="false" ht="31.5" hidden="false" customHeight="true" outlineLevel="0" collapsed="false">
      <c r="B101" s="15" t="s">
        <v>8987</v>
      </c>
      <c r="C101" s="15" t="s">
        <v>9012</v>
      </c>
      <c r="D101" s="15" t="s">
        <v>9013</v>
      </c>
      <c r="E101" s="15"/>
    </row>
    <row r="103" customFormat="false" ht="15" hidden="false" customHeight="true" outlineLevel="0" collapsed="false">
      <c r="B103" s="105" t="s">
        <v>1507</v>
      </c>
    </row>
    <row r="104" customFormat="false" ht="17.25" hidden="false" customHeight="true" outlineLevel="0" collapsed="false">
      <c r="B104" s="106" t="s">
        <v>9014</v>
      </c>
      <c r="C104" s="106"/>
      <c r="D104" s="106"/>
      <c r="E104" s="106"/>
      <c r="F104" s="106"/>
      <c r="G104" s="106"/>
      <c r="H104" s="106"/>
      <c r="I104" s="106"/>
    </row>
    <row r="105" customFormat="false" ht="17.25" hidden="false" customHeight="true" outlineLevel="0" collapsed="false">
      <c r="B105" s="106" t="s">
        <v>9015</v>
      </c>
      <c r="C105" s="106"/>
      <c r="D105" s="106"/>
      <c r="E105" s="106"/>
      <c r="F105" s="106"/>
      <c r="G105" s="106"/>
      <c r="H105" s="106"/>
      <c r="I105" s="106"/>
    </row>
    <row r="106" customFormat="false" ht="17.25" hidden="false" customHeight="true" outlineLevel="0" collapsed="false">
      <c r="B106" s="106" t="s">
        <v>9016</v>
      </c>
      <c r="C106" s="106"/>
      <c r="D106" s="106"/>
      <c r="E106" s="106"/>
      <c r="F106" s="106"/>
      <c r="G106" s="106"/>
      <c r="H106" s="106"/>
      <c r="I106" s="106"/>
    </row>
    <row r="107" customFormat="false" ht="17.25" hidden="false" customHeight="true" outlineLevel="0" collapsed="false">
      <c r="B107" s="106" t="s">
        <v>9017</v>
      </c>
      <c r="C107" s="106"/>
      <c r="D107" s="106"/>
      <c r="E107" s="106"/>
      <c r="F107" s="106"/>
      <c r="G107" s="106"/>
      <c r="H107" s="106"/>
      <c r="I107" s="106"/>
    </row>
    <row r="108" customFormat="false" ht="17.25" hidden="false" customHeight="true" outlineLevel="0" collapsed="false">
      <c r="B108" s="106" t="s">
        <v>9018</v>
      </c>
      <c r="C108" s="106"/>
      <c r="D108" s="106"/>
      <c r="E108" s="106"/>
      <c r="F108" s="106"/>
      <c r="G108" s="106"/>
      <c r="H108" s="106"/>
      <c r="I108" s="106"/>
    </row>
    <row r="110" customFormat="false" ht="15.75" hidden="false" customHeight="true" outlineLevel="0" collapsed="false">
      <c r="B110" s="103" t="s">
        <v>1513</v>
      </c>
      <c r="C110" s="8"/>
      <c r="D110" s="8"/>
      <c r="E110" s="8"/>
      <c r="F110" s="8"/>
      <c r="G110" s="8"/>
      <c r="H110" s="8"/>
      <c r="I110" s="8"/>
      <c r="J110" s="8"/>
      <c r="K110" s="8"/>
    </row>
    <row r="111" customFormat="false" ht="17.25" hidden="false" customHeight="true" outlineLevel="0" collapsed="false">
      <c r="B111" s="106" t="s">
        <v>6712</v>
      </c>
      <c r="C111" s="106"/>
      <c r="D111" s="106"/>
      <c r="E111" s="106"/>
      <c r="F111" s="106"/>
      <c r="N111" s="169" t="s">
        <v>1515</v>
      </c>
    </row>
    <row r="112" customFormat="false" ht="31.5" hidden="false" customHeight="true" outlineLevel="0" collapsed="false">
      <c r="B112" s="106" t="s">
        <v>9019</v>
      </c>
      <c r="C112" s="106"/>
      <c r="D112" s="106"/>
      <c r="E112" s="106"/>
      <c r="F112" s="106"/>
      <c r="N112" s="120" t="s">
        <v>9020</v>
      </c>
    </row>
    <row r="113" customFormat="false" ht="44.25" hidden="false" customHeight="true" outlineLevel="0" collapsed="false">
      <c r="B113" s="106" t="s">
        <v>9021</v>
      </c>
      <c r="C113" s="106"/>
      <c r="D113" s="106"/>
      <c r="E113" s="106"/>
      <c r="F113" s="106"/>
      <c r="N113" s="120" t="s">
        <v>9022</v>
      </c>
    </row>
    <row r="114" customFormat="false" ht="44.25" hidden="false" customHeight="true" outlineLevel="0" collapsed="false">
      <c r="B114" s="106" t="s">
        <v>9023</v>
      </c>
      <c r="C114" s="106"/>
      <c r="D114" s="106"/>
      <c r="E114" s="106"/>
      <c r="F114" s="106"/>
      <c r="N114" s="120" t="s">
        <v>9024</v>
      </c>
    </row>
    <row r="116" customFormat="false" ht="15.75" hidden="false" customHeight="true" outlineLevel="0" collapsed="false">
      <c r="B116" s="103" t="s">
        <v>1522</v>
      </c>
      <c r="C116" s="8"/>
      <c r="D116" s="8"/>
      <c r="E116" s="8"/>
      <c r="F116" s="8"/>
      <c r="G116" s="8"/>
      <c r="H116" s="8"/>
      <c r="I116" s="8"/>
      <c r="J116" s="8"/>
      <c r="K116" s="8"/>
    </row>
    <row r="117" customFormat="false" ht="30.75" hidden="false" customHeight="true" outlineLevel="0" collapsed="false">
      <c r="B117" s="152" t="s">
        <v>1523</v>
      </c>
      <c r="C117" s="152" t="s">
        <v>1524</v>
      </c>
      <c r="D117" s="152" t="s">
        <v>6719</v>
      </c>
    </row>
    <row r="118" customFormat="false" ht="30.75" hidden="false" customHeight="true" outlineLevel="0" collapsed="false">
      <c r="B118" s="170" t="s">
        <v>9025</v>
      </c>
      <c r="C118" s="170" t="s">
        <v>6740</v>
      </c>
      <c r="D118" s="170" t="s">
        <v>6748</v>
      </c>
    </row>
  </sheetData>
  <mergeCells count="67">
    <mergeCell ref="B2:J2"/>
    <mergeCell ref="D3:H3"/>
    <mergeCell ref="C6:G6"/>
    <mergeCell ref="C7:G7"/>
    <mergeCell ref="C8:G8"/>
    <mergeCell ref="B11:I13"/>
    <mergeCell ref="B14:I16"/>
    <mergeCell ref="B17:I20"/>
    <mergeCell ref="B21:I23"/>
    <mergeCell ref="B24:I25"/>
    <mergeCell ref="B28:D28"/>
    <mergeCell ref="E28:I28"/>
    <mergeCell ref="B29:D29"/>
    <mergeCell ref="E29:I29"/>
    <mergeCell ref="B30:D30"/>
    <mergeCell ref="E30:I30"/>
    <mergeCell ref="B31:D31"/>
    <mergeCell ref="E31:I31"/>
    <mergeCell ref="B32:I32"/>
    <mergeCell ref="E34:F34"/>
    <mergeCell ref="E35:F35"/>
    <mergeCell ref="E36:F36"/>
    <mergeCell ref="E37:F37"/>
    <mergeCell ref="E38:F38"/>
    <mergeCell ref="B41:I43"/>
    <mergeCell ref="B44:I44"/>
    <mergeCell ref="B46:I47"/>
    <mergeCell ref="B49:I51"/>
    <mergeCell ref="D54:E54"/>
    <mergeCell ref="D55:E55"/>
    <mergeCell ref="D56:E56"/>
    <mergeCell ref="D57:E57"/>
    <mergeCell ref="D58:E58"/>
    <mergeCell ref="B61:I63"/>
    <mergeCell ref="C64:D64"/>
    <mergeCell ref="B66:I66"/>
    <mergeCell ref="E76:I76"/>
    <mergeCell ref="E77:I77"/>
    <mergeCell ref="E78:I78"/>
    <mergeCell ref="E79:I79"/>
    <mergeCell ref="E80:I80"/>
    <mergeCell ref="E81:I81"/>
    <mergeCell ref="E82:I82"/>
    <mergeCell ref="B84:I84"/>
    <mergeCell ref="D85:E85"/>
    <mergeCell ref="D86:E86"/>
    <mergeCell ref="D87:E87"/>
    <mergeCell ref="D88:E88"/>
    <mergeCell ref="D89:E89"/>
    <mergeCell ref="D90:E90"/>
    <mergeCell ref="D91:E91"/>
    <mergeCell ref="B92:I92"/>
    <mergeCell ref="C95:G95"/>
    <mergeCell ref="D97:E97"/>
    <mergeCell ref="D98:E98"/>
    <mergeCell ref="D99:E99"/>
    <mergeCell ref="D100:E100"/>
    <mergeCell ref="D101:E101"/>
    <mergeCell ref="B104:I104"/>
    <mergeCell ref="B105:I105"/>
    <mergeCell ref="B106:I106"/>
    <mergeCell ref="B107:I107"/>
    <mergeCell ref="B108:I108"/>
    <mergeCell ref="B111:F111"/>
    <mergeCell ref="B112:F112"/>
    <mergeCell ref="B113:F113"/>
    <mergeCell ref="B114:F114"/>
  </mergeCells>
  <hyperlinks>
    <hyperlink ref="B3" location="'N-03 Index DMAIC'!A1" display="← Back to Index"/>
    <hyperlink ref="E35" location="'L-20 Heijunka'!A1" display="L-20  Heijunka (Level Loading)"/>
    <hyperlink ref="E36" location="'L-08 Littles Law and WIP'!A1" display="L-08  Little's Law and WIP"/>
    <hyperlink ref="E37" location="'L-12 5S'!A1" display="L-12  5S and Workplace Organisation"/>
    <hyperlink ref="E38" location="'L-18 Jidoka and Andon'!A1" display="L-18  Jidoka and Andon"/>
    <hyperlink ref="B118" location="'L-03 VSM Future State'!A1" display="L-03  VSM Future State"/>
    <hyperlink ref="C118" location="'L-20 Heijunka'!A1" display="L-20  Heijunka (Level Loading)"/>
    <hyperlink ref="D118" location="'L-08 Littles Law and WIP'!A1" display="L-08  Little's Law and WI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8"/>
    <col collapsed="false" customWidth="true" hidden="false" outlineLevel="0" max="4" min="4" style="1" width="20"/>
    <col collapsed="false" customWidth="true" hidden="false" outlineLevel="0" max="5" min="5" style="1" width="15"/>
    <col collapsed="false" customWidth="true" hidden="false" outlineLevel="0" max="7" min="6" style="1" width="16"/>
    <col collapsed="false" customWidth="true" hidden="false" outlineLevel="0" max="8" min="8" style="1" width="14"/>
    <col collapsed="false" customWidth="true" hidden="false" outlineLevel="0" max="11" min="9" style="1" width="12"/>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9026</v>
      </c>
      <c r="C2" s="148"/>
      <c r="D2" s="148"/>
      <c r="E2" s="148"/>
      <c r="F2" s="148"/>
      <c r="G2" s="148"/>
      <c r="H2" s="148"/>
      <c r="I2" s="148"/>
      <c r="J2" s="148"/>
      <c r="K2" s="179" t="s">
        <v>5137</v>
      </c>
    </row>
    <row r="3" customFormat="false" ht="42" hidden="false" customHeight="true" outlineLevel="0" collapsed="false">
      <c r="B3" s="150" t="s">
        <v>3</v>
      </c>
      <c r="D3" s="151" t="s">
        <v>9027</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9028</v>
      </c>
      <c r="D6" s="106"/>
      <c r="E6" s="106"/>
      <c r="F6" s="106"/>
      <c r="G6" s="106"/>
    </row>
    <row r="7" customFormat="false" ht="31.5" hidden="false" customHeight="true" outlineLevel="0" collapsed="false">
      <c r="B7" s="105" t="s">
        <v>1394</v>
      </c>
      <c r="C7" s="106" t="s">
        <v>9029</v>
      </c>
      <c r="D7" s="106"/>
      <c r="E7" s="106"/>
      <c r="F7" s="106"/>
      <c r="G7" s="106"/>
    </row>
    <row r="8" customFormat="false" ht="31.5" hidden="false" customHeight="true" outlineLevel="0" collapsed="false">
      <c r="B8" s="105" t="s">
        <v>1396</v>
      </c>
      <c r="C8" s="106" t="s">
        <v>9030</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5.75" hidden="false" customHeight="true" outlineLevel="0" collapsed="false">
      <c r="B11" s="106" t="s">
        <v>9031</v>
      </c>
      <c r="C11" s="106"/>
      <c r="D11" s="106"/>
      <c r="E11" s="106"/>
      <c r="F11" s="106"/>
      <c r="G11" s="106"/>
      <c r="H11" s="106"/>
      <c r="I11" s="106"/>
      <c r="J11" s="106"/>
    </row>
    <row r="12" customFormat="false" ht="15.75" hidden="false" customHeight="true" outlineLevel="0" collapsed="false">
      <c r="B12" s="106"/>
      <c r="C12" s="106"/>
      <c r="D12" s="106"/>
      <c r="E12" s="106"/>
      <c r="F12" s="106"/>
      <c r="G12" s="106"/>
      <c r="H12" s="106"/>
      <c r="I12" s="106"/>
      <c r="J12" s="106"/>
    </row>
    <row r="13" customFormat="false" ht="10.5" hidden="false" customHeight="true" outlineLevel="0" collapsed="false">
      <c r="B13" s="106" t="s">
        <v>9032</v>
      </c>
      <c r="C13" s="106"/>
      <c r="D13" s="106"/>
      <c r="E13" s="106"/>
      <c r="F13" s="106"/>
      <c r="G13" s="106"/>
      <c r="H13" s="106"/>
      <c r="I13" s="106"/>
      <c r="J13" s="106"/>
    </row>
    <row r="14" customFormat="false" ht="10.5" hidden="false" customHeight="true" outlineLevel="0" collapsed="false">
      <c r="B14" s="106"/>
      <c r="C14" s="106"/>
      <c r="D14" s="106"/>
      <c r="E14" s="106"/>
      <c r="F14" s="106"/>
      <c r="G14" s="106"/>
      <c r="H14" s="106"/>
      <c r="I14" s="106"/>
      <c r="J14" s="106"/>
    </row>
    <row r="15" customFormat="false" ht="10.5" hidden="false" customHeight="true" outlineLevel="0" collapsed="false">
      <c r="B15" s="106"/>
      <c r="C15" s="106"/>
      <c r="D15" s="106"/>
      <c r="E15" s="106"/>
      <c r="F15" s="106"/>
      <c r="G15" s="106"/>
      <c r="H15" s="106"/>
      <c r="I15" s="106"/>
      <c r="J15" s="106"/>
    </row>
    <row r="16" customFormat="false" ht="11.25" hidden="false" customHeight="true" outlineLevel="0" collapsed="false">
      <c r="B16" s="106" t="s">
        <v>9033</v>
      </c>
      <c r="C16" s="106"/>
      <c r="D16" s="106"/>
      <c r="E16" s="106"/>
      <c r="F16" s="106"/>
      <c r="G16" s="106"/>
      <c r="H16" s="106"/>
      <c r="I16" s="106"/>
      <c r="J16" s="106"/>
    </row>
    <row r="17" customFormat="false" ht="11.25" hidden="false" customHeight="true" outlineLevel="0" collapsed="false">
      <c r="B17" s="106"/>
      <c r="C17" s="106"/>
      <c r="D17" s="106"/>
      <c r="E17" s="106"/>
      <c r="F17" s="106"/>
      <c r="G17" s="106"/>
      <c r="H17" s="106"/>
      <c r="I17" s="106"/>
      <c r="J17" s="106"/>
    </row>
    <row r="18" customFormat="false" ht="11.25" hidden="false" customHeight="true" outlineLevel="0" collapsed="false">
      <c r="B18" s="106"/>
      <c r="C18" s="106"/>
      <c r="D18" s="106"/>
      <c r="E18" s="106"/>
      <c r="F18" s="106"/>
      <c r="G18" s="106"/>
      <c r="H18" s="106"/>
      <c r="I18" s="106"/>
      <c r="J18" s="106"/>
    </row>
    <row r="19" customFormat="false" ht="11.25" hidden="false" customHeight="true" outlineLevel="0" collapsed="false">
      <c r="B19" s="106"/>
      <c r="C19" s="106"/>
      <c r="D19" s="106"/>
      <c r="E19" s="106"/>
      <c r="F19" s="106"/>
      <c r="G19" s="106"/>
      <c r="H19" s="106"/>
      <c r="I19" s="106"/>
      <c r="J19" s="106"/>
    </row>
    <row r="20" customFormat="false" ht="17.25" hidden="false" customHeight="true" outlineLevel="0" collapsed="false">
      <c r="B20" s="106" t="s">
        <v>9034</v>
      </c>
      <c r="C20" s="106"/>
      <c r="D20" s="106"/>
      <c r="E20" s="106"/>
      <c r="F20" s="106"/>
      <c r="G20" s="106"/>
      <c r="H20" s="106"/>
      <c r="I20" s="106"/>
      <c r="J20" s="106"/>
    </row>
    <row r="21" customFormat="false" ht="8.25" hidden="false" customHeight="true" outlineLevel="0" collapsed="false">
      <c r="B21" s="106" t="s">
        <v>9035</v>
      </c>
      <c r="C21" s="106"/>
      <c r="D21" s="106"/>
      <c r="E21" s="106"/>
      <c r="F21" s="106"/>
      <c r="G21" s="106"/>
      <c r="H21" s="106"/>
      <c r="I21" s="106"/>
      <c r="J21" s="106"/>
    </row>
    <row r="22" customFormat="false" ht="8.25" hidden="false" customHeight="true" outlineLevel="0" collapsed="false">
      <c r="B22" s="106"/>
      <c r="C22" s="106"/>
      <c r="D22" s="106"/>
      <c r="E22" s="106"/>
      <c r="F22" s="106"/>
      <c r="G22" s="106"/>
      <c r="H22" s="106"/>
      <c r="I22" s="106"/>
      <c r="J22" s="106"/>
    </row>
    <row r="23" customFormat="false" ht="10.5" hidden="false" customHeight="true" outlineLevel="0" collapsed="false">
      <c r="B23" s="106" t="s">
        <v>9036</v>
      </c>
      <c r="C23" s="106"/>
      <c r="D23" s="106"/>
      <c r="E23" s="106"/>
      <c r="F23" s="106"/>
      <c r="G23" s="106"/>
      <c r="H23" s="106"/>
      <c r="I23" s="106"/>
      <c r="J23" s="106"/>
    </row>
    <row r="24" customFormat="false" ht="10.5" hidden="false" customHeight="true" outlineLevel="0" collapsed="false">
      <c r="B24" s="106"/>
      <c r="C24" s="106"/>
      <c r="D24" s="106"/>
      <c r="E24" s="106"/>
      <c r="F24" s="106"/>
      <c r="G24" s="106"/>
      <c r="H24" s="106"/>
      <c r="I24" s="106"/>
      <c r="J24" s="106"/>
    </row>
    <row r="25" customFormat="false" ht="10.5" hidden="false" customHeight="true" outlineLevel="0" collapsed="false">
      <c r="B25" s="106"/>
      <c r="C25" s="106"/>
      <c r="D25" s="106"/>
      <c r="E25" s="106"/>
      <c r="F25" s="106"/>
      <c r="G25" s="106"/>
      <c r="H25" s="106"/>
      <c r="I25" s="106"/>
      <c r="J25" s="106"/>
    </row>
    <row r="27" customFormat="false" ht="15.75" hidden="false" customHeight="true" outlineLevel="0" collapsed="false">
      <c r="B27" s="103" t="s">
        <v>1406</v>
      </c>
      <c r="C27" s="8"/>
      <c r="D27" s="8"/>
      <c r="E27" s="8"/>
      <c r="F27" s="8"/>
      <c r="G27" s="8"/>
      <c r="H27" s="8"/>
      <c r="I27" s="8"/>
      <c r="J27" s="8"/>
      <c r="K27" s="8"/>
    </row>
    <row r="28" customFormat="false" ht="17.25" hidden="false" customHeight="true" outlineLevel="0" collapsed="false">
      <c r="B28" s="107" t="s">
        <v>1407</v>
      </c>
      <c r="C28" s="107"/>
      <c r="D28" s="107"/>
      <c r="E28" s="107" t="s">
        <v>1408</v>
      </c>
      <c r="F28" s="107"/>
      <c r="G28" s="107"/>
      <c r="H28" s="107"/>
      <c r="I28" s="107"/>
    </row>
    <row r="29" customFormat="false" ht="31.5" hidden="false" customHeight="true" outlineLevel="0" collapsed="false">
      <c r="B29" s="106" t="s">
        <v>9037</v>
      </c>
      <c r="C29" s="106"/>
      <c r="D29" s="106"/>
      <c r="E29" s="106" t="s">
        <v>9038</v>
      </c>
      <c r="F29" s="106"/>
      <c r="G29" s="106"/>
      <c r="H29" s="106"/>
      <c r="I29" s="106"/>
    </row>
    <row r="30" customFormat="false" ht="31.5" hidden="false" customHeight="true" outlineLevel="0" collapsed="false">
      <c r="B30" s="106" t="s">
        <v>9039</v>
      </c>
      <c r="C30" s="106"/>
      <c r="D30" s="106"/>
      <c r="E30" s="106" t="s">
        <v>9040</v>
      </c>
      <c r="F30" s="106"/>
      <c r="G30" s="106"/>
      <c r="H30" s="106"/>
      <c r="I30" s="106"/>
    </row>
    <row r="31" customFormat="false" ht="31.5" hidden="false" customHeight="true" outlineLevel="0" collapsed="false">
      <c r="B31" s="106" t="s">
        <v>9041</v>
      </c>
      <c r="C31" s="106"/>
      <c r="D31" s="106"/>
      <c r="E31" s="106" t="s">
        <v>9042</v>
      </c>
      <c r="F31" s="106"/>
      <c r="G31" s="106"/>
      <c r="H31" s="106"/>
      <c r="I31" s="106"/>
    </row>
    <row r="32" customFormat="false" ht="17.25" hidden="false" customHeight="true" outlineLevel="0" collapsed="false">
      <c r="B32" s="106" t="s">
        <v>9043</v>
      </c>
      <c r="C32" s="106"/>
      <c r="D32" s="106"/>
      <c r="E32" s="106"/>
      <c r="F32" s="106"/>
      <c r="G32" s="106"/>
      <c r="H32" s="106"/>
      <c r="I32" s="106"/>
      <c r="J32" s="106"/>
    </row>
    <row r="34" customFormat="false" ht="30.75" hidden="false" customHeight="true" outlineLevel="0" collapsed="false">
      <c r="B34" s="152" t="s">
        <v>6621</v>
      </c>
      <c r="C34" s="152" t="s">
        <v>1417</v>
      </c>
      <c r="D34" s="152" t="s">
        <v>1418</v>
      </c>
      <c r="E34" s="152" t="s">
        <v>1419</v>
      </c>
      <c r="F34" s="152"/>
    </row>
    <row r="35" customFormat="false" ht="86.25" hidden="false" customHeight="true" outlineLevel="0" collapsed="false">
      <c r="B35" s="15" t="s">
        <v>9044</v>
      </c>
      <c r="C35" s="15" t="s">
        <v>9045</v>
      </c>
      <c r="D35" s="15" t="s">
        <v>9046</v>
      </c>
      <c r="E35" s="153" t="s">
        <v>1109</v>
      </c>
      <c r="F35" s="153"/>
    </row>
    <row r="36" customFormat="false" ht="72" hidden="false" customHeight="true" outlineLevel="0" collapsed="false">
      <c r="B36" s="15" t="s">
        <v>9047</v>
      </c>
      <c r="C36" s="15" t="s">
        <v>9048</v>
      </c>
      <c r="D36" s="15" t="s">
        <v>9049</v>
      </c>
      <c r="E36" s="153" t="s">
        <v>6862</v>
      </c>
      <c r="F36" s="153"/>
    </row>
    <row r="37" customFormat="false" ht="44.25" hidden="false" customHeight="true" outlineLevel="0" collapsed="false">
      <c r="B37" s="15" t="s">
        <v>9050</v>
      </c>
      <c r="C37" s="15" t="s">
        <v>9051</v>
      </c>
      <c r="D37" s="15" t="s">
        <v>9052</v>
      </c>
      <c r="E37" s="153" t="s">
        <v>9025</v>
      </c>
      <c r="F37" s="153"/>
    </row>
    <row r="38" customFormat="false" ht="58.5" hidden="false" customHeight="true" outlineLevel="0" collapsed="false">
      <c r="B38" s="15" t="s">
        <v>9053</v>
      </c>
      <c r="C38" s="15" t="s">
        <v>9054</v>
      </c>
      <c r="D38" s="15" t="s">
        <v>9055</v>
      </c>
      <c r="E38" s="153" t="s">
        <v>1157</v>
      </c>
      <c r="F38" s="153"/>
    </row>
    <row r="40" customFormat="false" ht="15.75" hidden="false" customHeight="true" outlineLevel="0" collapsed="false">
      <c r="B40" s="103" t="s">
        <v>1429</v>
      </c>
      <c r="C40" s="8"/>
      <c r="D40" s="8"/>
      <c r="E40" s="8"/>
      <c r="F40" s="8"/>
      <c r="G40" s="8"/>
      <c r="H40" s="8"/>
      <c r="I40" s="8"/>
      <c r="J40" s="8"/>
      <c r="K40" s="8"/>
    </row>
    <row r="41" customFormat="false" ht="10.5" hidden="false" customHeight="true" outlineLevel="0" collapsed="false">
      <c r="B41" s="106" t="s">
        <v>9056</v>
      </c>
      <c r="C41" s="106"/>
      <c r="D41" s="106"/>
      <c r="E41" s="106"/>
      <c r="F41" s="106"/>
      <c r="G41" s="106"/>
      <c r="H41" s="106"/>
      <c r="I41" s="106"/>
      <c r="J41" s="106"/>
    </row>
    <row r="42" customFormat="false" ht="10.5" hidden="false" customHeight="true" outlineLevel="0" collapsed="false">
      <c r="B42" s="106"/>
      <c r="C42" s="106"/>
      <c r="D42" s="106"/>
      <c r="E42" s="106"/>
      <c r="F42" s="106"/>
      <c r="G42" s="106"/>
      <c r="H42" s="106"/>
      <c r="I42" s="106"/>
      <c r="J42" s="106"/>
    </row>
    <row r="43" customFormat="false" ht="10.5" hidden="false" customHeight="true" outlineLevel="0" collapsed="false">
      <c r="B43" s="106"/>
      <c r="C43" s="106"/>
      <c r="D43" s="106"/>
      <c r="E43" s="106"/>
      <c r="F43" s="106"/>
      <c r="G43" s="106"/>
      <c r="H43" s="106"/>
      <c r="I43" s="106"/>
      <c r="J43" s="106"/>
    </row>
    <row r="44" customFormat="false" ht="15" hidden="false" customHeight="true" outlineLevel="0" collapsed="false">
      <c r="B44" s="122"/>
    </row>
    <row r="45" customFormat="false" ht="17.25" hidden="false" customHeight="true" outlineLevel="0" collapsed="false">
      <c r="B45" s="106" t="s">
        <v>9057</v>
      </c>
      <c r="C45" s="106"/>
      <c r="D45" s="106"/>
      <c r="E45" s="106"/>
      <c r="F45" s="106"/>
      <c r="G45" s="106"/>
      <c r="H45" s="106"/>
      <c r="I45" s="106"/>
      <c r="J45" s="106"/>
    </row>
    <row r="46" customFormat="false" ht="15" hidden="false" customHeight="true" outlineLevel="0" collapsed="false">
      <c r="B46" s="122"/>
    </row>
    <row r="47" customFormat="false" ht="10.5" hidden="false" customHeight="true" outlineLevel="0" collapsed="false">
      <c r="B47" s="106" t="s">
        <v>9058</v>
      </c>
      <c r="C47" s="106"/>
      <c r="D47" s="106"/>
      <c r="E47" s="106"/>
      <c r="F47" s="106"/>
      <c r="G47" s="106"/>
      <c r="H47" s="106"/>
      <c r="I47" s="106"/>
      <c r="J47" s="106"/>
    </row>
    <row r="48" customFormat="false" ht="10.5" hidden="false" customHeight="true" outlineLevel="0" collapsed="false">
      <c r="B48" s="106"/>
      <c r="C48" s="106"/>
      <c r="D48" s="106"/>
      <c r="E48" s="106"/>
      <c r="F48" s="106"/>
      <c r="G48" s="106"/>
      <c r="H48" s="106"/>
      <c r="I48" s="106"/>
      <c r="J48" s="106"/>
    </row>
    <row r="49" customFormat="false" ht="10.5" hidden="false" customHeight="true" outlineLevel="0" collapsed="false">
      <c r="B49" s="106"/>
      <c r="C49" s="106"/>
      <c r="D49" s="106"/>
      <c r="E49" s="106"/>
      <c r="F49" s="106"/>
      <c r="G49" s="106"/>
      <c r="H49" s="106"/>
      <c r="I49" s="106"/>
      <c r="J49" s="106"/>
    </row>
    <row r="50" customFormat="false" ht="15" hidden="false" customHeight="true" outlineLevel="0" collapsed="false">
      <c r="B50" s="122"/>
    </row>
    <row r="51" customFormat="false" ht="15.75" hidden="false" customHeight="true" outlineLevel="0" collapsed="false">
      <c r="B51" s="106" t="s">
        <v>9059</v>
      </c>
      <c r="C51" s="106"/>
      <c r="D51" s="106"/>
      <c r="E51" s="106"/>
      <c r="F51" s="106"/>
      <c r="G51" s="106"/>
      <c r="H51" s="106"/>
      <c r="I51" s="106"/>
      <c r="J51" s="106"/>
    </row>
    <row r="52" customFormat="false" ht="15.75" hidden="false" customHeight="true" outlineLevel="0" collapsed="false">
      <c r="B52" s="106"/>
      <c r="C52" s="106"/>
      <c r="D52" s="106"/>
      <c r="E52" s="106"/>
      <c r="F52" s="106"/>
      <c r="G52" s="106"/>
      <c r="H52" s="106"/>
      <c r="I52" s="106"/>
      <c r="J52" s="106"/>
    </row>
    <row r="54" customFormat="false" ht="15.75" hidden="false" customHeight="true" outlineLevel="0" collapsed="false">
      <c r="B54" s="103" t="s">
        <v>1437</v>
      </c>
      <c r="C54" s="8"/>
      <c r="D54" s="8"/>
      <c r="E54" s="8"/>
      <c r="F54" s="8"/>
      <c r="G54" s="8"/>
      <c r="H54" s="8"/>
      <c r="I54" s="8"/>
      <c r="J54" s="8"/>
      <c r="K54" s="8"/>
    </row>
    <row r="55" customFormat="false" ht="17.25" hidden="false" customHeight="true" outlineLevel="0" collapsed="false">
      <c r="B55" s="152" t="s">
        <v>1438</v>
      </c>
      <c r="C55" s="152" t="s">
        <v>1439</v>
      </c>
      <c r="D55" s="152" t="s">
        <v>1440</v>
      </c>
      <c r="E55" s="152"/>
    </row>
    <row r="56" customFormat="false" ht="31.5" hidden="false" customHeight="true" outlineLevel="0" collapsed="false">
      <c r="B56" s="15" t="s">
        <v>9060</v>
      </c>
      <c r="C56" s="15" t="s">
        <v>9061</v>
      </c>
      <c r="D56" s="15" t="s">
        <v>9062</v>
      </c>
      <c r="E56" s="15"/>
    </row>
    <row r="57" customFormat="false" ht="30.75" hidden="false" customHeight="true" outlineLevel="0" collapsed="false">
      <c r="B57" s="15" t="s">
        <v>2667</v>
      </c>
      <c r="C57" s="15" t="s">
        <v>9063</v>
      </c>
      <c r="D57" s="15" t="s">
        <v>9064</v>
      </c>
      <c r="E57" s="15"/>
    </row>
    <row r="58" customFormat="false" ht="31.5" hidden="false" customHeight="true" outlineLevel="0" collapsed="false">
      <c r="B58" s="15" t="s">
        <v>4079</v>
      </c>
      <c r="C58" s="15" t="s">
        <v>4080</v>
      </c>
      <c r="D58" s="15" t="s">
        <v>9065</v>
      </c>
      <c r="E58" s="15"/>
    </row>
    <row r="59" customFormat="false" ht="31.5" hidden="false" customHeight="true" outlineLevel="0" collapsed="false">
      <c r="B59" s="15" t="s">
        <v>1839</v>
      </c>
      <c r="C59" s="15" t="s">
        <v>6647</v>
      </c>
      <c r="D59" s="15" t="s">
        <v>9066</v>
      </c>
      <c r="E59" s="15"/>
    </row>
    <row r="61" customFormat="false" ht="15.75" hidden="false" customHeight="true" outlineLevel="0" collapsed="false">
      <c r="B61" s="103" t="s">
        <v>1454</v>
      </c>
      <c r="C61" s="8"/>
      <c r="D61" s="8"/>
      <c r="E61" s="8"/>
      <c r="F61" s="8"/>
      <c r="G61" s="8"/>
      <c r="H61" s="8"/>
      <c r="I61" s="8"/>
      <c r="J61" s="8"/>
      <c r="K61" s="8"/>
    </row>
    <row r="62" customFormat="false" ht="10.5" hidden="false" customHeight="true" outlineLevel="0" collapsed="false">
      <c r="B62" s="106" t="s">
        <v>9067</v>
      </c>
      <c r="C62" s="106"/>
      <c r="D62" s="106"/>
      <c r="E62" s="106"/>
      <c r="F62" s="106"/>
      <c r="G62" s="106"/>
      <c r="H62" s="106"/>
      <c r="I62" s="106"/>
      <c r="J62" s="106"/>
    </row>
    <row r="63" customFormat="false" ht="10.5" hidden="false" customHeight="true" outlineLevel="0" collapsed="false">
      <c r="B63" s="106"/>
      <c r="C63" s="106"/>
      <c r="D63" s="106"/>
      <c r="E63" s="106"/>
      <c r="F63" s="106"/>
      <c r="G63" s="106"/>
      <c r="H63" s="106"/>
      <c r="I63" s="106"/>
      <c r="J63" s="106"/>
    </row>
    <row r="64" customFormat="false" ht="10.5" hidden="false" customHeight="true" outlineLevel="0" collapsed="false">
      <c r="B64" s="106"/>
      <c r="C64" s="106"/>
      <c r="D64" s="106"/>
      <c r="E64" s="106"/>
      <c r="F64" s="106"/>
      <c r="G64" s="106"/>
      <c r="H64" s="106"/>
      <c r="I64" s="106"/>
      <c r="J64" s="106"/>
    </row>
    <row r="65" customFormat="false" ht="17.25" hidden="false" customHeight="true" outlineLevel="0" collapsed="false">
      <c r="B65" s="112" t="s">
        <v>85</v>
      </c>
      <c r="C65" s="113" t="s">
        <v>86</v>
      </c>
      <c r="D65" s="113"/>
    </row>
    <row r="67" customFormat="false" ht="17.25" hidden="false" customHeight="true" outlineLevel="0" collapsed="false">
      <c r="B67" s="107" t="s">
        <v>9068</v>
      </c>
      <c r="C67" s="107"/>
      <c r="D67" s="107"/>
      <c r="E67" s="107"/>
      <c r="F67" s="107"/>
      <c r="G67" s="107"/>
      <c r="H67" s="107"/>
      <c r="I67" s="107"/>
      <c r="J67" s="107"/>
    </row>
    <row r="68" customFormat="false" ht="17.25" hidden="false" customHeight="true" outlineLevel="0" collapsed="false">
      <c r="B68" s="152" t="s">
        <v>7376</v>
      </c>
      <c r="C68" s="152" t="s">
        <v>6654</v>
      </c>
      <c r="D68" s="152" t="s">
        <v>6575</v>
      </c>
      <c r="E68" s="152" t="s">
        <v>6655</v>
      </c>
      <c r="F68" s="152"/>
      <c r="G68" s="152"/>
      <c r="H68" s="152"/>
    </row>
    <row r="69" customFormat="false" ht="17.25" hidden="false" customHeight="true" outlineLevel="0" collapsed="false">
      <c r="B69" s="15" t="s">
        <v>9069</v>
      </c>
      <c r="C69" s="173" t="n">
        <v>1380</v>
      </c>
      <c r="D69" s="15" t="s">
        <v>6816</v>
      </c>
      <c r="E69" s="15" t="s">
        <v>9070</v>
      </c>
      <c r="F69" s="15"/>
      <c r="G69" s="15"/>
      <c r="H69" s="15"/>
    </row>
    <row r="70" customFormat="false" ht="17.25" hidden="false" customHeight="true" outlineLevel="0" collapsed="false">
      <c r="B70" s="15" t="s">
        <v>9071</v>
      </c>
      <c r="C70" s="155" t="n">
        <v>28</v>
      </c>
      <c r="D70" s="15" t="s">
        <v>6816</v>
      </c>
      <c r="E70" s="15" t="s">
        <v>9072</v>
      </c>
      <c r="F70" s="15"/>
      <c r="G70" s="15"/>
      <c r="H70" s="15"/>
    </row>
    <row r="71" customFormat="false" ht="17.25" hidden="false" customHeight="true" outlineLevel="0" collapsed="false">
      <c r="B71" s="15" t="s">
        <v>9073</v>
      </c>
      <c r="C71" s="173" t="n">
        <v>3000</v>
      </c>
      <c r="D71" s="15" t="s">
        <v>6798</v>
      </c>
      <c r="E71" s="15" t="s">
        <v>9074</v>
      </c>
      <c r="F71" s="15"/>
      <c r="G71" s="15"/>
      <c r="H71" s="15"/>
    </row>
    <row r="72" customFormat="false" ht="17.25" hidden="false" customHeight="true" outlineLevel="0" collapsed="false">
      <c r="B72" s="15" t="s">
        <v>8429</v>
      </c>
      <c r="C72" s="173" t="n">
        <v>18000</v>
      </c>
      <c r="D72" s="15" t="s">
        <v>7389</v>
      </c>
      <c r="E72" s="15" t="s">
        <v>9075</v>
      </c>
      <c r="F72" s="15"/>
      <c r="G72" s="15"/>
      <c r="H72" s="15"/>
    </row>
    <row r="74" customFormat="false" ht="44.25" hidden="false" customHeight="true" outlineLevel="0" collapsed="false">
      <c r="B74" s="152" t="s">
        <v>9076</v>
      </c>
      <c r="C74" s="152" t="s">
        <v>9077</v>
      </c>
      <c r="D74" s="152" t="s">
        <v>9078</v>
      </c>
      <c r="E74" s="152" t="s">
        <v>9079</v>
      </c>
      <c r="F74" s="152" t="s">
        <v>9080</v>
      </c>
      <c r="G74" s="152" t="s">
        <v>9081</v>
      </c>
      <c r="H74" s="152" t="s">
        <v>9082</v>
      </c>
      <c r="I74" s="152"/>
    </row>
    <row r="75" customFormat="false" ht="17.25" hidden="false" customHeight="true" outlineLevel="0" collapsed="false">
      <c r="B75" s="15" t="s">
        <v>9083</v>
      </c>
      <c r="C75" s="173" t="n">
        <v>1080000</v>
      </c>
      <c r="D75" s="155" t="n">
        <v>4</v>
      </c>
      <c r="E75" s="160" t="n">
        <f aca="false">IFERROR(C75/SUM($C$75:$C$80),0)</f>
        <v>0.4</v>
      </c>
      <c r="F75" s="159" t="n">
        <f aca="false">IFERROR(C75/7,0)</f>
        <v>154285.714285714</v>
      </c>
      <c r="G75" s="161" t="n">
        <f aca="false">IFERROR(C75/$C$72*60,0)</f>
        <v>3600</v>
      </c>
      <c r="H75" s="161" t="n">
        <f aca="false">IFERROR(ROUNDUP(F75/$C$71,0),0)</f>
        <v>52</v>
      </c>
      <c r="I75" s="161"/>
    </row>
    <row r="76" customFormat="false" ht="17.25" hidden="false" customHeight="true" outlineLevel="0" collapsed="false">
      <c r="B76" s="15" t="s">
        <v>9084</v>
      </c>
      <c r="C76" s="173" t="n">
        <v>360000</v>
      </c>
      <c r="D76" s="155" t="n">
        <v>2</v>
      </c>
      <c r="E76" s="160" t="n">
        <f aca="false">IFERROR(C76/SUM($C$75:$C$80),0)</f>
        <v>0.133333333333333</v>
      </c>
      <c r="F76" s="159" t="n">
        <f aca="false">IFERROR(C76/7,0)</f>
        <v>51428.5714285714</v>
      </c>
      <c r="G76" s="161" t="n">
        <f aca="false">IFERROR(C76/$C$72*60,0)</f>
        <v>1200</v>
      </c>
      <c r="H76" s="161" t="n">
        <f aca="false">IFERROR(ROUNDUP(F76/$C$71,0),0)</f>
        <v>18</v>
      </c>
      <c r="I76" s="161"/>
    </row>
    <row r="77" customFormat="false" ht="17.25" hidden="false" customHeight="true" outlineLevel="0" collapsed="false">
      <c r="B77" s="15" t="s">
        <v>9085</v>
      </c>
      <c r="C77" s="173" t="n">
        <v>720000</v>
      </c>
      <c r="D77" s="155" t="n">
        <v>3</v>
      </c>
      <c r="E77" s="160" t="n">
        <f aca="false">IFERROR(C77/SUM($C$75:$C$80),0)</f>
        <v>0.266666666666667</v>
      </c>
      <c r="F77" s="159" t="n">
        <f aca="false">IFERROR(C77/7,0)</f>
        <v>102857.142857143</v>
      </c>
      <c r="G77" s="161" t="n">
        <f aca="false">IFERROR(C77/$C$72*60,0)</f>
        <v>2400</v>
      </c>
      <c r="H77" s="161" t="n">
        <f aca="false">IFERROR(ROUNDUP(F77/$C$71,0),0)</f>
        <v>35</v>
      </c>
      <c r="I77" s="161"/>
    </row>
    <row r="78" customFormat="false" ht="17.25" hidden="false" customHeight="true" outlineLevel="0" collapsed="false">
      <c r="B78" s="15" t="s">
        <v>9086</v>
      </c>
      <c r="C78" s="173" t="n">
        <v>288000</v>
      </c>
      <c r="D78" s="155" t="n">
        <v>2</v>
      </c>
      <c r="E78" s="160" t="n">
        <f aca="false">IFERROR(C78/SUM($C$75:$C$80),0)</f>
        <v>0.106666666666667</v>
      </c>
      <c r="F78" s="159" t="n">
        <f aca="false">IFERROR(C78/7,0)</f>
        <v>41142.8571428571</v>
      </c>
      <c r="G78" s="161" t="n">
        <f aca="false">IFERROR(C78/$C$72*60,0)</f>
        <v>960</v>
      </c>
      <c r="H78" s="161" t="n">
        <f aca="false">IFERROR(ROUNDUP(F78/$C$71,0),0)</f>
        <v>14</v>
      </c>
      <c r="I78" s="161"/>
    </row>
    <row r="79" customFormat="false" ht="17.25" hidden="false" customHeight="true" outlineLevel="0" collapsed="false">
      <c r="B79" s="15" t="s">
        <v>9087</v>
      </c>
      <c r="C79" s="173" t="n">
        <v>144000</v>
      </c>
      <c r="D79" s="155" t="n">
        <v>1</v>
      </c>
      <c r="E79" s="160" t="n">
        <f aca="false">IFERROR(C79/SUM($C$75:$C$80),0)</f>
        <v>0.0533333333333333</v>
      </c>
      <c r="F79" s="159" t="n">
        <f aca="false">IFERROR(C79/7,0)</f>
        <v>20571.4285714286</v>
      </c>
      <c r="G79" s="161" t="n">
        <f aca="false">IFERROR(C79/$C$72*60,0)</f>
        <v>480</v>
      </c>
      <c r="H79" s="161" t="n">
        <f aca="false">IFERROR(ROUNDUP(F79/$C$71,0),0)</f>
        <v>7</v>
      </c>
      <c r="I79" s="161"/>
    </row>
    <row r="80" customFormat="false" ht="17.25" hidden="false" customHeight="true" outlineLevel="0" collapsed="false">
      <c r="B80" s="15" t="s">
        <v>9088</v>
      </c>
      <c r="C80" s="173" t="n">
        <v>108000</v>
      </c>
      <c r="D80" s="155" t="n">
        <v>1</v>
      </c>
      <c r="E80" s="160" t="n">
        <f aca="false">IFERROR(C80/SUM($C$75:$C$80),0)</f>
        <v>0.04</v>
      </c>
      <c r="F80" s="159" t="n">
        <f aca="false">IFERROR(C80/7,0)</f>
        <v>15428.5714285714</v>
      </c>
      <c r="G80" s="161" t="n">
        <f aca="false">IFERROR(C80/$C$72*60,0)</f>
        <v>360</v>
      </c>
      <c r="H80" s="161" t="n">
        <f aca="false">IFERROR(ROUNDUP(F80/$C$71,0),0)</f>
        <v>6</v>
      </c>
      <c r="I80" s="161"/>
    </row>
    <row r="82" customFormat="false" ht="17.25" hidden="false" customHeight="true" outlineLevel="0" collapsed="false">
      <c r="B82" s="107" t="s">
        <v>9089</v>
      </c>
      <c r="C82" s="107"/>
      <c r="D82" s="107"/>
      <c r="E82" s="107"/>
      <c r="F82" s="107"/>
      <c r="G82" s="107"/>
      <c r="H82" s="107"/>
      <c r="I82" s="107"/>
      <c r="J82" s="107"/>
    </row>
    <row r="83" customFormat="false" ht="17.25" hidden="false" customHeight="true" outlineLevel="0" collapsed="false">
      <c r="B83" s="152" t="s">
        <v>1929</v>
      </c>
      <c r="C83" s="152" t="s">
        <v>6654</v>
      </c>
      <c r="D83" s="152" t="s">
        <v>6575</v>
      </c>
      <c r="E83" s="152" t="s">
        <v>88</v>
      </c>
      <c r="F83" s="152"/>
      <c r="G83" s="152"/>
      <c r="H83" s="152"/>
      <c r="I83" s="152"/>
    </row>
    <row r="84" customFormat="false" ht="17.25" hidden="false" customHeight="true" outlineLevel="0" collapsed="false">
      <c r="B84" s="15" t="s">
        <v>9090</v>
      </c>
      <c r="C84" s="159" t="n">
        <f aca="false">SUM(C75:C80)</f>
        <v>2700000</v>
      </c>
      <c r="D84" s="15" t="s">
        <v>6798</v>
      </c>
      <c r="E84" s="15" t="s">
        <v>9091</v>
      </c>
      <c r="F84" s="15"/>
      <c r="G84" s="15"/>
      <c r="H84" s="15"/>
      <c r="I84" s="15"/>
    </row>
    <row r="85" customFormat="false" ht="17.25" hidden="false" customHeight="true" outlineLevel="0" collapsed="false">
      <c r="B85" s="15" t="s">
        <v>9092</v>
      </c>
      <c r="C85" s="159" t="n">
        <f aca="false">SUM(G75:G80)</f>
        <v>9000</v>
      </c>
      <c r="D85" s="15" t="s">
        <v>6816</v>
      </c>
      <c r="E85" s="15" t="s">
        <v>9093</v>
      </c>
      <c r="F85" s="15"/>
      <c r="G85" s="15"/>
      <c r="H85" s="15"/>
      <c r="I85" s="15"/>
    </row>
    <row r="86" customFormat="false" ht="17.25" hidden="false" customHeight="true" outlineLevel="0" collapsed="false">
      <c r="B86" s="15" t="s">
        <v>9094</v>
      </c>
      <c r="C86" s="159" t="n">
        <f aca="false">$C$69*7</f>
        <v>9660</v>
      </c>
      <c r="D86" s="15" t="s">
        <v>6816</v>
      </c>
      <c r="E86" s="15" t="s">
        <v>9095</v>
      </c>
      <c r="F86" s="15"/>
      <c r="G86" s="15"/>
      <c r="H86" s="15"/>
      <c r="I86" s="15"/>
    </row>
    <row r="87" customFormat="false" ht="17.25" hidden="false" customHeight="true" outlineLevel="0" collapsed="false">
      <c r="B87" s="15" t="s">
        <v>9096</v>
      </c>
      <c r="C87" s="159" t="n">
        <f aca="false">C86-C85</f>
        <v>660</v>
      </c>
      <c r="D87" s="15" t="s">
        <v>6816</v>
      </c>
      <c r="E87" s="15" t="s">
        <v>9097</v>
      </c>
      <c r="F87" s="15"/>
      <c r="G87" s="15"/>
      <c r="H87" s="15"/>
      <c r="I87" s="15"/>
    </row>
    <row r="88" customFormat="false" ht="17.25" hidden="false" customHeight="true" outlineLevel="0" collapsed="false">
      <c r="B88" s="15" t="s">
        <v>9098</v>
      </c>
      <c r="C88" s="161" t="n">
        <f aca="false">IFERROR(ROUNDDOWN(C87/$C$70,0),0)</f>
        <v>23</v>
      </c>
      <c r="D88" s="15" t="s">
        <v>8425</v>
      </c>
      <c r="E88" s="15" t="s">
        <v>9099</v>
      </c>
      <c r="F88" s="15"/>
      <c r="G88" s="15"/>
      <c r="H88" s="15"/>
      <c r="I88" s="15"/>
    </row>
    <row r="89" customFormat="false" ht="17.25" hidden="false" customHeight="true" outlineLevel="0" collapsed="false">
      <c r="B89" s="15" t="s">
        <v>9100</v>
      </c>
      <c r="C89" s="161" t="n">
        <f aca="false">COUNTA(B75:B80)</f>
        <v>6</v>
      </c>
      <c r="D89" s="15" t="s">
        <v>9101</v>
      </c>
      <c r="E89" s="15"/>
      <c r="F89" s="15"/>
      <c r="G89" s="15"/>
      <c r="H89" s="15"/>
      <c r="I89" s="15"/>
    </row>
    <row r="90" customFormat="false" ht="17.25" hidden="false" customHeight="true" outlineLevel="0" collapsed="false">
      <c r="B90" s="15" t="s">
        <v>9102</v>
      </c>
      <c r="C90" s="174" t="n">
        <f aca="false">IFERROR(C89/(C88/7),0)</f>
        <v>1.82608695652174</v>
      </c>
      <c r="D90" s="15" t="s">
        <v>6801</v>
      </c>
      <c r="E90" s="15" t="s">
        <v>9103</v>
      </c>
      <c r="F90" s="15"/>
      <c r="G90" s="15"/>
      <c r="H90" s="15"/>
      <c r="I90" s="15"/>
    </row>
    <row r="91" customFormat="false" ht="17.25" hidden="false" customHeight="true" outlineLevel="0" collapsed="false">
      <c r="B91" s="15" t="s">
        <v>9078</v>
      </c>
      <c r="C91" s="161" t="n">
        <f aca="false">SUM(D75:D80)</f>
        <v>13</v>
      </c>
      <c r="D91" s="15" t="s">
        <v>8425</v>
      </c>
      <c r="E91" s="15" t="s">
        <v>9104</v>
      </c>
      <c r="F91" s="15"/>
      <c r="G91" s="15"/>
      <c r="H91" s="15"/>
      <c r="I91" s="15"/>
    </row>
    <row r="92" customFormat="false" ht="17.25" hidden="false" customHeight="true" outlineLevel="0" collapsed="false">
      <c r="B92" s="15" t="s">
        <v>9105</v>
      </c>
      <c r="C92" s="160" t="n">
        <f aca="false">IFERROR(C91/C88,0)</f>
        <v>0.565217391304348</v>
      </c>
      <c r="D92" s="15"/>
      <c r="E92" s="15" t="s">
        <v>9106</v>
      </c>
      <c r="F92" s="15"/>
      <c r="G92" s="15"/>
      <c r="H92" s="15"/>
      <c r="I92" s="15"/>
    </row>
    <row r="94" customFormat="false" ht="17.25" hidden="false" customHeight="true" outlineLevel="0" collapsed="false">
      <c r="B94" s="107" t="s">
        <v>9107</v>
      </c>
      <c r="C94" s="107"/>
      <c r="D94" s="107"/>
      <c r="E94" s="107"/>
      <c r="F94" s="107"/>
      <c r="G94" s="107"/>
      <c r="H94" s="107"/>
      <c r="I94" s="107"/>
      <c r="J94" s="107"/>
    </row>
    <row r="95" customFormat="false" ht="16.5" hidden="false" customHeight="true" outlineLevel="0" collapsed="false">
      <c r="B95" s="152" t="s">
        <v>6100</v>
      </c>
      <c r="C95" s="152" t="s">
        <v>9108</v>
      </c>
      <c r="D95" s="152" t="s">
        <v>9109</v>
      </c>
      <c r="E95" s="152" t="s">
        <v>9110</v>
      </c>
      <c r="F95" s="152" t="s">
        <v>9111</v>
      </c>
      <c r="G95" s="152" t="s">
        <v>9112</v>
      </c>
      <c r="H95" s="152" t="s">
        <v>9113</v>
      </c>
      <c r="I95" s="152" t="s">
        <v>9114</v>
      </c>
      <c r="J95" s="152" t="s">
        <v>9115</v>
      </c>
    </row>
    <row r="96" customFormat="false" ht="16.5" hidden="false" customHeight="true" outlineLevel="0" collapsed="false">
      <c r="B96" s="15" t="s">
        <v>9116</v>
      </c>
      <c r="C96" s="177" t="s">
        <v>9117</v>
      </c>
      <c r="D96" s="177" t="s">
        <v>9117</v>
      </c>
      <c r="E96" s="177" t="s">
        <v>9118</v>
      </c>
      <c r="F96" s="177" t="s">
        <v>9118</v>
      </c>
      <c r="G96" s="177" t="s">
        <v>9117</v>
      </c>
      <c r="H96" s="177" t="s">
        <v>9119</v>
      </c>
      <c r="I96" s="177" t="s">
        <v>9120</v>
      </c>
      <c r="J96" s="177" t="s">
        <v>9117</v>
      </c>
    </row>
    <row r="97" customFormat="false" ht="16.5" hidden="false" customHeight="true" outlineLevel="0" collapsed="false">
      <c r="B97" s="15" t="s">
        <v>9121</v>
      </c>
      <c r="C97" s="177" t="s">
        <v>9117</v>
      </c>
      <c r="D97" s="177" t="s">
        <v>9118</v>
      </c>
      <c r="E97" s="177" t="s">
        <v>9120</v>
      </c>
      <c r="F97" s="177" t="s">
        <v>9117</v>
      </c>
      <c r="G97" s="177" t="s">
        <v>9117</v>
      </c>
      <c r="H97" s="177" t="s">
        <v>9118</v>
      </c>
      <c r="I97" s="177" t="s">
        <v>9122</v>
      </c>
      <c r="J97" s="177" t="s">
        <v>9117</v>
      </c>
    </row>
    <row r="98" customFormat="false" ht="16.5" hidden="false" customHeight="true" outlineLevel="0" collapsed="false">
      <c r="B98" s="15" t="s">
        <v>9123</v>
      </c>
      <c r="C98" s="177" t="s">
        <v>9117</v>
      </c>
      <c r="D98" s="177" t="s">
        <v>9119</v>
      </c>
      <c r="E98" s="177" t="s">
        <v>9118</v>
      </c>
      <c r="F98" s="177" t="s">
        <v>9117</v>
      </c>
      <c r="G98" s="177" t="s">
        <v>9124</v>
      </c>
      <c r="H98" s="177" t="s">
        <v>9117</v>
      </c>
      <c r="I98" s="177" t="s">
        <v>9120</v>
      </c>
      <c r="J98" s="177" t="s">
        <v>9118</v>
      </c>
    </row>
    <row r="99" customFormat="false" ht="28.5" hidden="false" customHeight="true" outlineLevel="0" collapsed="false">
      <c r="B99" s="182" t="s">
        <v>9125</v>
      </c>
      <c r="C99" s="182"/>
      <c r="D99" s="182"/>
      <c r="E99" s="182"/>
      <c r="F99" s="182"/>
      <c r="G99" s="182"/>
      <c r="H99" s="182"/>
      <c r="I99" s="182"/>
      <c r="J99" s="182"/>
    </row>
    <row r="101" customFormat="false" ht="15.75" hidden="false" customHeight="true" outlineLevel="0" collapsed="false">
      <c r="B101" s="103" t="s">
        <v>1493</v>
      </c>
      <c r="C101" s="8"/>
      <c r="D101" s="8"/>
      <c r="E101" s="8"/>
      <c r="F101" s="8"/>
      <c r="G101" s="8"/>
      <c r="H101" s="8"/>
      <c r="I101" s="8"/>
      <c r="J101" s="8"/>
      <c r="K101" s="8"/>
    </row>
    <row r="102" customFormat="false" ht="65.25" hidden="false" customHeight="true" outlineLevel="0" collapsed="false">
      <c r="B102" s="105" t="s">
        <v>1494</v>
      </c>
      <c r="C102" s="168" t="str">
        <f aca="false">"The line can afford "&amp;TEXT(C88,"0")&amp;" changeovers a week and the plan currently uses "&amp;TEXT(C91,"0")&amp;" ("&amp;TEXT(C92,"0.0%")&amp;" of the budget), giving an EPEI of "&amp;TEXT(C90,"0.00")&amp;" days. "&amp;IF(C90&lt;=1,"Every SKU can be made every day: full levelling is achievable, so build the heijunka box and stop batching.",IF(C90&lt;=5,"Every SKU can be made within the week. Level to that cycle and reduce the changeover time further (L-15) to shorten it.","EPEI is longer than a week: changeover time is the binding constraint. Go back to SMED before attempting to level."))</f>
        <v>The line can afford 23 changeovers a week and the plan currently uses 13 (56.5% of the budget), giving an EPEI of 1.83 days. Every SKU can be made within the week. Level to that cycle and reduce the changeover time further (L-15) to shorten it.</v>
      </c>
      <c r="D102" s="168"/>
      <c r="E102" s="168"/>
      <c r="F102" s="168"/>
      <c r="G102" s="168"/>
    </row>
    <row r="104" customFormat="false" ht="17.25" hidden="false" customHeight="true" outlineLevel="0" collapsed="false">
      <c r="B104" s="152" t="s">
        <v>1495</v>
      </c>
      <c r="C104" s="152" t="s">
        <v>1496</v>
      </c>
      <c r="D104" s="152" t="s">
        <v>1497</v>
      </c>
      <c r="E104" s="152"/>
    </row>
    <row r="105" customFormat="false" ht="58.5" hidden="false" customHeight="true" outlineLevel="0" collapsed="false">
      <c r="B105" s="15" t="s">
        <v>9126</v>
      </c>
      <c r="C105" s="15" t="s">
        <v>9127</v>
      </c>
      <c r="D105" s="15" t="s">
        <v>9128</v>
      </c>
      <c r="E105" s="15"/>
    </row>
    <row r="106" customFormat="false" ht="31.5" hidden="false" customHeight="true" outlineLevel="0" collapsed="false">
      <c r="B106" s="15" t="s">
        <v>9129</v>
      </c>
      <c r="C106" s="15" t="s">
        <v>9130</v>
      </c>
      <c r="D106" s="15" t="s">
        <v>9131</v>
      </c>
      <c r="E106" s="15"/>
    </row>
    <row r="107" customFormat="false" ht="45.75" hidden="false" customHeight="true" outlineLevel="0" collapsed="false">
      <c r="B107" s="15" t="s">
        <v>9132</v>
      </c>
      <c r="C107" s="15" t="s">
        <v>9133</v>
      </c>
      <c r="D107" s="15" t="s">
        <v>9134</v>
      </c>
      <c r="E107" s="15"/>
    </row>
    <row r="108" customFormat="false" ht="31.5" hidden="false" customHeight="true" outlineLevel="0" collapsed="false">
      <c r="B108" s="15" t="s">
        <v>9135</v>
      </c>
      <c r="C108" s="15" t="s">
        <v>9136</v>
      </c>
      <c r="D108" s="15" t="s">
        <v>9137</v>
      </c>
      <c r="E108" s="15"/>
    </row>
    <row r="110" customFormat="false" ht="15" hidden="false" customHeight="true" outlineLevel="0" collapsed="false">
      <c r="B110" s="105" t="s">
        <v>1507</v>
      </c>
    </row>
    <row r="111" customFormat="false" ht="17.25" hidden="false" customHeight="true" outlineLevel="0" collapsed="false">
      <c r="B111" s="106" t="s">
        <v>9138</v>
      </c>
      <c r="C111" s="106"/>
      <c r="D111" s="106"/>
      <c r="E111" s="106"/>
      <c r="F111" s="106"/>
      <c r="G111" s="106"/>
      <c r="H111" s="106"/>
      <c r="I111" s="106"/>
      <c r="J111" s="106"/>
    </row>
    <row r="112" customFormat="false" ht="17.25" hidden="false" customHeight="true" outlineLevel="0" collapsed="false">
      <c r="B112" s="106" t="s">
        <v>9139</v>
      </c>
      <c r="C112" s="106"/>
      <c r="D112" s="106"/>
      <c r="E112" s="106"/>
      <c r="F112" s="106"/>
      <c r="G112" s="106"/>
      <c r="H112" s="106"/>
      <c r="I112" s="106"/>
      <c r="J112" s="106"/>
    </row>
    <row r="113" customFormat="false" ht="17.25" hidden="false" customHeight="true" outlineLevel="0" collapsed="false">
      <c r="B113" s="106" t="s">
        <v>9140</v>
      </c>
      <c r="C113" s="106"/>
      <c r="D113" s="106"/>
      <c r="E113" s="106"/>
      <c r="F113" s="106"/>
      <c r="G113" s="106"/>
      <c r="H113" s="106"/>
      <c r="I113" s="106"/>
      <c r="J113" s="106"/>
    </row>
    <row r="114" customFormat="false" ht="17.25" hidden="false" customHeight="true" outlineLevel="0" collapsed="false">
      <c r="B114" s="106" t="s">
        <v>9141</v>
      </c>
      <c r="C114" s="106"/>
      <c r="D114" s="106"/>
      <c r="E114" s="106"/>
      <c r="F114" s="106"/>
      <c r="G114" s="106"/>
      <c r="H114" s="106"/>
      <c r="I114" s="106"/>
      <c r="J114" s="106"/>
    </row>
    <row r="115" customFormat="false" ht="17.25" hidden="false" customHeight="true" outlineLevel="0" collapsed="false">
      <c r="B115" s="106" t="s">
        <v>9142</v>
      </c>
      <c r="C115" s="106"/>
      <c r="D115" s="106"/>
      <c r="E115" s="106"/>
      <c r="F115" s="106"/>
      <c r="G115" s="106"/>
      <c r="H115" s="106"/>
      <c r="I115" s="106"/>
      <c r="J115" s="106"/>
    </row>
    <row r="117" customFormat="false" ht="15.75" hidden="false" customHeight="true" outlineLevel="0" collapsed="false">
      <c r="B117" s="103" t="s">
        <v>1513</v>
      </c>
      <c r="C117" s="8"/>
      <c r="D117" s="8"/>
      <c r="E117" s="8"/>
      <c r="F117" s="8"/>
      <c r="G117" s="8"/>
      <c r="H117" s="8"/>
      <c r="I117" s="8"/>
      <c r="J117" s="8"/>
      <c r="K117" s="8"/>
    </row>
    <row r="118" customFormat="false" ht="17.25" hidden="false" customHeight="true" outlineLevel="0" collapsed="false">
      <c r="B118" s="106" t="s">
        <v>6712</v>
      </c>
      <c r="C118" s="106"/>
      <c r="D118" s="106"/>
      <c r="E118" s="106"/>
      <c r="F118" s="106"/>
      <c r="N118" s="169" t="s">
        <v>1515</v>
      </c>
    </row>
    <row r="119" customFormat="false" ht="44.25" hidden="false" customHeight="true" outlineLevel="0" collapsed="false">
      <c r="B119" s="106" t="s">
        <v>9143</v>
      </c>
      <c r="C119" s="106"/>
      <c r="D119" s="106"/>
      <c r="E119" s="106"/>
      <c r="F119" s="106"/>
      <c r="N119" s="120" t="s">
        <v>9144</v>
      </c>
    </row>
    <row r="120" customFormat="false" ht="44.25" hidden="false" customHeight="true" outlineLevel="0" collapsed="false">
      <c r="B120" s="106" t="s">
        <v>9145</v>
      </c>
      <c r="C120" s="106"/>
      <c r="D120" s="106"/>
      <c r="E120" s="106"/>
      <c r="F120" s="106"/>
      <c r="N120" s="120" t="s">
        <v>9146</v>
      </c>
    </row>
    <row r="121" customFormat="false" ht="44.25" hidden="false" customHeight="true" outlineLevel="0" collapsed="false">
      <c r="B121" s="106" t="s">
        <v>9147</v>
      </c>
      <c r="C121" s="106"/>
      <c r="D121" s="106"/>
      <c r="E121" s="106"/>
      <c r="F121" s="106"/>
      <c r="N121" s="120" t="s">
        <v>9148</v>
      </c>
    </row>
    <row r="123" customFormat="false" ht="15.75" hidden="false" customHeight="true" outlineLevel="0" collapsed="false">
      <c r="B123" s="103" t="s">
        <v>1522</v>
      </c>
      <c r="C123" s="8"/>
      <c r="D123" s="8"/>
      <c r="E123" s="8"/>
      <c r="F123" s="8"/>
      <c r="G123" s="8"/>
      <c r="H123" s="8"/>
      <c r="I123" s="8"/>
      <c r="J123" s="8"/>
      <c r="K123" s="8"/>
    </row>
    <row r="124" customFormat="false" ht="30.75" hidden="false" customHeight="true" outlineLevel="0" collapsed="false">
      <c r="B124" s="152" t="s">
        <v>1523</v>
      </c>
      <c r="C124" s="152" t="s">
        <v>1524</v>
      </c>
      <c r="D124" s="152" t="s">
        <v>6719</v>
      </c>
    </row>
    <row r="125" customFormat="false" ht="30.75" hidden="false" customHeight="true" outlineLevel="0" collapsed="false">
      <c r="B125" s="170" t="s">
        <v>1109</v>
      </c>
      <c r="C125" s="170" t="s">
        <v>1157</v>
      </c>
      <c r="D125" s="170" t="s">
        <v>6752</v>
      </c>
    </row>
  </sheetData>
  <mergeCells count="77">
    <mergeCell ref="B2:J2"/>
    <mergeCell ref="D3:H3"/>
    <mergeCell ref="C6:G6"/>
    <mergeCell ref="C7:G7"/>
    <mergeCell ref="C8:G8"/>
    <mergeCell ref="B11:J12"/>
    <mergeCell ref="B13:J15"/>
    <mergeCell ref="B16:J19"/>
    <mergeCell ref="B20:J20"/>
    <mergeCell ref="B21:J22"/>
    <mergeCell ref="B23:J25"/>
    <mergeCell ref="B28:D28"/>
    <mergeCell ref="E28:I28"/>
    <mergeCell ref="B29:D29"/>
    <mergeCell ref="E29:I29"/>
    <mergeCell ref="B30:D30"/>
    <mergeCell ref="E30:I30"/>
    <mergeCell ref="B31:D31"/>
    <mergeCell ref="E31:I31"/>
    <mergeCell ref="B32:J32"/>
    <mergeCell ref="E34:F34"/>
    <mergeCell ref="E35:F35"/>
    <mergeCell ref="E36:F36"/>
    <mergeCell ref="E37:F37"/>
    <mergeCell ref="E38:F38"/>
    <mergeCell ref="B41:J43"/>
    <mergeCell ref="B45:J45"/>
    <mergeCell ref="B47:J49"/>
    <mergeCell ref="B51:J52"/>
    <mergeCell ref="D55:E55"/>
    <mergeCell ref="D56:E56"/>
    <mergeCell ref="D57:E57"/>
    <mergeCell ref="D58:E58"/>
    <mergeCell ref="D59:E59"/>
    <mergeCell ref="B62:J64"/>
    <mergeCell ref="C65:D65"/>
    <mergeCell ref="B67:J67"/>
    <mergeCell ref="E68:H68"/>
    <mergeCell ref="E69:H69"/>
    <mergeCell ref="E70:H70"/>
    <mergeCell ref="E71:H71"/>
    <mergeCell ref="E72:H72"/>
    <mergeCell ref="H74:I74"/>
    <mergeCell ref="H75:I75"/>
    <mergeCell ref="H76:I76"/>
    <mergeCell ref="H77:I77"/>
    <mergeCell ref="H78:I78"/>
    <mergeCell ref="H79:I79"/>
    <mergeCell ref="H80:I80"/>
    <mergeCell ref="B82:J82"/>
    <mergeCell ref="E83:I83"/>
    <mergeCell ref="E84:I84"/>
    <mergeCell ref="E85:I85"/>
    <mergeCell ref="E86:I86"/>
    <mergeCell ref="E87:I87"/>
    <mergeCell ref="E88:I88"/>
    <mergeCell ref="E89:I89"/>
    <mergeCell ref="E90:I90"/>
    <mergeCell ref="E91:I91"/>
    <mergeCell ref="E92:I92"/>
    <mergeCell ref="B94:J94"/>
    <mergeCell ref="B99:J99"/>
    <mergeCell ref="C102:G102"/>
    <mergeCell ref="D104:E104"/>
    <mergeCell ref="D105:E105"/>
    <mergeCell ref="D106:E106"/>
    <mergeCell ref="D107:E107"/>
    <mergeCell ref="D108:E108"/>
    <mergeCell ref="B111:J111"/>
    <mergeCell ref="B112:J112"/>
    <mergeCell ref="B113:J113"/>
    <mergeCell ref="B114:J114"/>
    <mergeCell ref="B115:J115"/>
    <mergeCell ref="B118:F118"/>
    <mergeCell ref="B119:F119"/>
    <mergeCell ref="B120:F120"/>
    <mergeCell ref="B121:F121"/>
  </mergeCells>
  <hyperlinks>
    <hyperlink ref="B3" location="'N-03 Index DMAIC'!A1" display="← Back to Index"/>
    <hyperlink ref="E35" location="'L-15 SMED'!A1" display="L-15  SMED and Quick Changeover"/>
    <hyperlink ref="E36" location="'L-02 VSM Current State'!A1" display="L-02  VSM Current State"/>
    <hyperlink ref="E37" location="'L-03 VSM Future State'!A1" display="L-03  VSM Future State"/>
    <hyperlink ref="E38" location="'L-19 Kanban Pull Systems'!A1" display="L-19  Pull Systems and Kanban"/>
    <hyperlink ref="B125" location="'L-15 SMED'!A1" display="L-15  SMED and Quick Changeover"/>
    <hyperlink ref="C125" location="'L-19 Kanban Pull Systems'!A1" display="L-19  Pull Systems and Kanban"/>
    <hyperlink ref="D125" location="'L-07 Takt Cycle Lead Time'!A1" display="L-07  Takt, Cycle and Lead Tim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30"/>
    <col collapsed="false" customWidth="true" hidden="false" outlineLevel="0" max="5" min="4" style="1" width="15"/>
    <col collapsed="false" customWidth="true" hidden="false" outlineLevel="0" max="6" min="6" style="1" width="16"/>
    <col collapsed="false" customWidth="true" hidden="false" outlineLevel="0" max="8" min="7" style="1" width="18"/>
    <col collapsed="false" customWidth="true" hidden="false" outlineLevel="0" max="9" min="9" style="1" width="16"/>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9149</v>
      </c>
      <c r="C2" s="148"/>
      <c r="D2" s="148"/>
      <c r="E2" s="148"/>
      <c r="F2" s="148"/>
      <c r="G2" s="148"/>
      <c r="H2" s="148"/>
      <c r="I2" s="148"/>
      <c r="J2" s="148"/>
      <c r="K2" s="179" t="s">
        <v>5137</v>
      </c>
    </row>
    <row r="3" customFormat="false" ht="42" hidden="false" customHeight="true" outlineLevel="0" collapsed="false">
      <c r="B3" s="150" t="s">
        <v>3</v>
      </c>
      <c r="D3" s="151" t="s">
        <v>9150</v>
      </c>
      <c r="E3" s="151"/>
      <c r="F3" s="151"/>
      <c r="G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9151</v>
      </c>
      <c r="D6" s="106"/>
      <c r="E6" s="106"/>
    </row>
    <row r="7" customFormat="false" ht="31.5" hidden="false" customHeight="true" outlineLevel="0" collapsed="false">
      <c r="B7" s="105" t="s">
        <v>1394</v>
      </c>
      <c r="C7" s="106" t="s">
        <v>9152</v>
      </c>
      <c r="D7" s="106"/>
      <c r="E7" s="106"/>
    </row>
    <row r="8" customFormat="false" ht="31.5" hidden="false" customHeight="true" outlineLevel="0" collapsed="false">
      <c r="B8" s="105" t="s">
        <v>1396</v>
      </c>
      <c r="C8" s="106" t="s">
        <v>9153</v>
      </c>
      <c r="D8" s="106"/>
      <c r="E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9154</v>
      </c>
      <c r="C11" s="106"/>
      <c r="D11" s="106"/>
      <c r="E11" s="106"/>
      <c r="F11" s="106"/>
      <c r="G11" s="106"/>
    </row>
    <row r="12" customFormat="false" ht="10.5" hidden="false" customHeight="true" outlineLevel="0" collapsed="false">
      <c r="B12" s="106"/>
      <c r="C12" s="106"/>
      <c r="D12" s="106"/>
      <c r="E12" s="106"/>
      <c r="F12" s="106"/>
      <c r="G12" s="106"/>
    </row>
    <row r="13" customFormat="false" ht="10.5" hidden="false" customHeight="true" outlineLevel="0" collapsed="false">
      <c r="B13" s="106"/>
      <c r="C13" s="106"/>
      <c r="D13" s="106"/>
      <c r="E13" s="106"/>
      <c r="F13" s="106"/>
      <c r="G13" s="106"/>
    </row>
    <row r="14" customFormat="false" ht="10.5" hidden="false" customHeight="true" outlineLevel="0" collapsed="false">
      <c r="B14" s="106" t="s">
        <v>9155</v>
      </c>
      <c r="C14" s="106"/>
      <c r="D14" s="106"/>
      <c r="E14" s="106"/>
      <c r="F14" s="106"/>
      <c r="G14" s="106"/>
    </row>
    <row r="15" customFormat="false" ht="10.5" hidden="false" customHeight="true" outlineLevel="0" collapsed="false">
      <c r="B15" s="106"/>
      <c r="C15" s="106"/>
      <c r="D15" s="106"/>
      <c r="E15" s="106"/>
      <c r="F15" s="106"/>
      <c r="G15" s="106"/>
    </row>
    <row r="16" customFormat="false" ht="10.5" hidden="false" customHeight="true" outlineLevel="0" collapsed="false">
      <c r="B16" s="106"/>
      <c r="C16" s="106"/>
      <c r="D16" s="106"/>
      <c r="E16" s="106"/>
      <c r="F16" s="106"/>
      <c r="G16" s="106"/>
    </row>
    <row r="17" customFormat="false" ht="10.5" hidden="false" customHeight="true" outlineLevel="0" collapsed="false">
      <c r="B17" s="106" t="s">
        <v>9156</v>
      </c>
      <c r="C17" s="106"/>
      <c r="D17" s="106"/>
      <c r="E17" s="106"/>
      <c r="F17" s="106"/>
      <c r="G17" s="106"/>
    </row>
    <row r="18" customFormat="false" ht="10.5" hidden="false" customHeight="true" outlineLevel="0" collapsed="false">
      <c r="B18" s="106"/>
      <c r="C18" s="106"/>
      <c r="D18" s="106"/>
      <c r="E18" s="106"/>
      <c r="F18" s="106"/>
      <c r="G18" s="106"/>
    </row>
    <row r="19" customFormat="false" ht="10.5" hidden="false" customHeight="true" outlineLevel="0" collapsed="false">
      <c r="B19" s="106"/>
      <c r="C19" s="106"/>
      <c r="D19" s="106"/>
      <c r="E19" s="106"/>
      <c r="F19" s="106"/>
      <c r="G19" s="106"/>
    </row>
    <row r="20" customFormat="false" ht="10.5" hidden="false" customHeight="true" outlineLevel="0" collapsed="false">
      <c r="B20" s="106" t="s">
        <v>9157</v>
      </c>
      <c r="C20" s="106"/>
      <c r="D20" s="106"/>
      <c r="E20" s="106"/>
      <c r="F20" s="106"/>
      <c r="G20" s="106"/>
    </row>
    <row r="21" customFormat="false" ht="10.5" hidden="false" customHeight="true" outlineLevel="0" collapsed="false">
      <c r="B21" s="106"/>
      <c r="C21" s="106"/>
      <c r="D21" s="106"/>
      <c r="E21" s="106"/>
      <c r="F21" s="106"/>
      <c r="G21" s="106"/>
    </row>
    <row r="22" customFormat="false" ht="10.5" hidden="false" customHeight="true" outlineLevel="0" collapsed="false">
      <c r="B22" s="106"/>
      <c r="C22" s="106"/>
      <c r="D22" s="106"/>
      <c r="E22" s="106"/>
      <c r="F22" s="106"/>
      <c r="G22" s="106"/>
    </row>
    <row r="23" customFormat="false" ht="15.75" hidden="false" customHeight="true" outlineLevel="0" collapsed="false">
      <c r="B23" s="106" t="s">
        <v>9158</v>
      </c>
      <c r="C23" s="106"/>
      <c r="D23" s="106"/>
      <c r="E23" s="106"/>
      <c r="F23" s="106"/>
      <c r="G23" s="106"/>
    </row>
    <row r="24" customFormat="false" ht="15.75" hidden="false" customHeight="true" outlineLevel="0" collapsed="false">
      <c r="B24" s="106"/>
      <c r="C24" s="106"/>
      <c r="D24" s="106"/>
      <c r="E24" s="106"/>
      <c r="F24" s="106"/>
      <c r="G24" s="106"/>
    </row>
    <row r="26" customFormat="false" ht="15.75" hidden="false" customHeight="true" outlineLevel="0" collapsed="false">
      <c r="B26" s="103" t="s">
        <v>1406</v>
      </c>
      <c r="C26" s="8"/>
      <c r="D26" s="8"/>
      <c r="E26" s="8"/>
      <c r="F26" s="8"/>
      <c r="G26" s="8"/>
      <c r="H26" s="8"/>
      <c r="I26" s="8"/>
      <c r="J26" s="8"/>
      <c r="K26" s="8"/>
    </row>
    <row r="27" customFormat="false" ht="17.25" hidden="false" customHeight="true" outlineLevel="0" collapsed="false">
      <c r="B27" s="107" t="s">
        <v>1407</v>
      </c>
      <c r="C27" s="107"/>
      <c r="D27" s="107"/>
      <c r="E27" s="107" t="s">
        <v>1408</v>
      </c>
      <c r="F27" s="107"/>
      <c r="G27" s="107"/>
    </row>
    <row r="28" customFormat="false" ht="31.5" hidden="false" customHeight="true" outlineLevel="0" collapsed="false">
      <c r="B28" s="106" t="s">
        <v>9159</v>
      </c>
      <c r="C28" s="106"/>
      <c r="D28" s="106"/>
      <c r="E28" s="106" t="s">
        <v>9160</v>
      </c>
      <c r="F28" s="106"/>
      <c r="G28" s="106"/>
    </row>
    <row r="29" customFormat="false" ht="31.5" hidden="false" customHeight="true" outlineLevel="0" collapsed="false">
      <c r="B29" s="106" t="s">
        <v>9161</v>
      </c>
      <c r="C29" s="106"/>
      <c r="D29" s="106"/>
      <c r="E29" s="106" t="s">
        <v>9162</v>
      </c>
      <c r="F29" s="106"/>
      <c r="G29" s="106"/>
    </row>
    <row r="30" customFormat="false" ht="31.5" hidden="false" customHeight="true" outlineLevel="0" collapsed="false">
      <c r="B30" s="106" t="s">
        <v>9163</v>
      </c>
      <c r="C30" s="106"/>
      <c r="D30" s="106"/>
      <c r="E30" s="106" t="s">
        <v>9164</v>
      </c>
      <c r="F30" s="106"/>
      <c r="G30" s="106"/>
    </row>
    <row r="31" customFormat="false" ht="17.25" hidden="false" customHeight="true" outlineLevel="0" collapsed="false">
      <c r="B31" s="106" t="s">
        <v>9165</v>
      </c>
      <c r="C31" s="106"/>
      <c r="D31" s="106"/>
      <c r="E31" s="106"/>
      <c r="F31" s="106"/>
      <c r="G31" s="106"/>
    </row>
    <row r="33" customFormat="false" ht="30.75" hidden="false" customHeight="true" outlineLevel="0" collapsed="false">
      <c r="B33" s="152" t="s">
        <v>6621</v>
      </c>
      <c r="C33" s="152" t="s">
        <v>1417</v>
      </c>
      <c r="D33" s="152" t="s">
        <v>1418</v>
      </c>
      <c r="E33" s="152" t="s">
        <v>1419</v>
      </c>
    </row>
    <row r="34" customFormat="false" ht="99.75" hidden="false" customHeight="true" outlineLevel="0" collapsed="false">
      <c r="B34" s="15" t="s">
        <v>9166</v>
      </c>
      <c r="C34" s="15" t="s">
        <v>9167</v>
      </c>
      <c r="D34" s="15" t="s">
        <v>9168</v>
      </c>
      <c r="E34" s="153" t="s">
        <v>6632</v>
      </c>
    </row>
    <row r="35" customFormat="false" ht="99.75" hidden="false" customHeight="true" outlineLevel="0" collapsed="false">
      <c r="B35" s="15" t="s">
        <v>9169</v>
      </c>
      <c r="C35" s="15" t="s">
        <v>9170</v>
      </c>
      <c r="D35" s="15" t="s">
        <v>9171</v>
      </c>
      <c r="E35" s="153" t="s">
        <v>1259</v>
      </c>
    </row>
    <row r="36" customFormat="false" ht="72" hidden="false" customHeight="true" outlineLevel="0" collapsed="false">
      <c r="B36" s="15" t="s">
        <v>9172</v>
      </c>
      <c r="C36" s="15" t="s">
        <v>9173</v>
      </c>
      <c r="D36" s="15" t="s">
        <v>9174</v>
      </c>
      <c r="E36" s="153" t="s">
        <v>7107</v>
      </c>
    </row>
    <row r="37" customFormat="false" ht="58.5" hidden="false" customHeight="true" outlineLevel="0" collapsed="false">
      <c r="B37" s="15" t="s">
        <v>9175</v>
      </c>
      <c r="C37" s="15" t="s">
        <v>9176</v>
      </c>
      <c r="D37" s="15" t="s">
        <v>9177</v>
      </c>
      <c r="E37" s="153" t="s">
        <v>7979</v>
      </c>
    </row>
    <row r="39" customFormat="false" ht="15.75" hidden="false" customHeight="true" outlineLevel="0" collapsed="false">
      <c r="B39" s="103" t="s">
        <v>1429</v>
      </c>
      <c r="C39" s="8"/>
      <c r="D39" s="8"/>
      <c r="E39" s="8"/>
      <c r="F39" s="8"/>
      <c r="G39" s="8"/>
      <c r="H39" s="8"/>
      <c r="I39" s="8"/>
      <c r="J39" s="8"/>
      <c r="K39" s="8"/>
    </row>
    <row r="40" customFormat="false" ht="17.25" hidden="false" customHeight="true" outlineLevel="0" collapsed="false">
      <c r="B40" s="106" t="s">
        <v>9178</v>
      </c>
      <c r="C40" s="106"/>
      <c r="D40" s="106"/>
      <c r="E40" s="106"/>
      <c r="F40" s="106"/>
      <c r="G40" s="106"/>
    </row>
    <row r="41" customFormat="false" ht="15" hidden="false" customHeight="true" outlineLevel="0" collapsed="false">
      <c r="B41" s="122"/>
    </row>
    <row r="42" customFormat="false" ht="15.75" hidden="false" customHeight="true" outlineLevel="0" collapsed="false">
      <c r="B42" s="106" t="s">
        <v>9179</v>
      </c>
      <c r="C42" s="106"/>
      <c r="D42" s="106"/>
      <c r="E42" s="106"/>
      <c r="F42" s="106"/>
      <c r="G42" s="106"/>
    </row>
    <row r="43" customFormat="false" ht="15.75" hidden="false" customHeight="true" outlineLevel="0" collapsed="false">
      <c r="B43" s="106"/>
      <c r="C43" s="106"/>
      <c r="D43" s="106"/>
      <c r="E43" s="106"/>
      <c r="F43" s="106"/>
      <c r="G43" s="106"/>
    </row>
    <row r="44" customFormat="false" ht="15" hidden="false" customHeight="true" outlineLevel="0" collapsed="false">
      <c r="B44" s="122"/>
    </row>
    <row r="45" customFormat="false" ht="17.25" hidden="false" customHeight="true" outlineLevel="0" collapsed="false">
      <c r="B45" s="106" t="s">
        <v>9180</v>
      </c>
      <c r="C45" s="106"/>
      <c r="D45" s="106"/>
      <c r="E45" s="106"/>
      <c r="F45" s="106"/>
      <c r="G45" s="106"/>
    </row>
    <row r="46" customFormat="false" ht="15" hidden="false" customHeight="true" outlineLevel="0" collapsed="false">
      <c r="B46" s="122"/>
    </row>
    <row r="47" customFormat="false" ht="8.25" hidden="false" customHeight="true" outlineLevel="0" collapsed="false">
      <c r="B47" s="106" t="s">
        <v>9181</v>
      </c>
      <c r="C47" s="106"/>
      <c r="D47" s="106"/>
      <c r="E47" s="106"/>
      <c r="F47" s="106"/>
      <c r="G47" s="106"/>
    </row>
    <row r="48" customFormat="false" ht="8.25" hidden="false" customHeight="true" outlineLevel="0" collapsed="false">
      <c r="B48" s="106"/>
      <c r="C48" s="106"/>
      <c r="D48" s="106"/>
      <c r="E48" s="106"/>
      <c r="F48" s="106"/>
      <c r="G48" s="106"/>
    </row>
    <row r="49" customFormat="false" ht="15" hidden="false" customHeight="true" outlineLevel="0" collapsed="false">
      <c r="B49" s="122"/>
    </row>
    <row r="50" customFormat="false" ht="17.25" hidden="false" customHeight="true" outlineLevel="0" collapsed="false">
      <c r="B50" s="106" t="s">
        <v>9182</v>
      </c>
      <c r="C50" s="106"/>
      <c r="D50" s="106"/>
      <c r="E50" s="106"/>
      <c r="F50" s="106"/>
      <c r="G50" s="106"/>
    </row>
    <row r="52" customFormat="false" ht="15.75" hidden="false" customHeight="true" outlineLevel="0" collapsed="false">
      <c r="B52" s="103" t="s">
        <v>1437</v>
      </c>
      <c r="C52" s="8"/>
      <c r="D52" s="8"/>
      <c r="E52" s="8"/>
      <c r="F52" s="8"/>
      <c r="G52" s="8"/>
      <c r="H52" s="8"/>
      <c r="I52" s="8"/>
      <c r="J52" s="8"/>
      <c r="K52" s="8"/>
    </row>
    <row r="53" customFormat="false" ht="17.25" hidden="false" customHeight="true" outlineLevel="0" collapsed="false">
      <c r="B53" s="152" t="s">
        <v>1438</v>
      </c>
      <c r="C53" s="152" t="s">
        <v>1439</v>
      </c>
      <c r="D53" s="152" t="s">
        <v>1440</v>
      </c>
      <c r="E53" s="152"/>
      <c r="F53" s="152"/>
    </row>
    <row r="54" customFormat="false" ht="17.25" hidden="false" customHeight="true" outlineLevel="0" collapsed="false">
      <c r="B54" s="15" t="s">
        <v>1920</v>
      </c>
      <c r="C54" s="15" t="s">
        <v>9183</v>
      </c>
      <c r="D54" s="15" t="s">
        <v>9184</v>
      </c>
      <c r="E54" s="15"/>
      <c r="F54" s="15"/>
    </row>
    <row r="55" customFormat="false" ht="17.25" hidden="false" customHeight="true" outlineLevel="0" collapsed="false">
      <c r="B55" s="15" t="s">
        <v>9185</v>
      </c>
      <c r="C55" s="15" t="s">
        <v>9186</v>
      </c>
      <c r="D55" s="15" t="s">
        <v>9187</v>
      </c>
      <c r="E55" s="15"/>
      <c r="F55" s="15"/>
    </row>
    <row r="56" customFormat="false" ht="30.75" hidden="false" customHeight="true" outlineLevel="0" collapsed="false">
      <c r="B56" s="15" t="s">
        <v>3248</v>
      </c>
      <c r="C56" s="15" t="s">
        <v>9188</v>
      </c>
      <c r="D56" s="15" t="s">
        <v>9189</v>
      </c>
      <c r="E56" s="15"/>
      <c r="F56" s="15"/>
    </row>
    <row r="57" customFormat="false" ht="17.25" hidden="false" customHeight="true" outlineLevel="0" collapsed="false">
      <c r="B57" s="15" t="s">
        <v>1562</v>
      </c>
      <c r="C57" s="15" t="s">
        <v>1563</v>
      </c>
      <c r="D57" s="15" t="s">
        <v>9190</v>
      </c>
      <c r="E57" s="15"/>
      <c r="F57" s="15"/>
    </row>
    <row r="59" customFormat="false" ht="15.75" hidden="false" customHeight="true" outlineLevel="0" collapsed="false">
      <c r="B59" s="103" t="s">
        <v>1454</v>
      </c>
      <c r="C59" s="8"/>
      <c r="D59" s="8"/>
      <c r="E59" s="8"/>
      <c r="F59" s="8"/>
      <c r="G59" s="8"/>
      <c r="H59" s="8"/>
      <c r="I59" s="8"/>
      <c r="J59" s="8"/>
      <c r="K59" s="8"/>
    </row>
    <row r="60" customFormat="false" ht="10.5" hidden="false" customHeight="true" outlineLevel="0" collapsed="false">
      <c r="B60" s="106" t="s">
        <v>9191</v>
      </c>
      <c r="C60" s="106"/>
      <c r="D60" s="106"/>
      <c r="E60" s="106"/>
      <c r="F60" s="106"/>
      <c r="G60" s="106"/>
    </row>
    <row r="61" customFormat="false" ht="10.5" hidden="false" customHeight="true" outlineLevel="0" collapsed="false">
      <c r="B61" s="106"/>
      <c r="C61" s="106"/>
      <c r="D61" s="106"/>
      <c r="E61" s="106"/>
      <c r="F61" s="106"/>
      <c r="G61" s="106"/>
    </row>
    <row r="62" customFormat="false" ht="10.5" hidden="false" customHeight="true" outlineLevel="0" collapsed="false">
      <c r="B62" s="106"/>
      <c r="C62" s="106"/>
      <c r="D62" s="106"/>
      <c r="E62" s="106"/>
      <c r="F62" s="106"/>
      <c r="G62" s="106"/>
    </row>
    <row r="63" customFormat="false" ht="15" hidden="false" customHeight="true" outlineLevel="0" collapsed="false">
      <c r="B63" s="112" t="s">
        <v>85</v>
      </c>
      <c r="C63" s="154" t="s">
        <v>86</v>
      </c>
    </row>
    <row r="65" customFormat="false" ht="15" hidden="false" customHeight="true" outlineLevel="0" collapsed="false">
      <c r="B65" s="105" t="s">
        <v>9192</v>
      </c>
    </row>
    <row r="66" customFormat="false" ht="16.5" hidden="false" customHeight="true" outlineLevel="0" collapsed="false">
      <c r="B66" s="152" t="s">
        <v>8249</v>
      </c>
      <c r="C66" s="152" t="s">
        <v>6654</v>
      </c>
      <c r="D66" s="152" t="s">
        <v>8249</v>
      </c>
      <c r="E66" s="152" t="s">
        <v>6654</v>
      </c>
    </row>
    <row r="67" customFormat="false" ht="30.75" hidden="false" customHeight="true" outlineLevel="0" collapsed="false">
      <c r="B67" s="15" t="s">
        <v>9193</v>
      </c>
      <c r="C67" s="177" t="s">
        <v>9194</v>
      </c>
      <c r="D67" s="15" t="s">
        <v>9195</v>
      </c>
      <c r="E67" s="177" t="s">
        <v>9196</v>
      </c>
    </row>
    <row r="68" customFormat="false" ht="30.75" hidden="false" customHeight="true" outlineLevel="0" collapsed="false">
      <c r="B68" s="15" t="s">
        <v>9197</v>
      </c>
      <c r="C68" s="177" t="s">
        <v>9198</v>
      </c>
      <c r="D68" s="15" t="s">
        <v>9199</v>
      </c>
      <c r="E68" s="177" t="s">
        <v>6925</v>
      </c>
    </row>
    <row r="69" customFormat="false" ht="16.5" hidden="false" customHeight="true" outlineLevel="0" collapsed="false">
      <c r="B69" s="15" t="s">
        <v>9200</v>
      </c>
      <c r="C69" s="177" t="s">
        <v>9201</v>
      </c>
      <c r="D69" s="15" t="s">
        <v>9202</v>
      </c>
      <c r="E69" s="155" t="n">
        <v>8</v>
      </c>
    </row>
    <row r="70" customFormat="false" ht="44.25" hidden="false" customHeight="true" outlineLevel="0" collapsed="false">
      <c r="B70" s="15" t="s">
        <v>9203</v>
      </c>
      <c r="C70" s="177" t="s">
        <v>9204</v>
      </c>
      <c r="D70" s="15" t="s">
        <v>9205</v>
      </c>
      <c r="E70" s="177" t="s">
        <v>9206</v>
      </c>
    </row>
    <row r="72" customFormat="false" ht="17.25" hidden="false" customHeight="true" outlineLevel="0" collapsed="false">
      <c r="B72" s="107" t="s">
        <v>9207</v>
      </c>
      <c r="C72" s="107"/>
      <c r="D72" s="107"/>
      <c r="E72" s="107"/>
      <c r="F72" s="107"/>
      <c r="G72" s="107"/>
    </row>
    <row r="73" customFormat="false" ht="30.75" hidden="false" customHeight="true" outlineLevel="0" collapsed="false">
      <c r="B73" s="152" t="s">
        <v>1929</v>
      </c>
      <c r="C73" s="152" t="s">
        <v>8042</v>
      </c>
      <c r="D73" s="152" t="s">
        <v>8819</v>
      </c>
      <c r="E73" s="152" t="s">
        <v>9208</v>
      </c>
      <c r="F73" s="152" t="s">
        <v>9209</v>
      </c>
      <c r="G73" s="152" t="s">
        <v>9210</v>
      </c>
      <c r="H73" s="152" t="s">
        <v>9211</v>
      </c>
      <c r="I73" s="152"/>
    </row>
    <row r="74" customFormat="false" ht="17.25" hidden="false" customHeight="true" outlineLevel="0" collapsed="false">
      <c r="B74" s="15" t="s">
        <v>9212</v>
      </c>
      <c r="C74" s="155" t="n">
        <v>195</v>
      </c>
      <c r="D74" s="155" t="n">
        <v>30</v>
      </c>
      <c r="E74" s="155" t="n">
        <v>12</v>
      </c>
      <c r="F74" s="155" t="n">
        <v>59</v>
      </c>
      <c r="G74" s="167" t="str">
        <f aca="false">IF(F74&lt;=D74,"YES","NO")</f>
        <v>NO</v>
      </c>
      <c r="H74" s="184" t="n">
        <f aca="false">IFERROR((C74-F74)/(C74-D74),0)</f>
        <v>0.824242424242424</v>
      </c>
      <c r="I74" s="184"/>
    </row>
    <row r="75" customFormat="false" ht="17.25" hidden="false" customHeight="true" outlineLevel="0" collapsed="false">
      <c r="B75" s="15" t="s">
        <v>9213</v>
      </c>
      <c r="C75" s="155" t="n">
        <v>11</v>
      </c>
      <c r="D75" s="155" t="n">
        <v>18</v>
      </c>
      <c r="E75" s="155" t="n">
        <v>24</v>
      </c>
      <c r="F75" s="155" t="n">
        <v>18</v>
      </c>
      <c r="G75" s="167" t="str">
        <f aca="false">IF(F75&gt;=D75,"YES","NO")</f>
        <v>YES</v>
      </c>
      <c r="H75" s="184" t="n">
        <f aca="false">IFERROR((F75-C75)/(D75-C75),0)</f>
        <v>1</v>
      </c>
      <c r="I75" s="184"/>
    </row>
    <row r="76" customFormat="false" ht="30.75" hidden="false" customHeight="true" outlineLevel="0" collapsed="false">
      <c r="B76" s="15" t="s">
        <v>9214</v>
      </c>
      <c r="C76" s="157" t="n">
        <v>11.2</v>
      </c>
      <c r="D76" s="157" t="n">
        <v>3</v>
      </c>
      <c r="E76" s="157" t="n">
        <v>1.5</v>
      </c>
      <c r="F76" s="157" t="n">
        <v>4.1</v>
      </c>
      <c r="G76" s="167" t="str">
        <f aca="false">IF(F76&lt;=D76,"YES","NO")</f>
        <v>NO</v>
      </c>
      <c r="H76" s="184" t="n">
        <f aca="false">IFERROR((C76-F76)/(C76-D76),0)</f>
        <v>0.865853658536585</v>
      </c>
      <c r="I76" s="184"/>
    </row>
    <row r="78" customFormat="false" ht="15" hidden="false" customHeight="true" outlineLevel="0" collapsed="false">
      <c r="B78" s="105" t="s">
        <v>9215</v>
      </c>
    </row>
    <row r="79" customFormat="false" ht="16.5" hidden="false" customHeight="true" outlineLevel="0" collapsed="false">
      <c r="B79" s="152" t="s">
        <v>6100</v>
      </c>
      <c r="C79" s="152" t="s">
        <v>9216</v>
      </c>
      <c r="D79" s="152" t="s">
        <v>9217</v>
      </c>
      <c r="E79" s="152" t="s">
        <v>9218</v>
      </c>
    </row>
    <row r="80" customFormat="false" ht="58.5" hidden="false" customHeight="true" outlineLevel="0" collapsed="false">
      <c r="B80" s="15" t="s">
        <v>9219</v>
      </c>
      <c r="C80" s="15" t="s">
        <v>9220</v>
      </c>
      <c r="D80" s="15" t="s">
        <v>9221</v>
      </c>
      <c r="E80" s="15" t="s">
        <v>9222</v>
      </c>
    </row>
    <row r="81" customFormat="false" ht="99.75" hidden="false" customHeight="true" outlineLevel="0" collapsed="false">
      <c r="B81" s="15" t="s">
        <v>9223</v>
      </c>
      <c r="C81" s="15" t="s">
        <v>9224</v>
      </c>
      <c r="D81" s="15" t="s">
        <v>9225</v>
      </c>
      <c r="E81" s="15" t="s">
        <v>9226</v>
      </c>
    </row>
    <row r="82" customFormat="false" ht="58.5" hidden="false" customHeight="true" outlineLevel="0" collapsed="false">
      <c r="B82" s="15" t="s">
        <v>9227</v>
      </c>
      <c r="C82" s="15" t="s">
        <v>9228</v>
      </c>
      <c r="D82" s="15" t="s">
        <v>9229</v>
      </c>
      <c r="E82" s="15" t="s">
        <v>9230</v>
      </c>
    </row>
    <row r="83" customFormat="false" ht="58.5" hidden="false" customHeight="true" outlineLevel="0" collapsed="false">
      <c r="B83" s="15" t="s">
        <v>9231</v>
      </c>
      <c r="C83" s="15" t="s">
        <v>9232</v>
      </c>
      <c r="D83" s="15" t="s">
        <v>9233</v>
      </c>
      <c r="E83" s="15" t="s">
        <v>9234</v>
      </c>
    </row>
    <row r="84" customFormat="false" ht="72" hidden="false" customHeight="true" outlineLevel="0" collapsed="false">
      <c r="B84" s="15" t="s">
        <v>9235</v>
      </c>
      <c r="C84" s="15" t="s">
        <v>9236</v>
      </c>
      <c r="D84" s="15" t="s">
        <v>9237</v>
      </c>
      <c r="E84" s="15" t="s">
        <v>9238</v>
      </c>
    </row>
    <row r="86" customFormat="false" ht="17.25" hidden="false" customHeight="true" outlineLevel="0" collapsed="false">
      <c r="B86" s="107" t="s">
        <v>9239</v>
      </c>
      <c r="C86" s="107"/>
      <c r="D86" s="107"/>
      <c r="E86" s="107"/>
      <c r="F86" s="107"/>
      <c r="G86" s="107"/>
    </row>
    <row r="87" customFormat="false" ht="16.5" hidden="false" customHeight="true" outlineLevel="0" collapsed="false">
      <c r="B87" s="152" t="s">
        <v>9240</v>
      </c>
      <c r="C87" s="152" t="s">
        <v>9241</v>
      </c>
      <c r="D87" s="152" t="s">
        <v>15</v>
      </c>
      <c r="E87" s="152" t="s">
        <v>9242</v>
      </c>
      <c r="F87" s="152" t="s">
        <v>6916</v>
      </c>
      <c r="G87" s="152" t="s">
        <v>9243</v>
      </c>
      <c r="H87" s="152" t="s">
        <v>5984</v>
      </c>
    </row>
    <row r="88" customFormat="false" ht="30.75" hidden="false" customHeight="true" outlineLevel="0" collapsed="false">
      <c r="B88" s="15" t="s">
        <v>9244</v>
      </c>
      <c r="C88" s="15" t="s">
        <v>9245</v>
      </c>
      <c r="D88" s="177" t="s">
        <v>6925</v>
      </c>
      <c r="E88" s="180" t="n">
        <v>46306</v>
      </c>
      <c r="F88" s="177" t="s">
        <v>9246</v>
      </c>
      <c r="G88" s="161" t="n">
        <f aca="true">IFERROR(E88-TODAY(),"")</f>
        <v>74</v>
      </c>
      <c r="H88" s="167" t="str">
        <f aca="true">IF(F88="Done","Closed",IF(IFERROR(E88-TODAY(),0)&lt;0,"OVERDUE","On track"))</f>
        <v>On track</v>
      </c>
    </row>
    <row r="89" customFormat="false" ht="30.75" hidden="false" customHeight="true" outlineLevel="0" collapsed="false">
      <c r="B89" s="15" t="s">
        <v>9244</v>
      </c>
      <c r="C89" s="15" t="s">
        <v>9247</v>
      </c>
      <c r="D89" s="177" t="s">
        <v>6920</v>
      </c>
      <c r="E89" s="180" t="n">
        <v>46306</v>
      </c>
      <c r="F89" s="177" t="s">
        <v>9246</v>
      </c>
      <c r="G89" s="161" t="n">
        <f aca="true">IFERROR(E89-TODAY(),"")</f>
        <v>74</v>
      </c>
      <c r="H89" s="167" t="str">
        <f aca="true">IF(F89="Done","Closed",IF(IFERROR(E89-TODAY(),0)&lt;0,"OVERDUE","On track"))</f>
        <v>On track</v>
      </c>
    </row>
    <row r="90" customFormat="false" ht="30.75" hidden="false" customHeight="true" outlineLevel="0" collapsed="false">
      <c r="B90" s="15" t="s">
        <v>9248</v>
      </c>
      <c r="C90" s="15" t="s">
        <v>9249</v>
      </c>
      <c r="D90" s="177" t="s">
        <v>9250</v>
      </c>
      <c r="E90" s="180" t="n">
        <v>46336</v>
      </c>
      <c r="F90" s="177" t="s">
        <v>6930</v>
      </c>
      <c r="G90" s="161" t="n">
        <f aca="true">IFERROR(E90-TODAY(),"")</f>
        <v>104</v>
      </c>
      <c r="H90" s="167" t="str">
        <f aca="true">IF(F90="Done","Closed",IF(IFERROR(E90-TODAY(),0)&lt;0,"OVERDUE","On track"))</f>
        <v>On track</v>
      </c>
    </row>
    <row r="91" customFormat="false" ht="30.75" hidden="false" customHeight="true" outlineLevel="0" collapsed="false">
      <c r="B91" s="15" t="s">
        <v>9248</v>
      </c>
      <c r="C91" s="15" t="s">
        <v>9251</v>
      </c>
      <c r="D91" s="177" t="s">
        <v>7027</v>
      </c>
      <c r="E91" s="180" t="n">
        <v>46336</v>
      </c>
      <c r="F91" s="177" t="s">
        <v>6930</v>
      </c>
      <c r="G91" s="161" t="n">
        <f aca="true">IFERROR(E91-TODAY(),"")</f>
        <v>104</v>
      </c>
      <c r="H91" s="167" t="str">
        <f aca="true">IF(F91="Done","Closed",IF(IFERROR(E91-TODAY(),0)&lt;0,"OVERDUE","On track"))</f>
        <v>On track</v>
      </c>
    </row>
    <row r="92" customFormat="false" ht="30.75" hidden="false" customHeight="true" outlineLevel="0" collapsed="false">
      <c r="B92" s="15" t="s">
        <v>9252</v>
      </c>
      <c r="C92" s="15" t="s">
        <v>9253</v>
      </c>
      <c r="D92" s="177" t="s">
        <v>9254</v>
      </c>
      <c r="E92" s="180" t="n">
        <v>46366</v>
      </c>
      <c r="F92" s="177" t="s">
        <v>6930</v>
      </c>
      <c r="G92" s="161" t="n">
        <f aca="true">IFERROR(E92-TODAY(),"")</f>
        <v>134</v>
      </c>
      <c r="H92" s="167" t="str">
        <f aca="true">IF(F92="Done","Closed",IF(IFERROR(E92-TODAY(),0)&lt;0,"OVERDUE","On track"))</f>
        <v>On track</v>
      </c>
    </row>
    <row r="93" customFormat="false" ht="30.75" hidden="false" customHeight="true" outlineLevel="0" collapsed="false">
      <c r="B93" s="15" t="s">
        <v>9252</v>
      </c>
      <c r="C93" s="15" t="s">
        <v>9255</v>
      </c>
      <c r="D93" s="177" t="s">
        <v>9195</v>
      </c>
      <c r="E93" s="180" t="n">
        <v>46366</v>
      </c>
      <c r="F93" s="177" t="s">
        <v>6930</v>
      </c>
      <c r="G93" s="161" t="n">
        <f aca="true">IFERROR(E93-TODAY(),"")</f>
        <v>134</v>
      </c>
      <c r="H93" s="167" t="str">
        <f aca="true">IF(F93="Done","Closed",IF(IFERROR(E93-TODAY(),0)&lt;0,"OVERDUE","On track"))</f>
        <v>On track</v>
      </c>
    </row>
    <row r="95" customFormat="false" ht="17.25" hidden="false" customHeight="true" outlineLevel="0" collapsed="false">
      <c r="B95" s="152" t="s">
        <v>6689</v>
      </c>
      <c r="C95" s="152" t="s">
        <v>6654</v>
      </c>
      <c r="D95" s="152" t="s">
        <v>88</v>
      </c>
      <c r="E95" s="152"/>
    </row>
    <row r="96" customFormat="false" ht="17.25" hidden="false" customHeight="true" outlineLevel="0" collapsed="false">
      <c r="B96" s="15" t="s">
        <v>9256</v>
      </c>
      <c r="C96" s="161" t="n">
        <f aca="false">COUNTIF(G74:G76,"YES")</f>
        <v>1</v>
      </c>
      <c r="D96" s="15" t="s">
        <v>9257</v>
      </c>
      <c r="E96" s="15"/>
    </row>
    <row r="97" customFormat="false" ht="17.25" hidden="false" customHeight="true" outlineLevel="0" collapsed="false">
      <c r="B97" s="15" t="s">
        <v>9258</v>
      </c>
      <c r="C97" s="184" t="n">
        <f aca="false">IFERROR(AVERAGE(H74:H76),0)</f>
        <v>0.89669869425967</v>
      </c>
      <c r="D97" s="15" t="s">
        <v>9259</v>
      </c>
      <c r="E97" s="15"/>
    </row>
    <row r="98" customFormat="false" ht="17.25" hidden="false" customHeight="true" outlineLevel="0" collapsed="false">
      <c r="B98" s="15" t="s">
        <v>9260</v>
      </c>
      <c r="C98" s="184" t="n">
        <f aca="false">IFERROR(COUNTIF(F88:F93,"Done")/COUNTA(F88:F93),0)</f>
        <v>0</v>
      </c>
      <c r="D98" s="15" t="s">
        <v>9261</v>
      </c>
      <c r="E98" s="15"/>
    </row>
    <row r="99" customFormat="false" ht="17.25" hidden="false" customHeight="true" outlineLevel="0" collapsed="false">
      <c r="B99" s="15" t="s">
        <v>9262</v>
      </c>
      <c r="C99" s="161" t="n">
        <f aca="false">COUNTIF(H88:H93,"OVERDUE")</f>
        <v>0</v>
      </c>
      <c r="D99" s="15" t="s">
        <v>9263</v>
      </c>
      <c r="E99" s="15"/>
    </row>
    <row r="101" customFormat="false" ht="15.75" hidden="false" customHeight="true" outlineLevel="0" collapsed="false">
      <c r="B101" s="103" t="s">
        <v>1493</v>
      </c>
      <c r="C101" s="8"/>
      <c r="D101" s="8"/>
      <c r="E101" s="8"/>
      <c r="F101" s="8"/>
      <c r="G101" s="8"/>
      <c r="H101" s="8"/>
      <c r="I101" s="8"/>
      <c r="J101" s="8"/>
      <c r="K101" s="8"/>
    </row>
    <row r="102" customFormat="false" ht="65.25" hidden="false" customHeight="true" outlineLevel="0" collapsed="false">
      <c r="B102" s="105" t="s">
        <v>1494</v>
      </c>
      <c r="C102" s="168" t="str">
        <f aca="false">"The event closed "&amp;TEXT(C97,"0%")&amp;" of the gap between baseline and target and hit "&amp;TEXT(C96,"0")&amp;" of 3 targets. Follow-up actions closed: "&amp;TEXT(C98,"0%")&amp;", overdue: "&amp;TEXT(C99,"0")&amp;". "&amp;IF(C98&lt;0.8,"Fewer than 80% of the 30-60-90 actions are closed. This is where kaizen events fail: the week produces a result and the follow-up produces the sustainment. Close the actions or expect the old method to return.","Follow-up is on track — audit the standard on every shift before declaring the gain.")</f>
        <v>The event closed 90% of the gap between baseline and target and hit 1 of 3 targets. Follow-up actions closed: 0%, overdue: 0. Fewer than 80% of the 30-60-90 actions are closed. This is where kaizen events fail: the week produces a result and the follow-up produces the sustainment. Close the actions or expect the old method to return.</v>
      </c>
      <c r="D102" s="168"/>
      <c r="E102" s="168"/>
      <c r="F102" s="168"/>
      <c r="G102" s="168"/>
    </row>
    <row r="104" customFormat="false" ht="17.25" hidden="false" customHeight="true" outlineLevel="0" collapsed="false">
      <c r="B104" s="152" t="s">
        <v>1495</v>
      </c>
      <c r="C104" s="152" t="s">
        <v>1496</v>
      </c>
      <c r="D104" s="152" t="s">
        <v>1497</v>
      </c>
      <c r="E104" s="152"/>
      <c r="F104" s="152"/>
    </row>
    <row r="105" customFormat="false" ht="17.25" hidden="false" customHeight="true" outlineLevel="0" collapsed="false">
      <c r="B105" s="15" t="s">
        <v>9264</v>
      </c>
      <c r="C105" s="15" t="s">
        <v>9265</v>
      </c>
      <c r="D105" s="15" t="s">
        <v>9266</v>
      </c>
      <c r="E105" s="15"/>
      <c r="F105" s="15"/>
    </row>
    <row r="106" customFormat="false" ht="17.25" hidden="false" customHeight="true" outlineLevel="0" collapsed="false">
      <c r="B106" s="15" t="s">
        <v>9267</v>
      </c>
      <c r="C106" s="15" t="s">
        <v>3096</v>
      </c>
      <c r="D106" s="15" t="s">
        <v>9268</v>
      </c>
      <c r="E106" s="15"/>
      <c r="F106" s="15"/>
    </row>
    <row r="107" customFormat="false" ht="30.75" hidden="false" customHeight="true" outlineLevel="0" collapsed="false">
      <c r="B107" s="15" t="s">
        <v>9269</v>
      </c>
      <c r="C107" s="15" t="s">
        <v>9270</v>
      </c>
      <c r="D107" s="15" t="s">
        <v>9271</v>
      </c>
      <c r="E107" s="15"/>
      <c r="F107" s="15"/>
    </row>
    <row r="108" customFormat="false" ht="17.25" hidden="false" customHeight="true" outlineLevel="0" collapsed="false">
      <c r="B108" s="15" t="s">
        <v>9272</v>
      </c>
      <c r="C108" s="15" t="s">
        <v>9273</v>
      </c>
      <c r="D108" s="15" t="s">
        <v>9274</v>
      </c>
      <c r="E108" s="15"/>
      <c r="F108" s="15"/>
    </row>
    <row r="110" customFormat="false" ht="15" hidden="false" customHeight="true" outlineLevel="0" collapsed="false">
      <c r="B110" s="105" t="s">
        <v>1507</v>
      </c>
    </row>
    <row r="111" customFormat="false" ht="17.25" hidden="false" customHeight="true" outlineLevel="0" collapsed="false">
      <c r="B111" s="106" t="s">
        <v>9275</v>
      </c>
      <c r="C111" s="106"/>
      <c r="D111" s="106"/>
      <c r="E111" s="106"/>
      <c r="F111" s="106"/>
      <c r="G111" s="106"/>
    </row>
    <row r="112" customFormat="false" ht="17.25" hidden="false" customHeight="true" outlineLevel="0" collapsed="false">
      <c r="B112" s="106" t="s">
        <v>9276</v>
      </c>
      <c r="C112" s="106"/>
      <c r="D112" s="106"/>
      <c r="E112" s="106"/>
      <c r="F112" s="106"/>
      <c r="G112" s="106"/>
    </row>
    <row r="113" customFormat="false" ht="17.25" hidden="false" customHeight="true" outlineLevel="0" collapsed="false">
      <c r="B113" s="106" t="s">
        <v>9277</v>
      </c>
      <c r="C113" s="106"/>
      <c r="D113" s="106"/>
      <c r="E113" s="106"/>
      <c r="F113" s="106"/>
      <c r="G113" s="106"/>
    </row>
    <row r="114" customFormat="false" ht="17.25" hidden="false" customHeight="true" outlineLevel="0" collapsed="false">
      <c r="B114" s="106" t="s">
        <v>9278</v>
      </c>
      <c r="C114" s="106"/>
      <c r="D114" s="106"/>
      <c r="E114" s="106"/>
      <c r="F114" s="106"/>
      <c r="G114" s="106"/>
    </row>
    <row r="115" customFormat="false" ht="17.25" hidden="false" customHeight="true" outlineLevel="0" collapsed="false">
      <c r="B115" s="106" t="s">
        <v>9279</v>
      </c>
      <c r="C115" s="106"/>
      <c r="D115" s="106"/>
      <c r="E115" s="106"/>
      <c r="F115" s="106"/>
      <c r="G115" s="106"/>
    </row>
    <row r="117" customFormat="false" ht="15.75" hidden="false" customHeight="true" outlineLevel="0" collapsed="false">
      <c r="B117" s="103" t="s">
        <v>1513</v>
      </c>
      <c r="C117" s="8"/>
      <c r="D117" s="8"/>
      <c r="E117" s="8"/>
      <c r="F117" s="8"/>
      <c r="G117" s="8"/>
      <c r="H117" s="8"/>
      <c r="I117" s="8"/>
      <c r="J117" s="8"/>
      <c r="K117" s="8"/>
    </row>
    <row r="118" customFormat="false" ht="17.25" hidden="false" customHeight="true" outlineLevel="0" collapsed="false">
      <c r="B118" s="106" t="s">
        <v>6712</v>
      </c>
      <c r="C118" s="106"/>
      <c r="D118" s="106"/>
      <c r="E118" s="106"/>
      <c r="F118" s="106"/>
      <c r="N118" s="169" t="s">
        <v>1515</v>
      </c>
    </row>
    <row r="119" customFormat="false" ht="44.25" hidden="false" customHeight="true" outlineLevel="0" collapsed="false">
      <c r="B119" s="106" t="s">
        <v>9280</v>
      </c>
      <c r="C119" s="106"/>
      <c r="D119" s="106"/>
      <c r="E119" s="106"/>
      <c r="F119" s="106"/>
      <c r="N119" s="120" t="s">
        <v>9281</v>
      </c>
    </row>
    <row r="120" customFormat="false" ht="44.25" hidden="false" customHeight="true" outlineLevel="0" collapsed="false">
      <c r="B120" s="106" t="s">
        <v>9282</v>
      </c>
      <c r="C120" s="106"/>
      <c r="D120" s="106"/>
      <c r="E120" s="106"/>
      <c r="F120" s="106"/>
      <c r="N120" s="120" t="s">
        <v>9283</v>
      </c>
    </row>
    <row r="121" customFormat="false" ht="44.25" hidden="false" customHeight="true" outlineLevel="0" collapsed="false">
      <c r="B121" s="106" t="s">
        <v>9284</v>
      </c>
      <c r="C121" s="106"/>
      <c r="D121" s="106"/>
      <c r="E121" s="106"/>
      <c r="F121" s="106"/>
      <c r="N121" s="120" t="s">
        <v>9285</v>
      </c>
    </row>
    <row r="123" customFormat="false" ht="15.75" hidden="false" customHeight="true" outlineLevel="0" collapsed="false">
      <c r="B123" s="103" t="s">
        <v>1522</v>
      </c>
      <c r="C123" s="8"/>
      <c r="D123" s="8"/>
      <c r="E123" s="8"/>
      <c r="F123" s="8"/>
      <c r="G123" s="8"/>
      <c r="H123" s="8"/>
      <c r="I123" s="8"/>
      <c r="J123" s="8"/>
      <c r="K123" s="8"/>
    </row>
    <row r="124" customFormat="false" ht="17.25" hidden="false" customHeight="true" outlineLevel="0" collapsed="false">
      <c r="B124" s="152" t="s">
        <v>1523</v>
      </c>
      <c r="C124" s="152" t="s">
        <v>1524</v>
      </c>
      <c r="D124" s="152" t="s">
        <v>6719</v>
      </c>
      <c r="E124" s="152"/>
    </row>
    <row r="125" customFormat="false" ht="17.25" hidden="false" customHeight="true" outlineLevel="0" collapsed="false">
      <c r="B125" s="170" t="s">
        <v>1109</v>
      </c>
      <c r="C125" s="170" t="s">
        <v>7979</v>
      </c>
      <c r="D125" s="171" t="s">
        <v>9286</v>
      </c>
      <c r="E125" s="171"/>
    </row>
  </sheetData>
  <mergeCells count="58">
    <mergeCell ref="B2:J2"/>
    <mergeCell ref="D3:G3"/>
    <mergeCell ref="C6:E6"/>
    <mergeCell ref="C7:E7"/>
    <mergeCell ref="C8:E8"/>
    <mergeCell ref="B11:G13"/>
    <mergeCell ref="B14:G16"/>
    <mergeCell ref="B17:G19"/>
    <mergeCell ref="B20:G22"/>
    <mergeCell ref="B23:G24"/>
    <mergeCell ref="B27:D27"/>
    <mergeCell ref="E27:G27"/>
    <mergeCell ref="B28:D28"/>
    <mergeCell ref="E28:G28"/>
    <mergeCell ref="B29:D29"/>
    <mergeCell ref="E29:G29"/>
    <mergeCell ref="B30:D30"/>
    <mergeCell ref="E30:G30"/>
    <mergeCell ref="B31:G31"/>
    <mergeCell ref="B40:G40"/>
    <mergeCell ref="B42:G43"/>
    <mergeCell ref="B45:G45"/>
    <mergeCell ref="B47:G48"/>
    <mergeCell ref="B50:G50"/>
    <mergeCell ref="D53:F53"/>
    <mergeCell ref="D54:F54"/>
    <mergeCell ref="D55:F55"/>
    <mergeCell ref="D56:F56"/>
    <mergeCell ref="D57:F57"/>
    <mergeCell ref="B60:G62"/>
    <mergeCell ref="B72:G72"/>
    <mergeCell ref="H73:I73"/>
    <mergeCell ref="H74:I74"/>
    <mergeCell ref="H75:I75"/>
    <mergeCell ref="H76:I76"/>
    <mergeCell ref="B86:G86"/>
    <mergeCell ref="D95:E95"/>
    <mergeCell ref="D96:E96"/>
    <mergeCell ref="D97:E97"/>
    <mergeCell ref="D98:E98"/>
    <mergeCell ref="D99:E99"/>
    <mergeCell ref="C102:G102"/>
    <mergeCell ref="D104:F104"/>
    <mergeCell ref="D105:F105"/>
    <mergeCell ref="D106:F106"/>
    <mergeCell ref="D107:F107"/>
    <mergeCell ref="D108:F108"/>
    <mergeCell ref="B111:G111"/>
    <mergeCell ref="B112:G112"/>
    <mergeCell ref="B113:G113"/>
    <mergeCell ref="B114:G114"/>
    <mergeCell ref="B115:G115"/>
    <mergeCell ref="B118:F118"/>
    <mergeCell ref="B119:F119"/>
    <mergeCell ref="B120:F120"/>
    <mergeCell ref="B121:F121"/>
    <mergeCell ref="D124:E124"/>
    <mergeCell ref="D125:E125"/>
  </mergeCells>
  <hyperlinks>
    <hyperlink ref="B3" location="'N-03 Index DMAIC'!A1" display="← Back to Index"/>
    <hyperlink ref="E34" location="'H-05 Check Sheets'!A1" display="H-05  Check Sheets"/>
    <hyperlink ref="E35" location="'G-03 Stakeholder Analysis'!A1" display="G-03  Stakeholder Analysis"/>
    <hyperlink ref="E36" location="'G-06 Change Management'!A1" display="G-06  Change Management"/>
    <hyperlink ref="E37" location="'L-23 PDCA'!A1" display="L-23  PDCA / PDSA Cycle"/>
    <hyperlink ref="B125" location="'L-15 SMED'!A1" display="L-15  SMED and Quick Changeover"/>
    <hyperlink ref="C125" location="'L-23 PDCA'!A1" display="L-23  PDCA / PDSA Cycle"/>
    <hyperlink ref="D125" location="'N-08 Fast Track Routes'!A1" display="N-08  Fast Track Rout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0"/>
    <col collapsed="false" customWidth="true" hidden="false" outlineLevel="0" max="4" min="4" style="1" width="34"/>
    <col collapsed="false" customWidth="true" hidden="false" outlineLevel="0" max="5" min="5" style="1" width="36"/>
    <col collapsed="false" customWidth="true" hidden="false" outlineLevel="0" max="6" min="6" style="1" width="13"/>
    <col collapsed="false" customWidth="true" hidden="false" outlineLevel="0" max="7" min="7" style="1" width="34"/>
    <col collapsed="false" customWidth="true" hidden="false" outlineLevel="0" max="8" min="8" style="1" width="18"/>
    <col collapsed="false" customWidth="true" hidden="false" outlineLevel="0" max="9" min="9" style="1" width="24"/>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9287</v>
      </c>
      <c r="C2" s="148"/>
      <c r="D2" s="148"/>
      <c r="E2" s="148"/>
      <c r="F2" s="148"/>
      <c r="G2" s="148"/>
      <c r="H2" s="148"/>
      <c r="I2" s="148"/>
      <c r="J2" s="148"/>
      <c r="K2" s="172" t="s">
        <v>1389</v>
      </c>
    </row>
    <row r="3" customFormat="false" ht="42" hidden="false" customHeight="true" outlineLevel="0" collapsed="false">
      <c r="B3" s="150" t="s">
        <v>3</v>
      </c>
      <c r="D3" s="151" t="s">
        <v>9288</v>
      </c>
      <c r="E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9289</v>
      </c>
      <c r="D6" s="106"/>
    </row>
    <row r="7" customFormat="false" ht="31.5" hidden="false" customHeight="true" outlineLevel="0" collapsed="false">
      <c r="B7" s="105" t="s">
        <v>1394</v>
      </c>
      <c r="C7" s="106" t="s">
        <v>9290</v>
      </c>
      <c r="D7" s="106"/>
    </row>
    <row r="8" customFormat="false" ht="31.5" hidden="false" customHeight="true" outlineLevel="0" collapsed="false">
      <c r="B8" s="105" t="s">
        <v>1396</v>
      </c>
      <c r="C8" s="106" t="s">
        <v>9291</v>
      </c>
      <c r="D8" s="106"/>
    </row>
    <row r="10" customFormat="false" ht="15.75" hidden="false" customHeight="true" outlineLevel="0" collapsed="false">
      <c r="B10" s="103" t="s">
        <v>1398</v>
      </c>
      <c r="C10" s="8"/>
      <c r="D10" s="8"/>
      <c r="E10" s="8"/>
      <c r="F10" s="8"/>
      <c r="G10" s="8"/>
      <c r="H10" s="8"/>
      <c r="I10" s="8"/>
      <c r="J10" s="8"/>
      <c r="K10" s="8"/>
    </row>
    <row r="11" customFormat="false" ht="15.75" hidden="false" customHeight="true" outlineLevel="0" collapsed="false">
      <c r="B11" s="106" t="s">
        <v>9292</v>
      </c>
      <c r="C11" s="106"/>
      <c r="D11" s="106"/>
      <c r="E11" s="106"/>
    </row>
    <row r="12" customFormat="false" ht="15.75" hidden="false" customHeight="true" outlineLevel="0" collapsed="false">
      <c r="B12" s="106"/>
      <c r="C12" s="106"/>
      <c r="D12" s="106"/>
      <c r="E12" s="106"/>
    </row>
    <row r="13" customFormat="false" ht="10.5" hidden="false" customHeight="true" outlineLevel="0" collapsed="false">
      <c r="B13" s="106" t="s">
        <v>9293</v>
      </c>
      <c r="C13" s="106"/>
      <c r="D13" s="106"/>
      <c r="E13" s="106"/>
    </row>
    <row r="14" customFormat="false" ht="10.5" hidden="false" customHeight="true" outlineLevel="0" collapsed="false">
      <c r="B14" s="106"/>
      <c r="C14" s="106"/>
      <c r="D14" s="106"/>
      <c r="E14" s="106"/>
    </row>
    <row r="15" customFormat="false" ht="10.5" hidden="false" customHeight="true" outlineLevel="0" collapsed="false">
      <c r="B15" s="106"/>
      <c r="C15" s="106"/>
      <c r="D15" s="106"/>
      <c r="E15" s="106"/>
    </row>
    <row r="16" customFormat="false" ht="11.25" hidden="false" customHeight="true" outlineLevel="0" collapsed="false">
      <c r="B16" s="106" t="s">
        <v>9294</v>
      </c>
      <c r="C16" s="106"/>
      <c r="D16" s="106"/>
      <c r="E16" s="106"/>
    </row>
    <row r="17" customFormat="false" ht="11.25" hidden="false" customHeight="true" outlineLevel="0" collapsed="false">
      <c r="B17" s="106"/>
      <c r="C17" s="106"/>
      <c r="D17" s="106"/>
      <c r="E17" s="106"/>
    </row>
    <row r="18" customFormat="false" ht="11.25" hidden="false" customHeight="true" outlineLevel="0" collapsed="false">
      <c r="B18" s="106"/>
      <c r="C18" s="106"/>
      <c r="D18" s="106"/>
      <c r="E18" s="106"/>
    </row>
    <row r="19" customFormat="false" ht="11.25" hidden="false" customHeight="true" outlineLevel="0" collapsed="false">
      <c r="B19" s="106"/>
      <c r="C19" s="106"/>
      <c r="D19" s="106"/>
      <c r="E19" s="106"/>
    </row>
    <row r="20" customFormat="false" ht="10.5" hidden="false" customHeight="true" outlineLevel="0" collapsed="false">
      <c r="B20" s="106" t="s">
        <v>9295</v>
      </c>
      <c r="C20" s="106"/>
      <c r="D20" s="106"/>
      <c r="E20" s="106"/>
    </row>
    <row r="21" customFormat="false" ht="10.5" hidden="false" customHeight="true" outlineLevel="0" collapsed="false">
      <c r="B21" s="106"/>
      <c r="C21" s="106"/>
      <c r="D21" s="106"/>
      <c r="E21" s="106"/>
    </row>
    <row r="22" customFormat="false" ht="10.5" hidden="false" customHeight="true" outlineLevel="0" collapsed="false">
      <c r="B22" s="106"/>
      <c r="C22" s="106"/>
      <c r="D22" s="106"/>
      <c r="E22" s="106"/>
    </row>
    <row r="23" customFormat="false" ht="15.75" hidden="false" customHeight="true" outlineLevel="0" collapsed="false">
      <c r="B23" s="106" t="s">
        <v>9296</v>
      </c>
      <c r="C23" s="106"/>
      <c r="D23" s="106"/>
      <c r="E23" s="106"/>
    </row>
    <row r="24" customFormat="false" ht="15.75" hidden="false" customHeight="true" outlineLevel="0" collapsed="false">
      <c r="B24" s="106"/>
      <c r="C24" s="106"/>
      <c r="D24" s="106"/>
      <c r="E24" s="106"/>
    </row>
    <row r="26" customFormat="false" ht="15.75" hidden="false" customHeight="true" outlineLevel="0" collapsed="false">
      <c r="B26" s="103" t="s">
        <v>1406</v>
      </c>
      <c r="C26" s="8"/>
      <c r="D26" s="8"/>
      <c r="E26" s="8"/>
      <c r="F26" s="8"/>
      <c r="G26" s="8"/>
      <c r="H26" s="8"/>
      <c r="I26" s="8"/>
      <c r="J26" s="8"/>
      <c r="K26" s="8"/>
    </row>
    <row r="27" customFormat="false" ht="17.25" hidden="false" customHeight="true" outlineLevel="0" collapsed="false">
      <c r="B27" s="107" t="s">
        <v>1407</v>
      </c>
      <c r="C27" s="107"/>
      <c r="E27" s="107" t="s">
        <v>1408</v>
      </c>
      <c r="F27" s="107"/>
      <c r="G27" s="107"/>
    </row>
    <row r="28" customFormat="false" ht="31.5" hidden="false" customHeight="true" outlineLevel="0" collapsed="false">
      <c r="B28" s="106" t="s">
        <v>9297</v>
      </c>
      <c r="C28" s="106"/>
      <c r="E28" s="106" t="s">
        <v>9298</v>
      </c>
      <c r="F28" s="106"/>
      <c r="G28" s="106"/>
    </row>
    <row r="29" customFormat="false" ht="17.25" hidden="false" customHeight="true" outlineLevel="0" collapsed="false">
      <c r="B29" s="106" t="s">
        <v>9299</v>
      </c>
      <c r="C29" s="106"/>
      <c r="E29" s="106" t="s">
        <v>9300</v>
      </c>
      <c r="F29" s="106"/>
      <c r="G29" s="106"/>
    </row>
    <row r="30" customFormat="false" ht="17.25" hidden="false" customHeight="true" outlineLevel="0" collapsed="false">
      <c r="B30" s="106" t="s">
        <v>9301</v>
      </c>
      <c r="C30" s="106"/>
      <c r="E30" s="106" t="s">
        <v>9302</v>
      </c>
      <c r="F30" s="106"/>
      <c r="G30" s="106"/>
    </row>
    <row r="31" customFormat="false" ht="17.25" hidden="false" customHeight="true" outlineLevel="0" collapsed="false">
      <c r="B31" s="106" t="s">
        <v>9303</v>
      </c>
      <c r="C31" s="106"/>
      <c r="D31" s="106"/>
      <c r="E31" s="106"/>
    </row>
    <row r="33" customFormat="false" ht="16.5" hidden="false" customHeight="true" outlineLevel="0" collapsed="false">
      <c r="B33" s="152" t="s">
        <v>6621</v>
      </c>
      <c r="C33" s="152" t="s">
        <v>1417</v>
      </c>
      <c r="D33" s="152" t="s">
        <v>1418</v>
      </c>
      <c r="E33" s="152" t="s">
        <v>1419</v>
      </c>
    </row>
    <row r="34" customFormat="false" ht="44.25" hidden="false" customHeight="true" outlineLevel="0" collapsed="false">
      <c r="B34" s="15" t="s">
        <v>9304</v>
      </c>
      <c r="C34" s="15" t="s">
        <v>9305</v>
      </c>
      <c r="D34" s="15" t="s">
        <v>9306</v>
      </c>
      <c r="E34" s="153" t="s">
        <v>7107</v>
      </c>
    </row>
    <row r="35" customFormat="false" ht="30.75" hidden="false" customHeight="true" outlineLevel="0" collapsed="false">
      <c r="B35" s="15" t="s">
        <v>9307</v>
      </c>
      <c r="C35" s="15" t="s">
        <v>9308</v>
      </c>
      <c r="D35" s="15" t="s">
        <v>9309</v>
      </c>
      <c r="E35" s="153" t="s">
        <v>7332</v>
      </c>
    </row>
    <row r="36" customFormat="false" ht="44.25" hidden="false" customHeight="true" outlineLevel="0" collapsed="false">
      <c r="B36" s="15" t="s">
        <v>9310</v>
      </c>
      <c r="C36" s="15" t="s">
        <v>9311</v>
      </c>
      <c r="D36" s="15" t="s">
        <v>9312</v>
      </c>
      <c r="E36" s="153" t="s">
        <v>6632</v>
      </c>
    </row>
    <row r="37" customFormat="false" ht="30.75" hidden="false" customHeight="true" outlineLevel="0" collapsed="false">
      <c r="B37" s="15" t="s">
        <v>9313</v>
      </c>
      <c r="C37" s="15" t="s">
        <v>9314</v>
      </c>
      <c r="D37" s="15" t="s">
        <v>9315</v>
      </c>
      <c r="E37" s="153" t="s">
        <v>7979</v>
      </c>
    </row>
    <row r="39" customFormat="false" ht="15.75" hidden="false" customHeight="true" outlineLevel="0" collapsed="false">
      <c r="B39" s="103" t="s">
        <v>1429</v>
      </c>
      <c r="C39" s="8"/>
      <c r="D39" s="8"/>
      <c r="E39" s="8"/>
      <c r="F39" s="8"/>
      <c r="G39" s="8"/>
      <c r="H39" s="8"/>
      <c r="I39" s="8"/>
      <c r="J39" s="8"/>
      <c r="K39" s="8"/>
    </row>
    <row r="40" customFormat="false" ht="17.25" hidden="false" customHeight="true" outlineLevel="0" collapsed="false">
      <c r="B40" s="106" t="s">
        <v>9316</v>
      </c>
      <c r="C40" s="106"/>
      <c r="D40" s="106"/>
      <c r="E40" s="106"/>
    </row>
    <row r="41" customFormat="false" ht="15" hidden="false" customHeight="true" outlineLevel="0" collapsed="false">
      <c r="B41" s="122"/>
    </row>
    <row r="42" customFormat="false" ht="10.5" hidden="false" customHeight="true" outlineLevel="0" collapsed="false">
      <c r="B42" s="106" t="s">
        <v>9317</v>
      </c>
      <c r="C42" s="106"/>
      <c r="D42" s="106"/>
      <c r="E42" s="106"/>
    </row>
    <row r="43" customFormat="false" ht="10.5" hidden="false" customHeight="true" outlineLevel="0" collapsed="false">
      <c r="B43" s="106"/>
      <c r="C43" s="106"/>
      <c r="D43" s="106"/>
      <c r="E43" s="106"/>
    </row>
    <row r="44" customFormat="false" ht="10.5" hidden="false" customHeight="true" outlineLevel="0" collapsed="false">
      <c r="B44" s="106"/>
      <c r="C44" s="106"/>
      <c r="D44" s="106"/>
      <c r="E44" s="106"/>
    </row>
    <row r="45" customFormat="false" ht="15" hidden="false" customHeight="true" outlineLevel="0" collapsed="false">
      <c r="B45" s="122"/>
    </row>
    <row r="46" customFormat="false" ht="16.5" hidden="false" customHeight="true" outlineLevel="0" collapsed="false">
      <c r="B46" s="122" t="s">
        <v>9318</v>
      </c>
    </row>
    <row r="47" customFormat="false" ht="17.25" hidden="false" customHeight="true" outlineLevel="0" collapsed="false">
      <c r="B47" s="106" t="s">
        <v>9319</v>
      </c>
      <c r="C47" s="106"/>
      <c r="D47" s="106"/>
      <c r="E47" s="106"/>
    </row>
    <row r="48" customFormat="false" ht="17.25" hidden="false" customHeight="true" outlineLevel="0" collapsed="false">
      <c r="B48" s="106" t="s">
        <v>9320</v>
      </c>
      <c r="C48" s="106"/>
      <c r="D48" s="106"/>
      <c r="E48" s="106"/>
    </row>
    <row r="49" customFormat="false" ht="17.25" hidden="false" customHeight="true" outlineLevel="0" collapsed="false">
      <c r="B49" s="106" t="s">
        <v>9321</v>
      </c>
      <c r="C49" s="106"/>
      <c r="D49" s="106"/>
      <c r="E49" s="106"/>
    </row>
    <row r="50" customFormat="false" ht="15" hidden="false" customHeight="true" outlineLevel="0" collapsed="false">
      <c r="B50" s="122"/>
    </row>
    <row r="51" customFormat="false" ht="17.25" hidden="false" customHeight="true" outlineLevel="0" collapsed="false">
      <c r="B51" s="106" t="s">
        <v>9322</v>
      </c>
      <c r="C51" s="106"/>
      <c r="D51" s="106"/>
      <c r="E51" s="106"/>
    </row>
    <row r="53" customFormat="false" ht="15.75" hidden="false" customHeight="true" outlineLevel="0" collapsed="false">
      <c r="B53" s="103" t="s">
        <v>1437</v>
      </c>
      <c r="C53" s="8"/>
      <c r="D53" s="8"/>
      <c r="E53" s="8"/>
      <c r="F53" s="8"/>
      <c r="G53" s="8"/>
      <c r="H53" s="8"/>
      <c r="I53" s="8"/>
      <c r="J53" s="8"/>
      <c r="K53" s="8"/>
    </row>
    <row r="54" customFormat="false" ht="16.5" hidden="false" customHeight="true" outlineLevel="0" collapsed="false">
      <c r="B54" s="152" t="s">
        <v>1438</v>
      </c>
      <c r="C54" s="152" t="s">
        <v>1439</v>
      </c>
      <c r="D54" s="152" t="s">
        <v>1440</v>
      </c>
    </row>
    <row r="55" customFormat="false" ht="30.75" hidden="false" customHeight="true" outlineLevel="0" collapsed="false">
      <c r="B55" s="15" t="s">
        <v>1450</v>
      </c>
      <c r="C55" s="15" t="s">
        <v>1451</v>
      </c>
      <c r="D55" s="15" t="s">
        <v>9323</v>
      </c>
    </row>
    <row r="56" customFormat="false" ht="16.5" hidden="false" customHeight="true" outlineLevel="0" collapsed="false">
      <c r="B56" s="15" t="s">
        <v>1920</v>
      </c>
      <c r="C56" s="15" t="s">
        <v>8106</v>
      </c>
      <c r="D56" s="15" t="s">
        <v>9324</v>
      </c>
    </row>
    <row r="57" customFormat="false" ht="30.75" hidden="false" customHeight="true" outlineLevel="0" collapsed="false">
      <c r="B57" s="15" t="s">
        <v>9325</v>
      </c>
      <c r="C57" s="15" t="s">
        <v>9326</v>
      </c>
      <c r="D57" s="15" t="s">
        <v>9327</v>
      </c>
    </row>
    <row r="58" customFormat="false" ht="30.75" hidden="false" customHeight="true" outlineLevel="0" collapsed="false">
      <c r="B58" s="15" t="s">
        <v>3248</v>
      </c>
      <c r="C58" s="15" t="s">
        <v>9328</v>
      </c>
      <c r="D58" s="15" t="s">
        <v>9329</v>
      </c>
    </row>
    <row r="60" customFormat="false" ht="15.75" hidden="false" customHeight="true" outlineLevel="0" collapsed="false">
      <c r="B60" s="103" t="s">
        <v>1454</v>
      </c>
      <c r="C60" s="8"/>
      <c r="D60" s="8"/>
      <c r="E60" s="8"/>
      <c r="F60" s="8"/>
      <c r="G60" s="8"/>
      <c r="H60" s="8"/>
      <c r="I60" s="8"/>
      <c r="J60" s="8"/>
      <c r="K60" s="8"/>
    </row>
    <row r="61" customFormat="false" ht="15.75" hidden="false" customHeight="true" outlineLevel="0" collapsed="false">
      <c r="B61" s="106" t="s">
        <v>9330</v>
      </c>
      <c r="C61" s="106"/>
      <c r="D61" s="106"/>
      <c r="E61" s="106"/>
    </row>
    <row r="62" customFormat="false" ht="15.75" hidden="false" customHeight="true" outlineLevel="0" collapsed="false">
      <c r="B62" s="106"/>
      <c r="C62" s="106"/>
      <c r="D62" s="106"/>
      <c r="E62" s="106"/>
    </row>
    <row r="63" customFormat="false" ht="15" hidden="false" customHeight="true" outlineLevel="0" collapsed="false">
      <c r="B63" s="112" t="s">
        <v>85</v>
      </c>
      <c r="C63" s="154" t="s">
        <v>86</v>
      </c>
    </row>
    <row r="65" customFormat="false" ht="17.25" hidden="false" customHeight="true" outlineLevel="0" collapsed="false">
      <c r="B65" s="107" t="s">
        <v>9331</v>
      </c>
      <c r="C65" s="107"/>
      <c r="D65" s="107"/>
      <c r="E65" s="107"/>
    </row>
    <row r="66" customFormat="false" ht="17.25" hidden="false" customHeight="true" outlineLevel="0" collapsed="false">
      <c r="B66" s="152" t="s">
        <v>9332</v>
      </c>
      <c r="C66" s="152" t="s">
        <v>9333</v>
      </c>
      <c r="D66" s="152" t="s">
        <v>9334</v>
      </c>
      <c r="E66" s="152" t="s">
        <v>9335</v>
      </c>
      <c r="F66" s="152" t="s">
        <v>9336</v>
      </c>
      <c r="G66" s="152" t="s">
        <v>15</v>
      </c>
      <c r="H66" s="152" t="s">
        <v>6916</v>
      </c>
      <c r="I66" s="152"/>
    </row>
    <row r="67" customFormat="false" ht="72" hidden="false" customHeight="true" outlineLevel="0" collapsed="false">
      <c r="B67" s="15" t="s">
        <v>9337</v>
      </c>
      <c r="C67" s="15" t="s">
        <v>9338</v>
      </c>
      <c r="D67" s="177" t="s">
        <v>9339</v>
      </c>
      <c r="E67" s="155" t="n">
        <v>0</v>
      </c>
      <c r="F67" s="177" t="s">
        <v>9340</v>
      </c>
      <c r="G67" s="177" t="s">
        <v>9341</v>
      </c>
      <c r="H67" s="167" t="str">
        <f aca="false">IF(E67=1,"Normal","Abnormal — needs an action")</f>
        <v>Abnormal — needs an action</v>
      </c>
      <c r="I67" s="167"/>
    </row>
    <row r="68" customFormat="false" ht="72" hidden="false" customHeight="true" outlineLevel="0" collapsed="false">
      <c r="B68" s="15" t="s">
        <v>9342</v>
      </c>
      <c r="C68" s="15" t="s">
        <v>9343</v>
      </c>
      <c r="D68" s="177" t="s">
        <v>9344</v>
      </c>
      <c r="E68" s="155" t="n">
        <v>0</v>
      </c>
      <c r="F68" s="177" t="s">
        <v>9345</v>
      </c>
      <c r="G68" s="177" t="s">
        <v>9341</v>
      </c>
      <c r="H68" s="167" t="str">
        <f aca="false">IF(E68=1,"Normal","Abnormal — needs an action")</f>
        <v>Abnormal — needs an action</v>
      </c>
      <c r="I68" s="167"/>
    </row>
    <row r="69" customFormat="false" ht="72" hidden="false" customHeight="true" outlineLevel="0" collapsed="false">
      <c r="B69" s="15" t="s">
        <v>9346</v>
      </c>
      <c r="C69" s="15" t="s">
        <v>9347</v>
      </c>
      <c r="D69" s="177" t="s">
        <v>9348</v>
      </c>
      <c r="E69" s="155" t="n">
        <v>0</v>
      </c>
      <c r="F69" s="177" t="s">
        <v>9349</v>
      </c>
      <c r="G69" s="177" t="s">
        <v>6920</v>
      </c>
      <c r="H69" s="167" t="str">
        <f aca="false">IF(E69=1,"Normal","Abnormal — needs an action")</f>
        <v>Abnormal — needs an action</v>
      </c>
      <c r="I69" s="167"/>
    </row>
    <row r="70" customFormat="false" ht="99.75" hidden="false" customHeight="true" outlineLevel="0" collapsed="false">
      <c r="B70" s="15" t="s">
        <v>9350</v>
      </c>
      <c r="C70" s="15" t="s">
        <v>9351</v>
      </c>
      <c r="D70" s="177" t="s">
        <v>9352</v>
      </c>
      <c r="E70" s="155" t="n">
        <v>0</v>
      </c>
      <c r="F70" s="177" t="s">
        <v>9353</v>
      </c>
      <c r="G70" s="177" t="s">
        <v>8138</v>
      </c>
      <c r="H70" s="167" t="str">
        <f aca="false">IF(E70=1,"Normal","Abnormal — needs an action")</f>
        <v>Abnormal — needs an action</v>
      </c>
      <c r="I70" s="167"/>
    </row>
    <row r="71" customFormat="false" ht="72" hidden="false" customHeight="true" outlineLevel="0" collapsed="false">
      <c r="B71" s="15" t="s">
        <v>9354</v>
      </c>
      <c r="C71" s="15" t="s">
        <v>9355</v>
      </c>
      <c r="D71" s="177" t="s">
        <v>9356</v>
      </c>
      <c r="E71" s="155" t="n">
        <v>0</v>
      </c>
      <c r="F71" s="177" t="s">
        <v>9357</v>
      </c>
      <c r="G71" s="177" t="s">
        <v>6929</v>
      </c>
      <c r="H71" s="167" t="str">
        <f aca="false">IF(E71=1,"Normal","Abnormal — needs an action")</f>
        <v>Abnormal — needs an action</v>
      </c>
      <c r="I71" s="167"/>
    </row>
    <row r="72" customFormat="false" ht="86.25" hidden="false" customHeight="true" outlineLevel="0" collapsed="false">
      <c r="B72" s="15" t="s">
        <v>9358</v>
      </c>
      <c r="C72" s="15" t="s">
        <v>9359</v>
      </c>
      <c r="D72" s="177" t="s">
        <v>9360</v>
      </c>
      <c r="E72" s="155" t="n">
        <v>0</v>
      </c>
      <c r="F72" s="177" t="s">
        <v>9361</v>
      </c>
      <c r="G72" s="177" t="s">
        <v>6925</v>
      </c>
      <c r="H72" s="167" t="str">
        <f aca="false">IF(E72=1,"Normal","Abnormal — needs an action")</f>
        <v>Abnormal — needs an action</v>
      </c>
      <c r="I72" s="167"/>
    </row>
    <row r="73" customFormat="false" ht="86.25" hidden="false" customHeight="true" outlineLevel="0" collapsed="false">
      <c r="B73" s="15" t="s">
        <v>9362</v>
      </c>
      <c r="C73" s="15" t="s">
        <v>9363</v>
      </c>
      <c r="D73" s="177" t="s">
        <v>9364</v>
      </c>
      <c r="E73" s="155" t="n">
        <v>0</v>
      </c>
      <c r="F73" s="177" t="s">
        <v>9365</v>
      </c>
      <c r="G73" s="177" t="s">
        <v>8138</v>
      </c>
      <c r="H73" s="167" t="str">
        <f aca="false">IF(E73=1,"Normal","Abnormal — needs an action")</f>
        <v>Abnormal — needs an action</v>
      </c>
      <c r="I73" s="167"/>
    </row>
    <row r="74" customFormat="false" ht="86.25" hidden="false" customHeight="true" outlineLevel="0" collapsed="false">
      <c r="B74" s="15" t="s">
        <v>9366</v>
      </c>
      <c r="C74" s="15" t="s">
        <v>9367</v>
      </c>
      <c r="D74" s="177" t="s">
        <v>9368</v>
      </c>
      <c r="E74" s="155" t="n">
        <v>0</v>
      </c>
      <c r="F74" s="177" t="s">
        <v>9369</v>
      </c>
      <c r="G74" s="177" t="s">
        <v>9370</v>
      </c>
      <c r="H74" s="167" t="str">
        <f aca="false">IF(E74=1,"Normal","Abnormal — needs an action")</f>
        <v>Abnormal — needs an action</v>
      </c>
      <c r="I74" s="167"/>
    </row>
    <row r="75" customFormat="false" ht="99.75" hidden="false" customHeight="true" outlineLevel="0" collapsed="false">
      <c r="B75" s="15" t="s">
        <v>9371</v>
      </c>
      <c r="C75" s="15" t="s">
        <v>9372</v>
      </c>
      <c r="D75" s="177" t="s">
        <v>9373</v>
      </c>
      <c r="E75" s="155" t="n">
        <v>0</v>
      </c>
      <c r="F75" s="177" t="s">
        <v>9374</v>
      </c>
      <c r="G75" s="177" t="s">
        <v>8138</v>
      </c>
      <c r="H75" s="167" t="str">
        <f aca="false">IF(E75=1,"Normal","Abnormal — needs an action")</f>
        <v>Abnormal — needs an action</v>
      </c>
      <c r="I75" s="167"/>
    </row>
    <row r="76" customFormat="false" ht="30.75" hidden="false" customHeight="true" outlineLevel="0" collapsed="false">
      <c r="B76" s="15" t="s">
        <v>9375</v>
      </c>
      <c r="C76" s="15" t="s">
        <v>9376</v>
      </c>
      <c r="D76" s="177" t="s">
        <v>9377</v>
      </c>
      <c r="E76" s="155" t="n">
        <v>1</v>
      </c>
      <c r="F76" s="177"/>
      <c r="G76" s="177"/>
      <c r="H76" s="167" t="str">
        <f aca="false">IF(E76=1,"Normal","Abnormal — needs an action")</f>
        <v>Normal</v>
      </c>
      <c r="I76" s="167"/>
    </row>
    <row r="78" customFormat="false" ht="16.5" hidden="false" customHeight="true" outlineLevel="0" collapsed="false">
      <c r="B78" s="152" t="s">
        <v>6689</v>
      </c>
      <c r="C78" s="152" t="s">
        <v>6654</v>
      </c>
      <c r="D78" s="152" t="s">
        <v>88</v>
      </c>
    </row>
    <row r="79" customFormat="false" ht="16.5" hidden="false" customHeight="true" outlineLevel="0" collapsed="false">
      <c r="B79" s="15" t="s">
        <v>9378</v>
      </c>
      <c r="C79" s="161" t="n">
        <f aca="false">COUNTA(B67:B76)</f>
        <v>10</v>
      </c>
      <c r="D79" s="15" t="s">
        <v>9379</v>
      </c>
    </row>
    <row r="80" customFormat="false" ht="30.75" hidden="false" customHeight="true" outlineLevel="0" collapsed="false">
      <c r="B80" s="15" t="s">
        <v>9380</v>
      </c>
      <c r="C80" s="161" t="n">
        <f aca="false">COUNTIF(E67:E76,0)</f>
        <v>9</v>
      </c>
      <c r="D80" s="15" t="s">
        <v>9381</v>
      </c>
    </row>
    <row r="81" customFormat="false" ht="16.5" hidden="false" customHeight="true" outlineLevel="0" collapsed="false">
      <c r="B81" s="15" t="s">
        <v>9382</v>
      </c>
      <c r="C81" s="161" t="n">
        <f aca="false">COUNTA(F67:F76)</f>
        <v>9</v>
      </c>
      <c r="D81" s="15" t="s">
        <v>9383</v>
      </c>
    </row>
    <row r="82" customFormat="false" ht="30.75" hidden="false" customHeight="true" outlineLevel="0" collapsed="false">
      <c r="B82" s="15" t="s">
        <v>9384</v>
      </c>
      <c r="C82" s="161" t="n">
        <f aca="false">COUNTA(F67:F76)-COUNTA(G67:G76)</f>
        <v>0</v>
      </c>
      <c r="D82" s="15" t="s">
        <v>9385</v>
      </c>
    </row>
    <row r="84" customFormat="false" ht="15" hidden="false" customHeight="true" outlineLevel="0" collapsed="false">
      <c r="B84" s="105" t="s">
        <v>9386</v>
      </c>
    </row>
    <row r="85" customFormat="false" ht="17.25" hidden="false" customHeight="true" outlineLevel="0" collapsed="false">
      <c r="B85" s="152" t="s">
        <v>5293</v>
      </c>
      <c r="C85" s="152" t="s">
        <v>9387</v>
      </c>
      <c r="D85" s="152" t="s">
        <v>9388</v>
      </c>
      <c r="E85" s="152" t="s">
        <v>9389</v>
      </c>
      <c r="F85" s="152" t="s">
        <v>982</v>
      </c>
      <c r="G85" s="152"/>
    </row>
    <row r="86" customFormat="false" ht="30.75" hidden="false" customHeight="true" outlineLevel="0" collapsed="false">
      <c r="B86" s="15" t="s">
        <v>34</v>
      </c>
      <c r="C86" s="15" t="s">
        <v>8881</v>
      </c>
      <c r="D86" s="15" t="s">
        <v>9390</v>
      </c>
      <c r="E86" s="15" t="s">
        <v>9391</v>
      </c>
      <c r="F86" s="15" t="s">
        <v>9392</v>
      </c>
      <c r="G86" s="15"/>
    </row>
    <row r="87" customFormat="false" ht="30.75" hidden="false" customHeight="true" outlineLevel="0" collapsed="false">
      <c r="B87" s="15" t="s">
        <v>6922</v>
      </c>
      <c r="C87" s="15" t="s">
        <v>9393</v>
      </c>
      <c r="D87" s="15" t="s">
        <v>8147</v>
      </c>
      <c r="E87" s="15" t="s">
        <v>9394</v>
      </c>
      <c r="F87" s="15" t="s">
        <v>8890</v>
      </c>
      <c r="G87" s="15"/>
    </row>
    <row r="88" customFormat="false" ht="30.75" hidden="false" customHeight="true" outlineLevel="0" collapsed="false">
      <c r="B88" s="15" t="s">
        <v>6926</v>
      </c>
      <c r="C88" s="15" t="s">
        <v>9395</v>
      </c>
      <c r="D88" s="15" t="s">
        <v>8130</v>
      </c>
      <c r="E88" s="15" t="s">
        <v>9396</v>
      </c>
      <c r="F88" s="15" t="s">
        <v>9397</v>
      </c>
      <c r="G88" s="15"/>
    </row>
    <row r="89" customFormat="false" ht="30.75" hidden="false" customHeight="true" outlineLevel="0" collapsed="false">
      <c r="B89" s="15" t="s">
        <v>6931</v>
      </c>
      <c r="C89" s="15" t="s">
        <v>9398</v>
      </c>
      <c r="D89" s="15" t="s">
        <v>8144</v>
      </c>
      <c r="E89" s="15" t="s">
        <v>9399</v>
      </c>
      <c r="F89" s="15" t="s">
        <v>9400</v>
      </c>
      <c r="G89" s="15"/>
    </row>
    <row r="90" customFormat="false" ht="28.5" hidden="false" customHeight="true" outlineLevel="0" collapsed="false">
      <c r="B90" s="182" t="s">
        <v>9401</v>
      </c>
      <c r="C90" s="182"/>
      <c r="D90" s="182"/>
      <c r="E90" s="182"/>
    </row>
    <row r="92" customFormat="false" ht="15.75" hidden="false" customHeight="true" outlineLevel="0" collapsed="false">
      <c r="B92" s="103" t="s">
        <v>1493</v>
      </c>
      <c r="C92" s="8"/>
      <c r="D92" s="8"/>
      <c r="E92" s="8"/>
      <c r="F92" s="8"/>
      <c r="G92" s="8"/>
      <c r="H92" s="8"/>
      <c r="I92" s="8"/>
      <c r="J92" s="8"/>
      <c r="K92" s="8"/>
    </row>
    <row r="93" customFormat="false" ht="33.75" hidden="false" customHeight="true" outlineLevel="0" collapsed="false">
      <c r="B93" s="105" t="s">
        <v>1494</v>
      </c>
      <c r="C93" s="168" t="str">
        <f aca="false">"The walk asked "&amp;TEXT(C79,"0")&amp;" questions and found "&amp;TEXT(C80,"0")&amp;" abnormal conditions, with "&amp;TEXT(C81,"0")&amp;" actions agreed and "&amp;TEXT(C82,"0")&amp;" of them without an owner. "&amp;IF(C81&lt;C80,"Fewer actions than abnormalities: some observations were noted and left. Either agree an action or explicitly decide to accept the condition — a walk that changes nothing teaches the team that walks change nothing.",IF(C82&gt;0,"Every abnormality has an action, but some have no owner. An unowned action was mentioned, not agreed.","Every abnormality has an owned action. Close them before the next walk."))</f>
        <v>The walk asked 10 questions and found 9 abnormal conditions, with 9 actions agreed and 0 of them without an owner. Every abnormality has an owned action. Close them before the next walk.</v>
      </c>
      <c r="D93" s="168"/>
      <c r="E93" s="168"/>
    </row>
    <row r="95" customFormat="false" ht="16.5" hidden="false" customHeight="true" outlineLevel="0" collapsed="false">
      <c r="B95" s="152" t="s">
        <v>1495</v>
      </c>
      <c r="C95" s="152" t="s">
        <v>1496</v>
      </c>
      <c r="D95" s="152" t="s">
        <v>1497</v>
      </c>
    </row>
    <row r="96" customFormat="false" ht="30.75" hidden="false" customHeight="true" outlineLevel="0" collapsed="false">
      <c r="B96" s="15" t="s">
        <v>9402</v>
      </c>
      <c r="C96" s="15" t="s">
        <v>9403</v>
      </c>
      <c r="D96" s="15" t="s">
        <v>9404</v>
      </c>
    </row>
    <row r="97" customFormat="false" ht="30.75" hidden="false" customHeight="true" outlineLevel="0" collapsed="false">
      <c r="B97" s="15" t="s">
        <v>9405</v>
      </c>
      <c r="C97" s="15" t="s">
        <v>8899</v>
      </c>
      <c r="D97" s="15" t="s">
        <v>9406</v>
      </c>
    </row>
    <row r="98" customFormat="false" ht="44.25" hidden="false" customHeight="true" outlineLevel="0" collapsed="false">
      <c r="B98" s="15" t="s">
        <v>9407</v>
      </c>
      <c r="C98" s="15" t="s">
        <v>9408</v>
      </c>
      <c r="D98" s="15" t="s">
        <v>9409</v>
      </c>
    </row>
    <row r="99" customFormat="false" ht="30.75" hidden="false" customHeight="true" outlineLevel="0" collapsed="false">
      <c r="B99" s="15" t="s">
        <v>9410</v>
      </c>
      <c r="C99" s="15" t="s">
        <v>9411</v>
      </c>
      <c r="D99" s="15" t="s">
        <v>9412</v>
      </c>
    </row>
    <row r="101" customFormat="false" ht="15" hidden="false" customHeight="true" outlineLevel="0" collapsed="false">
      <c r="B101" s="105" t="s">
        <v>1507</v>
      </c>
    </row>
    <row r="102" customFormat="false" ht="17.25" hidden="false" customHeight="true" outlineLevel="0" collapsed="false">
      <c r="B102" s="106" t="s">
        <v>9413</v>
      </c>
      <c r="C102" s="106"/>
      <c r="D102" s="106"/>
      <c r="E102" s="106"/>
    </row>
    <row r="103" customFormat="false" ht="17.25" hidden="false" customHeight="true" outlineLevel="0" collapsed="false">
      <c r="B103" s="106" t="s">
        <v>9414</v>
      </c>
      <c r="C103" s="106"/>
      <c r="D103" s="106"/>
      <c r="E103" s="106"/>
    </row>
    <row r="104" customFormat="false" ht="17.25" hidden="false" customHeight="true" outlineLevel="0" collapsed="false">
      <c r="B104" s="106" t="s">
        <v>9415</v>
      </c>
      <c r="C104" s="106"/>
      <c r="D104" s="106"/>
      <c r="E104" s="106"/>
    </row>
    <row r="105" customFormat="false" ht="17.25" hidden="false" customHeight="true" outlineLevel="0" collapsed="false">
      <c r="B105" s="106" t="s">
        <v>9416</v>
      </c>
      <c r="C105" s="106"/>
      <c r="D105" s="106"/>
      <c r="E105" s="106"/>
    </row>
    <row r="106" customFormat="false" ht="17.25" hidden="false" customHeight="true" outlineLevel="0" collapsed="false">
      <c r="B106" s="106" t="s">
        <v>9417</v>
      </c>
      <c r="C106" s="106"/>
      <c r="D106" s="106"/>
      <c r="E106" s="106"/>
    </row>
    <row r="108" customFormat="false" ht="15.75" hidden="false" customHeight="true" outlineLevel="0" collapsed="false">
      <c r="B108" s="103" t="s">
        <v>1513</v>
      </c>
      <c r="C108" s="8"/>
      <c r="D108" s="8"/>
      <c r="E108" s="8"/>
      <c r="F108" s="8"/>
      <c r="G108" s="8"/>
      <c r="H108" s="8"/>
      <c r="I108" s="8"/>
      <c r="J108" s="8"/>
      <c r="K108" s="8"/>
    </row>
    <row r="109" customFormat="false" ht="17.25" hidden="false" customHeight="true" outlineLevel="0" collapsed="false">
      <c r="B109" s="106" t="s">
        <v>6712</v>
      </c>
      <c r="C109" s="106"/>
      <c r="D109" s="106"/>
      <c r="N109" s="169" t="s">
        <v>1515</v>
      </c>
    </row>
    <row r="110" customFormat="false" ht="44.25" hidden="false" customHeight="true" outlineLevel="0" collapsed="false">
      <c r="B110" s="106" t="s">
        <v>9418</v>
      </c>
      <c r="C110" s="106"/>
      <c r="D110" s="106"/>
      <c r="N110" s="120" t="s">
        <v>9419</v>
      </c>
    </row>
    <row r="111" customFormat="false" ht="44.25" hidden="false" customHeight="true" outlineLevel="0" collapsed="false">
      <c r="B111" s="106" t="s">
        <v>9420</v>
      </c>
      <c r="C111" s="106"/>
      <c r="D111" s="106"/>
      <c r="N111" s="120" t="s">
        <v>9421</v>
      </c>
    </row>
    <row r="112" customFormat="false" ht="44.25" hidden="false" customHeight="true" outlineLevel="0" collapsed="false">
      <c r="B112" s="106" t="s">
        <v>9422</v>
      </c>
      <c r="C112" s="106"/>
      <c r="D112" s="106"/>
      <c r="N112" s="120" t="s">
        <v>9423</v>
      </c>
    </row>
    <row r="114" customFormat="false" ht="15.75" hidden="false" customHeight="true" outlineLevel="0" collapsed="false">
      <c r="B114" s="103" t="s">
        <v>1522</v>
      </c>
      <c r="C114" s="8"/>
      <c r="D114" s="8"/>
      <c r="E114" s="8"/>
      <c r="F114" s="8"/>
      <c r="G114" s="8"/>
      <c r="H114" s="8"/>
      <c r="I114" s="8"/>
      <c r="J114" s="8"/>
      <c r="K114" s="8"/>
    </row>
    <row r="115" customFormat="false" ht="30.75" hidden="false" customHeight="true" outlineLevel="0" collapsed="false">
      <c r="B115" s="152" t="s">
        <v>1523</v>
      </c>
      <c r="C115" s="152" t="s">
        <v>1524</v>
      </c>
      <c r="D115" s="152" t="s">
        <v>6719</v>
      </c>
    </row>
    <row r="116" customFormat="false" ht="16.5" hidden="false" customHeight="true" outlineLevel="0" collapsed="false">
      <c r="B116" s="170" t="s">
        <v>6840</v>
      </c>
      <c r="C116" s="170" t="s">
        <v>1223</v>
      </c>
      <c r="D116" s="170" t="s">
        <v>7979</v>
      </c>
    </row>
  </sheetData>
  <mergeCells count="54">
    <mergeCell ref="B2:J2"/>
    <mergeCell ref="D3:E3"/>
    <mergeCell ref="C6:D6"/>
    <mergeCell ref="C7:D7"/>
    <mergeCell ref="C8:D8"/>
    <mergeCell ref="B11:E12"/>
    <mergeCell ref="B13:E15"/>
    <mergeCell ref="B16:E19"/>
    <mergeCell ref="B20:E22"/>
    <mergeCell ref="B23:E24"/>
    <mergeCell ref="B27:C27"/>
    <mergeCell ref="E27:G27"/>
    <mergeCell ref="B28:C28"/>
    <mergeCell ref="E28:G28"/>
    <mergeCell ref="B29:C29"/>
    <mergeCell ref="E29:G29"/>
    <mergeCell ref="B30:C30"/>
    <mergeCell ref="E30:G30"/>
    <mergeCell ref="B31:E31"/>
    <mergeCell ref="B40:E40"/>
    <mergeCell ref="B42:E44"/>
    <mergeCell ref="B47:E47"/>
    <mergeCell ref="B48:E48"/>
    <mergeCell ref="B49:E49"/>
    <mergeCell ref="B51:E51"/>
    <mergeCell ref="B61:E62"/>
    <mergeCell ref="B65:E65"/>
    <mergeCell ref="H66:I66"/>
    <mergeCell ref="H67:I67"/>
    <mergeCell ref="H68:I68"/>
    <mergeCell ref="H69:I69"/>
    <mergeCell ref="H70:I70"/>
    <mergeCell ref="H71:I71"/>
    <mergeCell ref="H72:I72"/>
    <mergeCell ref="H73:I73"/>
    <mergeCell ref="H74:I74"/>
    <mergeCell ref="H75:I75"/>
    <mergeCell ref="H76:I76"/>
    <mergeCell ref="F85:G85"/>
    <mergeCell ref="F86:G86"/>
    <mergeCell ref="F87:G87"/>
    <mergeCell ref="F88:G88"/>
    <mergeCell ref="F89:G89"/>
    <mergeCell ref="B90:E90"/>
    <mergeCell ref="C93:E93"/>
    <mergeCell ref="B102:E102"/>
    <mergeCell ref="B103:E103"/>
    <mergeCell ref="B104:E104"/>
    <mergeCell ref="B105:E105"/>
    <mergeCell ref="B106:E106"/>
    <mergeCell ref="B109:D109"/>
    <mergeCell ref="B110:D110"/>
    <mergeCell ref="B111:D111"/>
    <mergeCell ref="B112:D112"/>
  </mergeCells>
  <hyperlinks>
    <hyperlink ref="B3" location="'N-03 Index DMAIC'!A1" display="← Back to Index"/>
    <hyperlink ref="E34" location="'G-06 Change Management'!A1" display="G-06  Change Management"/>
    <hyperlink ref="E35" location="'L-04 Process Mapping'!A1" display="L-04  Process Mapping"/>
    <hyperlink ref="E36" location="'H-05 Check Sheets'!A1" display="H-05  Check Sheets"/>
    <hyperlink ref="E37" location="'L-23 PDCA'!A1" display="L-23  PDCA / PDSA Cycle"/>
    <hyperlink ref="B116" location="'L-01 Eight Wastes'!A1" display="L-01  The Eight Wastes"/>
    <hyperlink ref="C116" location="'L-13 Visual Management'!A1" display="L-13  Visual Management"/>
    <hyperlink ref="D116" location="'L-23 PDCA'!A1" display="L-23  PDCA / PDSA Cycl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30"/>
    <col collapsed="false" customWidth="true" hidden="false" outlineLevel="0" max="5" min="4" style="1" width="18"/>
    <col collapsed="false" customWidth="true" hidden="false" outlineLevel="0" max="6" min="6" style="1" width="16"/>
    <col collapsed="false" customWidth="true" hidden="false" outlineLevel="0" max="7" min="7" style="1" width="22"/>
    <col collapsed="false" customWidth="true" hidden="false" outlineLevel="0" max="8" min="8" style="1" width="14"/>
    <col collapsed="false" customWidth="true" hidden="false" outlineLevel="0" max="9" min="9" style="1" width="30"/>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9424</v>
      </c>
      <c r="C2" s="148"/>
      <c r="D2" s="148"/>
      <c r="E2" s="148"/>
      <c r="F2" s="148"/>
      <c r="G2" s="148"/>
      <c r="H2" s="148"/>
      <c r="I2" s="148"/>
      <c r="J2" s="148"/>
      <c r="K2" s="179" t="s">
        <v>5137</v>
      </c>
    </row>
    <row r="3" customFormat="false" ht="42" hidden="false" customHeight="true" outlineLevel="0" collapsed="false">
      <c r="B3" s="150" t="s">
        <v>3</v>
      </c>
      <c r="D3" s="151" t="s">
        <v>9425</v>
      </c>
      <c r="E3" s="151"/>
      <c r="F3" s="151"/>
      <c r="G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9426</v>
      </c>
      <c r="D6" s="106"/>
      <c r="E6" s="106"/>
    </row>
    <row r="7" customFormat="false" ht="31.5" hidden="false" customHeight="true" outlineLevel="0" collapsed="false">
      <c r="B7" s="105" t="s">
        <v>1394</v>
      </c>
      <c r="C7" s="106" t="s">
        <v>9427</v>
      </c>
      <c r="D7" s="106"/>
      <c r="E7" s="106"/>
    </row>
    <row r="8" customFormat="false" ht="31.5" hidden="false" customHeight="true" outlineLevel="0" collapsed="false">
      <c r="B8" s="105" t="s">
        <v>1396</v>
      </c>
      <c r="C8" s="106" t="s">
        <v>9428</v>
      </c>
      <c r="D8" s="106"/>
      <c r="E8" s="106"/>
    </row>
    <row r="10" customFormat="false" ht="15.75" hidden="false" customHeight="true" outlineLevel="0" collapsed="false">
      <c r="B10" s="103" t="s">
        <v>1398</v>
      </c>
      <c r="C10" s="8"/>
      <c r="D10" s="8"/>
      <c r="E10" s="8"/>
      <c r="F10" s="8"/>
      <c r="G10" s="8"/>
      <c r="H10" s="8"/>
      <c r="I10" s="8"/>
      <c r="J10" s="8"/>
      <c r="K10" s="8"/>
    </row>
    <row r="11" customFormat="false" ht="15.75" hidden="false" customHeight="true" outlineLevel="0" collapsed="false">
      <c r="B11" s="106" t="s">
        <v>9429</v>
      </c>
      <c r="C11" s="106"/>
      <c r="D11" s="106"/>
      <c r="E11" s="106"/>
      <c r="F11" s="106"/>
      <c r="G11" s="106"/>
    </row>
    <row r="12" customFormat="false" ht="15.75" hidden="false" customHeight="true" outlineLevel="0" collapsed="false">
      <c r="B12" s="106"/>
      <c r="C12" s="106"/>
      <c r="D12" s="106"/>
      <c r="E12" s="106"/>
      <c r="F12" s="106"/>
      <c r="G12" s="106"/>
    </row>
    <row r="13" customFormat="false" ht="16.5" hidden="false" customHeight="true" outlineLevel="0" collapsed="false">
      <c r="B13" s="122" t="s">
        <v>9430</v>
      </c>
    </row>
    <row r="14" customFormat="false" ht="10.5" hidden="false" customHeight="true" outlineLevel="0" collapsed="false">
      <c r="B14" s="106" t="s">
        <v>9431</v>
      </c>
      <c r="C14" s="106"/>
      <c r="D14" s="106"/>
      <c r="E14" s="106"/>
      <c r="F14" s="106"/>
      <c r="G14" s="106"/>
    </row>
    <row r="15" customFormat="false" ht="10.5" hidden="false" customHeight="true" outlineLevel="0" collapsed="false">
      <c r="B15" s="106"/>
      <c r="C15" s="106"/>
      <c r="D15" s="106"/>
      <c r="E15" s="106"/>
      <c r="F15" s="106"/>
      <c r="G15" s="106"/>
    </row>
    <row r="16" customFormat="false" ht="10.5" hidden="false" customHeight="true" outlineLevel="0" collapsed="false">
      <c r="B16" s="106"/>
      <c r="C16" s="106"/>
      <c r="D16" s="106"/>
      <c r="E16" s="106"/>
      <c r="F16" s="106"/>
      <c r="G16" s="106"/>
    </row>
    <row r="17" customFormat="false" ht="10.5" hidden="false" customHeight="true" outlineLevel="0" collapsed="false">
      <c r="B17" s="106" t="s">
        <v>9432</v>
      </c>
      <c r="C17" s="106"/>
      <c r="D17" s="106"/>
      <c r="E17" s="106"/>
      <c r="F17" s="106"/>
      <c r="G17" s="106"/>
    </row>
    <row r="18" customFormat="false" ht="10.5" hidden="false" customHeight="true" outlineLevel="0" collapsed="false">
      <c r="B18" s="106"/>
      <c r="C18" s="106"/>
      <c r="D18" s="106"/>
      <c r="E18" s="106"/>
      <c r="F18" s="106"/>
      <c r="G18" s="106"/>
    </row>
    <row r="19" customFormat="false" ht="10.5" hidden="false" customHeight="true" outlineLevel="0" collapsed="false">
      <c r="B19" s="106"/>
      <c r="C19" s="106"/>
      <c r="D19" s="106"/>
      <c r="E19" s="106"/>
      <c r="F19" s="106"/>
      <c r="G19" s="106"/>
    </row>
    <row r="20" customFormat="false" ht="10.5" hidden="false" customHeight="true" outlineLevel="0" collapsed="false">
      <c r="B20" s="106" t="s">
        <v>9433</v>
      </c>
      <c r="C20" s="106"/>
      <c r="D20" s="106"/>
      <c r="E20" s="106"/>
      <c r="F20" s="106"/>
      <c r="G20" s="106"/>
    </row>
    <row r="21" customFormat="false" ht="10.5" hidden="false" customHeight="true" outlineLevel="0" collapsed="false">
      <c r="B21" s="106"/>
      <c r="C21" s="106"/>
      <c r="D21" s="106"/>
      <c r="E21" s="106"/>
      <c r="F21" s="106"/>
      <c r="G21" s="106"/>
    </row>
    <row r="22" customFormat="false" ht="10.5" hidden="false" customHeight="true" outlineLevel="0" collapsed="false">
      <c r="B22" s="106"/>
      <c r="C22" s="106"/>
      <c r="D22" s="106"/>
      <c r="E22" s="106"/>
      <c r="F22" s="106"/>
      <c r="G22" s="106"/>
    </row>
    <row r="23" customFormat="false" ht="15.75" hidden="false" customHeight="true" outlineLevel="0" collapsed="false">
      <c r="B23" s="106" t="s">
        <v>9434</v>
      </c>
      <c r="C23" s="106"/>
      <c r="D23" s="106"/>
      <c r="E23" s="106"/>
      <c r="F23" s="106"/>
      <c r="G23" s="106"/>
    </row>
    <row r="24" customFormat="false" ht="15.75" hidden="false" customHeight="true" outlineLevel="0" collapsed="false">
      <c r="B24" s="106"/>
      <c r="C24" s="106"/>
      <c r="D24" s="106"/>
      <c r="E24" s="106"/>
      <c r="F24" s="106"/>
      <c r="G24" s="106"/>
    </row>
    <row r="26" customFormat="false" ht="15.75" hidden="false" customHeight="true" outlineLevel="0" collapsed="false">
      <c r="B26" s="103" t="s">
        <v>1406</v>
      </c>
      <c r="C26" s="8"/>
      <c r="D26" s="8"/>
      <c r="E26" s="8"/>
      <c r="F26" s="8"/>
      <c r="G26" s="8"/>
      <c r="H26" s="8"/>
      <c r="I26" s="8"/>
      <c r="J26" s="8"/>
      <c r="K26" s="8"/>
    </row>
    <row r="27" customFormat="false" ht="17.25" hidden="false" customHeight="true" outlineLevel="0" collapsed="false">
      <c r="B27" s="107" t="s">
        <v>1407</v>
      </c>
      <c r="C27" s="107"/>
      <c r="D27" s="107"/>
      <c r="E27" s="107" t="s">
        <v>1408</v>
      </c>
      <c r="F27" s="107"/>
    </row>
    <row r="28" customFormat="false" ht="31.5" hidden="false" customHeight="true" outlineLevel="0" collapsed="false">
      <c r="B28" s="106" t="s">
        <v>9435</v>
      </c>
      <c r="C28" s="106"/>
      <c r="D28" s="106"/>
      <c r="E28" s="106" t="s">
        <v>9436</v>
      </c>
      <c r="F28" s="106"/>
    </row>
    <row r="29" customFormat="false" ht="31.5" hidden="false" customHeight="true" outlineLevel="0" collapsed="false">
      <c r="B29" s="106" t="s">
        <v>9437</v>
      </c>
      <c r="C29" s="106"/>
      <c r="D29" s="106"/>
      <c r="E29" s="106" t="s">
        <v>9438</v>
      </c>
      <c r="F29" s="106"/>
    </row>
    <row r="30" customFormat="false" ht="31.5" hidden="false" customHeight="true" outlineLevel="0" collapsed="false">
      <c r="B30" s="106" t="s">
        <v>9439</v>
      </c>
      <c r="C30" s="106"/>
      <c r="D30" s="106"/>
      <c r="E30" s="106" t="s">
        <v>9440</v>
      </c>
      <c r="F30" s="106"/>
    </row>
    <row r="31" customFormat="false" ht="17.25" hidden="false" customHeight="true" outlineLevel="0" collapsed="false">
      <c r="B31" s="106" t="s">
        <v>9441</v>
      </c>
      <c r="C31" s="106"/>
      <c r="D31" s="106"/>
      <c r="E31" s="106"/>
      <c r="F31" s="106"/>
      <c r="G31" s="106"/>
    </row>
    <row r="33" customFormat="false" ht="30.75" hidden="false" customHeight="true" outlineLevel="0" collapsed="false">
      <c r="B33" s="152" t="s">
        <v>6621</v>
      </c>
      <c r="C33" s="152" t="s">
        <v>1417</v>
      </c>
      <c r="D33" s="152" t="s">
        <v>1418</v>
      </c>
      <c r="E33" s="152" t="s">
        <v>1419</v>
      </c>
    </row>
    <row r="34" customFormat="false" ht="72" hidden="false" customHeight="true" outlineLevel="0" collapsed="false">
      <c r="B34" s="15" t="s">
        <v>9442</v>
      </c>
      <c r="C34" s="15" t="s">
        <v>9443</v>
      </c>
      <c r="D34" s="15" t="s">
        <v>9444</v>
      </c>
      <c r="E34" s="153" t="s">
        <v>7697</v>
      </c>
    </row>
    <row r="35" customFormat="false" ht="58.5" hidden="false" customHeight="true" outlineLevel="0" collapsed="false">
      <c r="B35" s="15" t="s">
        <v>9445</v>
      </c>
      <c r="C35" s="15" t="s">
        <v>9446</v>
      </c>
      <c r="D35" s="15" t="s">
        <v>9447</v>
      </c>
      <c r="E35" s="153" t="s">
        <v>9448</v>
      </c>
    </row>
    <row r="36" customFormat="false" ht="72" hidden="false" customHeight="true" outlineLevel="0" collapsed="false">
      <c r="B36" s="15" t="s">
        <v>9449</v>
      </c>
      <c r="C36" s="15" t="s">
        <v>9450</v>
      </c>
      <c r="D36" s="15" t="s">
        <v>9451</v>
      </c>
      <c r="E36" s="153" t="s">
        <v>7921</v>
      </c>
    </row>
    <row r="37" customFormat="false" ht="44.25" hidden="false" customHeight="true" outlineLevel="0" collapsed="false">
      <c r="B37" s="15" t="s">
        <v>9452</v>
      </c>
      <c r="C37" s="15" t="s">
        <v>9453</v>
      </c>
      <c r="D37" s="15" t="s">
        <v>9454</v>
      </c>
      <c r="E37" s="153" t="s">
        <v>9455</v>
      </c>
    </row>
    <row r="39" customFormat="false" ht="15.75" hidden="false" customHeight="true" outlineLevel="0" collapsed="false">
      <c r="B39" s="103" t="s">
        <v>1429</v>
      </c>
      <c r="C39" s="8"/>
      <c r="D39" s="8"/>
      <c r="E39" s="8"/>
      <c r="F39" s="8"/>
      <c r="G39" s="8"/>
      <c r="H39" s="8"/>
      <c r="I39" s="8"/>
      <c r="J39" s="8"/>
      <c r="K39" s="8"/>
    </row>
    <row r="40" customFormat="false" ht="11.25" hidden="false" customHeight="true" outlineLevel="0" collapsed="false">
      <c r="B40" s="106" t="s">
        <v>9456</v>
      </c>
      <c r="C40" s="106"/>
      <c r="D40" s="106"/>
      <c r="E40" s="106"/>
      <c r="F40" s="106"/>
      <c r="G40" s="106"/>
    </row>
    <row r="41" customFormat="false" ht="11.25" hidden="false" customHeight="true" outlineLevel="0" collapsed="false">
      <c r="B41" s="106"/>
      <c r="C41" s="106"/>
      <c r="D41" s="106"/>
      <c r="E41" s="106"/>
      <c r="F41" s="106"/>
      <c r="G41" s="106"/>
    </row>
    <row r="42" customFormat="false" ht="11.25" hidden="false" customHeight="true" outlineLevel="0" collapsed="false">
      <c r="B42" s="106"/>
      <c r="C42" s="106"/>
      <c r="D42" s="106"/>
      <c r="E42" s="106"/>
      <c r="F42" s="106"/>
      <c r="G42" s="106"/>
    </row>
    <row r="43" customFormat="false" ht="11.25" hidden="false" customHeight="true" outlineLevel="0" collapsed="false">
      <c r="B43" s="106"/>
      <c r="C43" s="106"/>
      <c r="D43" s="106"/>
      <c r="E43" s="106"/>
      <c r="F43" s="106"/>
      <c r="G43" s="106"/>
    </row>
    <row r="44" customFormat="false" ht="15" hidden="false" customHeight="true" outlineLevel="0" collapsed="false">
      <c r="B44" s="122"/>
    </row>
    <row r="45" customFormat="false" ht="17.25" hidden="false" customHeight="true" outlineLevel="0" collapsed="false">
      <c r="B45" s="106" t="s">
        <v>9457</v>
      </c>
      <c r="C45" s="106"/>
      <c r="D45" s="106"/>
      <c r="E45" s="106"/>
      <c r="F45" s="106"/>
      <c r="G45" s="106"/>
    </row>
    <row r="46" customFormat="false" ht="15" hidden="false" customHeight="true" outlineLevel="0" collapsed="false">
      <c r="B46" s="122"/>
    </row>
    <row r="47" customFormat="false" ht="15.75" hidden="false" customHeight="true" outlineLevel="0" collapsed="false">
      <c r="B47" s="106" t="s">
        <v>9458</v>
      </c>
      <c r="C47" s="106"/>
      <c r="D47" s="106"/>
      <c r="E47" s="106"/>
      <c r="F47" s="106"/>
      <c r="G47" s="106"/>
    </row>
    <row r="48" customFormat="false" ht="15.75" hidden="false" customHeight="true" outlineLevel="0" collapsed="false">
      <c r="B48" s="106"/>
      <c r="C48" s="106"/>
      <c r="D48" s="106"/>
      <c r="E48" s="106"/>
      <c r="F48" s="106"/>
      <c r="G48" s="106"/>
    </row>
    <row r="49" customFormat="false" ht="15" hidden="false" customHeight="true" outlineLevel="0" collapsed="false">
      <c r="B49" s="122"/>
    </row>
    <row r="50" customFormat="false" ht="17.25" hidden="false" customHeight="true" outlineLevel="0" collapsed="false">
      <c r="B50" s="106" t="s">
        <v>9459</v>
      </c>
      <c r="C50" s="106"/>
      <c r="D50" s="106"/>
      <c r="E50" s="106"/>
      <c r="F50" s="106"/>
      <c r="G50" s="106"/>
    </row>
    <row r="52" customFormat="false" ht="15.75" hidden="false" customHeight="true" outlineLevel="0" collapsed="false">
      <c r="B52" s="103" t="s">
        <v>1437</v>
      </c>
      <c r="C52" s="8"/>
      <c r="D52" s="8"/>
      <c r="E52" s="8"/>
      <c r="F52" s="8"/>
      <c r="G52" s="8"/>
      <c r="H52" s="8"/>
      <c r="I52" s="8"/>
      <c r="J52" s="8"/>
      <c r="K52" s="8"/>
    </row>
    <row r="53" customFormat="false" ht="17.25" hidden="false" customHeight="true" outlineLevel="0" collapsed="false">
      <c r="B53" s="152" t="s">
        <v>1438</v>
      </c>
      <c r="C53" s="152" t="s">
        <v>1439</v>
      </c>
      <c r="D53" s="152" t="s">
        <v>1440</v>
      </c>
      <c r="E53" s="152"/>
    </row>
    <row r="54" customFormat="false" ht="44.25" hidden="false" customHeight="true" outlineLevel="0" collapsed="false">
      <c r="B54" s="15" t="s">
        <v>3248</v>
      </c>
      <c r="C54" s="15" t="s">
        <v>9460</v>
      </c>
      <c r="D54" s="15" t="s">
        <v>9461</v>
      </c>
      <c r="E54" s="15"/>
    </row>
    <row r="55" customFormat="false" ht="17.25" hidden="false" customHeight="true" outlineLevel="0" collapsed="false">
      <c r="B55" s="15" t="s">
        <v>2321</v>
      </c>
      <c r="C55" s="15" t="s">
        <v>9462</v>
      </c>
      <c r="D55" s="15" t="s">
        <v>9463</v>
      </c>
      <c r="E55" s="15"/>
    </row>
    <row r="56" customFormat="false" ht="17.25" hidden="false" customHeight="true" outlineLevel="0" collapsed="false">
      <c r="B56" s="15" t="s">
        <v>9464</v>
      </c>
      <c r="C56" s="15" t="s">
        <v>9465</v>
      </c>
      <c r="D56" s="15" t="s">
        <v>9466</v>
      </c>
      <c r="E56" s="15"/>
    </row>
    <row r="57" customFormat="false" ht="17.25" hidden="false" customHeight="true" outlineLevel="0" collapsed="false">
      <c r="B57" s="15" t="s">
        <v>1839</v>
      </c>
      <c r="C57" s="15" t="s">
        <v>6647</v>
      </c>
      <c r="D57" s="15" t="s">
        <v>9467</v>
      </c>
      <c r="E57" s="15"/>
    </row>
    <row r="59" customFormat="false" ht="15.75" hidden="false" customHeight="true" outlineLevel="0" collapsed="false">
      <c r="B59" s="103" t="s">
        <v>1454</v>
      </c>
      <c r="C59" s="8"/>
      <c r="D59" s="8"/>
      <c r="E59" s="8"/>
      <c r="F59" s="8"/>
      <c r="G59" s="8"/>
      <c r="H59" s="8"/>
      <c r="I59" s="8"/>
      <c r="J59" s="8"/>
      <c r="K59" s="8"/>
    </row>
    <row r="60" customFormat="false" ht="10.5" hidden="false" customHeight="true" outlineLevel="0" collapsed="false">
      <c r="B60" s="106" t="s">
        <v>9468</v>
      </c>
      <c r="C60" s="106"/>
      <c r="D60" s="106"/>
      <c r="E60" s="106"/>
      <c r="F60" s="106"/>
      <c r="G60" s="106"/>
    </row>
    <row r="61" customFormat="false" ht="10.5" hidden="false" customHeight="true" outlineLevel="0" collapsed="false">
      <c r="B61" s="106"/>
      <c r="C61" s="106"/>
      <c r="D61" s="106"/>
      <c r="E61" s="106"/>
      <c r="F61" s="106"/>
      <c r="G61" s="106"/>
    </row>
    <row r="62" customFormat="false" ht="10.5" hidden="false" customHeight="true" outlineLevel="0" collapsed="false">
      <c r="B62" s="106"/>
      <c r="C62" s="106"/>
      <c r="D62" s="106"/>
      <c r="E62" s="106"/>
      <c r="F62" s="106"/>
      <c r="G62" s="106"/>
    </row>
    <row r="63" customFormat="false" ht="15" hidden="false" customHeight="true" outlineLevel="0" collapsed="false">
      <c r="B63" s="112" t="s">
        <v>85</v>
      </c>
      <c r="C63" s="154" t="s">
        <v>86</v>
      </c>
    </row>
    <row r="65" customFormat="false" ht="17.25" hidden="false" customHeight="true" outlineLevel="0" collapsed="false">
      <c r="B65" s="107" t="s">
        <v>9469</v>
      </c>
      <c r="C65" s="107"/>
      <c r="D65" s="107"/>
      <c r="E65" s="107"/>
      <c r="F65" s="107"/>
      <c r="G65" s="107"/>
    </row>
    <row r="66" customFormat="false" ht="17.25" hidden="false" customHeight="true" outlineLevel="0" collapsed="false">
      <c r="B66" s="152" t="s">
        <v>8249</v>
      </c>
      <c r="C66" s="152" t="s">
        <v>29</v>
      </c>
      <c r="D66" s="152"/>
      <c r="E66" s="152"/>
    </row>
    <row r="67" customFormat="false" ht="31.5" hidden="false" customHeight="true" outlineLevel="0" collapsed="false">
      <c r="B67" s="15" t="s">
        <v>620</v>
      </c>
      <c r="C67" s="177" t="s">
        <v>9470</v>
      </c>
      <c r="D67" s="177"/>
      <c r="E67" s="177"/>
    </row>
    <row r="68" customFormat="false" ht="17.25" hidden="false" customHeight="true" outlineLevel="0" collapsed="false">
      <c r="B68" s="15" t="s">
        <v>9471</v>
      </c>
      <c r="C68" s="177" t="s">
        <v>9472</v>
      </c>
      <c r="D68" s="177"/>
      <c r="E68" s="177"/>
    </row>
    <row r="69" customFormat="false" ht="17.25" hidden="false" customHeight="true" outlineLevel="0" collapsed="false">
      <c r="B69" s="15" t="s">
        <v>9473</v>
      </c>
      <c r="C69" s="177" t="s">
        <v>9474</v>
      </c>
      <c r="D69" s="177"/>
      <c r="E69" s="177"/>
    </row>
    <row r="70" customFormat="false" ht="31.5" hidden="false" customHeight="true" outlineLevel="0" collapsed="false">
      <c r="B70" s="15" t="s">
        <v>9475</v>
      </c>
      <c r="C70" s="177" t="s">
        <v>9476</v>
      </c>
      <c r="D70" s="177"/>
      <c r="E70" s="177"/>
    </row>
    <row r="71" customFormat="false" ht="31.5" hidden="false" customHeight="true" outlineLevel="0" collapsed="false">
      <c r="B71" s="15" t="s">
        <v>9477</v>
      </c>
      <c r="C71" s="177" t="s">
        <v>9478</v>
      </c>
      <c r="D71" s="177"/>
      <c r="E71" s="177"/>
    </row>
    <row r="73" customFormat="false" ht="17.25" hidden="false" customHeight="true" outlineLevel="0" collapsed="false">
      <c r="B73" s="107" t="s">
        <v>9479</v>
      </c>
      <c r="C73" s="107"/>
      <c r="D73" s="107"/>
      <c r="E73" s="107"/>
      <c r="F73" s="107"/>
      <c r="G73" s="107"/>
    </row>
    <row r="74" customFormat="false" ht="17.25" hidden="false" customHeight="true" outlineLevel="0" collapsed="false">
      <c r="B74" s="152" t="s">
        <v>8249</v>
      </c>
      <c r="C74" s="152" t="s">
        <v>29</v>
      </c>
      <c r="D74" s="152"/>
    </row>
    <row r="75" customFormat="false" ht="31.5" hidden="false" customHeight="true" outlineLevel="0" collapsed="false">
      <c r="B75" s="15" t="s">
        <v>9480</v>
      </c>
      <c r="C75" s="177" t="s">
        <v>9481</v>
      </c>
      <c r="D75" s="177"/>
    </row>
    <row r="76" customFormat="false" ht="17.25" hidden="false" customHeight="true" outlineLevel="0" collapsed="false">
      <c r="B76" s="15" t="s">
        <v>9482</v>
      </c>
      <c r="C76" s="177" t="s">
        <v>9483</v>
      </c>
      <c r="D76" s="177"/>
    </row>
    <row r="77" customFormat="false" ht="17.25" hidden="false" customHeight="true" outlineLevel="0" collapsed="false">
      <c r="B77" s="15" t="s">
        <v>1456</v>
      </c>
      <c r="C77" s="177" t="s">
        <v>9484</v>
      </c>
      <c r="D77" s="177"/>
    </row>
    <row r="78" customFormat="false" ht="31.5" hidden="false" customHeight="true" outlineLevel="0" collapsed="false">
      <c r="B78" s="15" t="s">
        <v>9485</v>
      </c>
      <c r="C78" s="177" t="s">
        <v>9486</v>
      </c>
      <c r="D78" s="177"/>
    </row>
    <row r="80" customFormat="false" ht="17.25" hidden="false" customHeight="true" outlineLevel="0" collapsed="false">
      <c r="B80" s="107" t="s">
        <v>9487</v>
      </c>
      <c r="C80" s="107"/>
      <c r="D80" s="107"/>
      <c r="E80" s="107"/>
      <c r="F80" s="107"/>
      <c r="G80" s="107"/>
    </row>
    <row r="81" customFormat="false" ht="17.25" hidden="false" customHeight="true" outlineLevel="0" collapsed="false">
      <c r="B81" s="152" t="s">
        <v>9488</v>
      </c>
      <c r="C81" s="152" t="s">
        <v>8042</v>
      </c>
      <c r="D81" s="152" t="s">
        <v>9489</v>
      </c>
      <c r="E81" s="152" t="s">
        <v>9490</v>
      </c>
      <c r="F81" s="152" t="s">
        <v>9491</v>
      </c>
      <c r="G81" s="152" t="s">
        <v>3007</v>
      </c>
      <c r="H81" s="152" t="s">
        <v>9492</v>
      </c>
      <c r="I81" s="152"/>
    </row>
    <row r="82" customFormat="false" ht="30.75" hidden="false" customHeight="true" outlineLevel="0" collapsed="false">
      <c r="B82" s="15" t="s">
        <v>9493</v>
      </c>
      <c r="C82" s="156" t="n">
        <v>1.82</v>
      </c>
      <c r="D82" s="156" t="n">
        <v>0.94</v>
      </c>
      <c r="E82" s="174" t="n">
        <f aca="false">D82-C82</f>
        <v>-0.88</v>
      </c>
      <c r="F82" s="15" t="s">
        <v>9494</v>
      </c>
      <c r="G82" s="190" t="n">
        <v>0.0004</v>
      </c>
      <c r="H82" s="167" t="str">
        <f aca="false">IF(G82&lt;0.05,"Significant improvement","No evidence of a difference")</f>
        <v>Significant improvement</v>
      </c>
      <c r="I82" s="167"/>
    </row>
    <row r="83" customFormat="false" ht="30.75" hidden="false" customHeight="true" outlineLevel="0" collapsed="false">
      <c r="B83" s="15" t="s">
        <v>9495</v>
      </c>
      <c r="C83" s="156" t="n">
        <v>0.61</v>
      </c>
      <c r="D83" s="156" t="n">
        <v>0.33</v>
      </c>
      <c r="E83" s="174" t="n">
        <f aca="false">D83-C83</f>
        <v>-0.28</v>
      </c>
      <c r="F83" s="15" t="s">
        <v>9496</v>
      </c>
      <c r="G83" s="190" t="n">
        <v>0.0021</v>
      </c>
      <c r="H83" s="167" t="str">
        <f aca="false">IF(G83&lt;0.05,"Significant reduction in variation","No evidence of a difference")</f>
        <v>Significant reduction in variation</v>
      </c>
      <c r="I83" s="167"/>
    </row>
    <row r="84" customFormat="false" ht="30.75" hidden="false" customHeight="true" outlineLevel="0" collapsed="false">
      <c r="B84" s="15" t="s">
        <v>9497</v>
      </c>
      <c r="C84" s="191" t="n">
        <v>0.021</v>
      </c>
      <c r="D84" s="191" t="n">
        <v>0.004</v>
      </c>
      <c r="E84" s="160" t="n">
        <f aca="false">D84-C84</f>
        <v>-0.017</v>
      </c>
      <c r="F84" s="15" t="s">
        <v>9498</v>
      </c>
      <c r="G84" s="190" t="n">
        <v>0.0008</v>
      </c>
      <c r="H84" s="167" t="str">
        <f aca="false">IF(G84&lt;0.05,"Significant reduction","No evidence of a difference")</f>
        <v>Significant reduction</v>
      </c>
      <c r="I84" s="167"/>
    </row>
    <row r="86" customFormat="false" ht="17.25" hidden="false" customHeight="true" outlineLevel="0" collapsed="false">
      <c r="B86" s="152" t="s">
        <v>9499</v>
      </c>
      <c r="C86" s="152" t="s">
        <v>6654</v>
      </c>
      <c r="D86" s="152" t="s">
        <v>88</v>
      </c>
      <c r="E86" s="152"/>
    </row>
    <row r="87" customFormat="false" ht="17.25" hidden="false" customHeight="true" outlineLevel="0" collapsed="false">
      <c r="B87" s="15" t="s">
        <v>9210</v>
      </c>
      <c r="C87" s="167" t="str">
        <f aca="false">IF(D82&lt;1,"YES — mean below 1.00 mm","NO — mean still above 1.00 mm")</f>
        <v>YES — mean below 1.00 mm</v>
      </c>
      <c r="D87" s="15" t="s">
        <v>9500</v>
      </c>
      <c r="E87" s="15"/>
    </row>
    <row r="88" customFormat="false" ht="17.25" hidden="false" customHeight="true" outlineLevel="0" collapsed="false">
      <c r="B88" s="15" t="s">
        <v>9264</v>
      </c>
      <c r="C88" s="184" t="n">
        <f aca="false">IFERROR((C82-D82)/(C82-1),0)</f>
        <v>1.07317073170732</v>
      </c>
      <c r="D88" s="15" t="s">
        <v>9501</v>
      </c>
      <c r="E88" s="15"/>
    </row>
    <row r="89" customFormat="false" ht="17.25" hidden="false" customHeight="true" outlineLevel="0" collapsed="false">
      <c r="B89" s="15" t="s">
        <v>9502</v>
      </c>
      <c r="C89" s="161" t="n">
        <f aca="false">COUNTIF(H82:H84,"Significant*")</f>
        <v>3</v>
      </c>
      <c r="D89" s="15" t="s">
        <v>9503</v>
      </c>
      <c r="E89" s="15"/>
    </row>
    <row r="90" customFormat="false" ht="30.75" hidden="false" customHeight="true" outlineLevel="0" collapsed="false">
      <c r="B90" s="15" t="s">
        <v>9504</v>
      </c>
      <c r="C90" s="167" t="str">
        <f aca="false">IF(AND(G82&lt;0.05,D82&lt;C82),"YES — the glue temperature theory is supported","NO — look for another cause (H-10)")</f>
        <v>YES — the glue temperature theory is supported</v>
      </c>
      <c r="D90" s="15" t="s">
        <v>9505</v>
      </c>
      <c r="E90" s="15"/>
    </row>
    <row r="92" customFormat="false" ht="15" hidden="false" customHeight="true" outlineLevel="0" collapsed="false">
      <c r="B92" s="105" t="s">
        <v>9506</v>
      </c>
    </row>
    <row r="93" customFormat="false" ht="17.25" hidden="false" customHeight="true" outlineLevel="0" collapsed="false">
      <c r="B93" s="152" t="s">
        <v>3008</v>
      </c>
      <c r="C93" s="152" t="s">
        <v>9507</v>
      </c>
      <c r="D93" s="152" t="s">
        <v>7998</v>
      </c>
      <c r="E93" s="152" t="s">
        <v>9508</v>
      </c>
      <c r="F93" s="152"/>
    </row>
    <row r="94" customFormat="false" ht="58.5" hidden="false" customHeight="true" outlineLevel="0" collapsed="false">
      <c r="B94" s="15" t="s">
        <v>9509</v>
      </c>
      <c r="C94" s="155" t="n">
        <v>1</v>
      </c>
      <c r="D94" s="15" t="s">
        <v>9510</v>
      </c>
      <c r="E94" s="177" t="s">
        <v>9511</v>
      </c>
      <c r="F94" s="177"/>
    </row>
    <row r="95" customFormat="false" ht="44.25" hidden="false" customHeight="true" outlineLevel="0" collapsed="false">
      <c r="B95" s="15" t="s">
        <v>9512</v>
      </c>
      <c r="C95" s="155" t="n">
        <v>0</v>
      </c>
      <c r="D95" s="15" t="s">
        <v>9513</v>
      </c>
      <c r="E95" s="177"/>
      <c r="F95" s="177"/>
    </row>
    <row r="96" customFormat="false" ht="44.25" hidden="false" customHeight="true" outlineLevel="0" collapsed="false">
      <c r="B96" s="15" t="s">
        <v>9514</v>
      </c>
      <c r="C96" s="155" t="n">
        <v>0</v>
      </c>
      <c r="D96" s="15" t="s">
        <v>9515</v>
      </c>
      <c r="E96" s="177"/>
      <c r="F96" s="177"/>
    </row>
    <row r="98" customFormat="false" ht="17.25" hidden="false" customHeight="true" outlineLevel="0" collapsed="false">
      <c r="B98" s="107" t="s">
        <v>9516</v>
      </c>
      <c r="C98" s="107"/>
      <c r="D98" s="107"/>
      <c r="E98" s="107"/>
      <c r="F98" s="107"/>
      <c r="G98" s="107"/>
    </row>
    <row r="99" customFormat="false" ht="16.5" hidden="false" customHeight="true" outlineLevel="0" collapsed="false">
      <c r="B99" s="152" t="s">
        <v>9517</v>
      </c>
      <c r="C99" s="152" t="s">
        <v>9518</v>
      </c>
      <c r="D99" s="152" t="s">
        <v>6690</v>
      </c>
      <c r="E99" s="152" t="s">
        <v>3008</v>
      </c>
      <c r="F99" s="152" t="s">
        <v>9519</v>
      </c>
    </row>
    <row r="100" customFormat="false" ht="30.75" hidden="false" customHeight="true" outlineLevel="0" collapsed="false">
      <c r="B100" s="15" t="s">
        <v>34</v>
      </c>
      <c r="C100" s="177" t="s">
        <v>9520</v>
      </c>
      <c r="D100" s="177" t="s">
        <v>9521</v>
      </c>
      <c r="E100" s="177" t="s">
        <v>9522</v>
      </c>
      <c r="F100" s="180" t="n">
        <v>46185</v>
      </c>
    </row>
    <row r="101" customFormat="false" ht="44.25" hidden="false" customHeight="true" outlineLevel="0" collapsed="false">
      <c r="B101" s="15" t="s">
        <v>6922</v>
      </c>
      <c r="C101" s="177" t="s">
        <v>9523</v>
      </c>
      <c r="D101" s="177" t="s">
        <v>9524</v>
      </c>
      <c r="E101" s="177" t="s">
        <v>9525</v>
      </c>
      <c r="F101" s="180" t="n">
        <v>46203</v>
      </c>
    </row>
    <row r="102" customFormat="false" ht="30.75" hidden="false" customHeight="true" outlineLevel="0" collapsed="false">
      <c r="B102" s="15" t="s">
        <v>6926</v>
      </c>
      <c r="C102" s="177" t="s">
        <v>9526</v>
      </c>
      <c r="D102" s="177" t="s">
        <v>9527</v>
      </c>
      <c r="E102" s="177" t="s">
        <v>9528</v>
      </c>
      <c r="F102" s="180" t="n">
        <v>46227</v>
      </c>
    </row>
    <row r="104" customFormat="false" ht="31.5" hidden="false" customHeight="true" outlineLevel="0" collapsed="false">
      <c r="B104" s="162" t="s">
        <v>9529</v>
      </c>
      <c r="C104" s="185" t="n">
        <f aca="false">COUNTA(B100:B102)</f>
        <v>3</v>
      </c>
      <c r="D104" s="15" t="s">
        <v>9530</v>
      </c>
      <c r="E104" s="15"/>
      <c r="F104" s="15"/>
      <c r="G104" s="15"/>
    </row>
    <row r="106" customFormat="false" ht="15.75" hidden="false" customHeight="true" outlineLevel="0" collapsed="false">
      <c r="B106" s="103" t="s">
        <v>1493</v>
      </c>
      <c r="C106" s="8"/>
      <c r="D106" s="8"/>
      <c r="E106" s="8"/>
      <c r="F106" s="8"/>
      <c r="G106" s="8"/>
      <c r="H106" s="8"/>
      <c r="I106" s="8"/>
      <c r="J106" s="8"/>
      <c r="K106" s="8"/>
    </row>
    <row r="107" customFormat="false" ht="49.5" hidden="false" customHeight="true" outlineLevel="0" collapsed="false">
      <c r="B107" s="105" t="s">
        <v>1494</v>
      </c>
      <c r="C107" s="168" t="str">
        <f aca="false">"Cycle 3 moved the mean from "&amp;TEXT(C82,"0.00")&amp;" mm to "&amp;TEXT(D82,"0.00")&amp;" mm (p = "&amp;TEXT(G82,"0.0000")&amp;"), closing "&amp;TEXT(C88,"0%")&amp;" of the gap to target. "&amp;C90&amp;" "&amp;IF(C94=1,"Decision: ADOPT — the change is only real once it is written into standard work (L-14) and the control plan (H-16), and confirmed to hold for four more weeks.",IF(C95=1,"Decision: ADAPT — change one variable and run cycle 4.","Decision: ABANDON — return to root-cause analysis (H-10, H-11) before testing anything else."))</f>
        <v>Cycle 3 moved the mean from 1.82 mm to 0.94 mm (p = 0.0004), closing 107% of the gap to target. YES — the glue temperature theory is supported Decision: ADOPT — the change is only real once it is written into standard work (L-14) and the control plan (H-16), and confirmed to hold for four more weeks.</v>
      </c>
      <c r="D107" s="168"/>
      <c r="E107" s="168"/>
      <c r="F107" s="168"/>
      <c r="G107" s="168"/>
    </row>
    <row r="109" customFormat="false" ht="17.25" hidden="false" customHeight="true" outlineLevel="0" collapsed="false">
      <c r="B109" s="152" t="s">
        <v>1495</v>
      </c>
      <c r="C109" s="152" t="s">
        <v>1496</v>
      </c>
      <c r="D109" s="152" t="s">
        <v>1497</v>
      </c>
      <c r="E109" s="152"/>
      <c r="F109" s="152"/>
    </row>
    <row r="110" customFormat="false" ht="30.75" hidden="false" customHeight="true" outlineLevel="0" collapsed="false">
      <c r="B110" s="15" t="s">
        <v>9531</v>
      </c>
      <c r="C110" s="15" t="s">
        <v>9532</v>
      </c>
      <c r="D110" s="15" t="s">
        <v>9533</v>
      </c>
      <c r="E110" s="15"/>
      <c r="F110" s="15"/>
    </row>
    <row r="111" customFormat="false" ht="17.25" hidden="false" customHeight="true" outlineLevel="0" collapsed="false">
      <c r="B111" s="15" t="s">
        <v>9264</v>
      </c>
      <c r="C111" s="15" t="s">
        <v>9534</v>
      </c>
      <c r="D111" s="15" t="s">
        <v>9535</v>
      </c>
      <c r="E111" s="15"/>
      <c r="F111" s="15"/>
    </row>
    <row r="112" customFormat="false" ht="17.25" hidden="false" customHeight="true" outlineLevel="0" collapsed="false">
      <c r="B112" s="15" t="s">
        <v>9536</v>
      </c>
      <c r="C112" s="15" t="s">
        <v>9537</v>
      </c>
      <c r="D112" s="15" t="s">
        <v>9538</v>
      </c>
      <c r="E112" s="15"/>
      <c r="F112" s="15"/>
    </row>
    <row r="113" customFormat="false" ht="17.25" hidden="false" customHeight="true" outlineLevel="0" collapsed="false">
      <c r="B113" s="15" t="s">
        <v>9539</v>
      </c>
      <c r="C113" s="15" t="s">
        <v>9540</v>
      </c>
      <c r="D113" s="15" t="s">
        <v>9541</v>
      </c>
      <c r="E113" s="15"/>
      <c r="F113" s="15"/>
    </row>
    <row r="115" customFormat="false" ht="15" hidden="false" customHeight="true" outlineLevel="0" collapsed="false">
      <c r="B115" s="105" t="s">
        <v>1507</v>
      </c>
    </row>
    <row r="116" customFormat="false" ht="17.25" hidden="false" customHeight="true" outlineLevel="0" collapsed="false">
      <c r="B116" s="106" t="s">
        <v>9542</v>
      </c>
      <c r="C116" s="106"/>
      <c r="D116" s="106"/>
      <c r="E116" s="106"/>
      <c r="F116" s="106"/>
      <c r="G116" s="106"/>
    </row>
    <row r="117" customFormat="false" ht="17.25" hidden="false" customHeight="true" outlineLevel="0" collapsed="false">
      <c r="B117" s="106" t="s">
        <v>9543</v>
      </c>
      <c r="C117" s="106"/>
      <c r="D117" s="106"/>
      <c r="E117" s="106"/>
      <c r="F117" s="106"/>
      <c r="G117" s="106"/>
    </row>
    <row r="118" customFormat="false" ht="17.25" hidden="false" customHeight="true" outlineLevel="0" collapsed="false">
      <c r="B118" s="106" t="s">
        <v>9544</v>
      </c>
      <c r="C118" s="106"/>
      <c r="D118" s="106"/>
      <c r="E118" s="106"/>
      <c r="F118" s="106"/>
      <c r="G118" s="106"/>
    </row>
    <row r="119" customFormat="false" ht="17.25" hidden="false" customHeight="true" outlineLevel="0" collapsed="false">
      <c r="B119" s="106" t="s">
        <v>9545</v>
      </c>
      <c r="C119" s="106"/>
      <c r="D119" s="106"/>
      <c r="E119" s="106"/>
      <c r="F119" s="106"/>
      <c r="G119" s="106"/>
    </row>
    <row r="120" customFormat="false" ht="17.25" hidden="false" customHeight="true" outlineLevel="0" collapsed="false">
      <c r="B120" s="106" t="s">
        <v>9546</v>
      </c>
      <c r="C120" s="106"/>
      <c r="D120" s="106"/>
      <c r="E120" s="106"/>
      <c r="F120" s="106"/>
      <c r="G120" s="106"/>
    </row>
    <row r="122" customFormat="false" ht="15.75" hidden="false" customHeight="true" outlineLevel="0" collapsed="false">
      <c r="B122" s="103" t="s">
        <v>1513</v>
      </c>
      <c r="C122" s="8"/>
      <c r="D122" s="8"/>
      <c r="E122" s="8"/>
      <c r="F122" s="8"/>
      <c r="G122" s="8"/>
      <c r="H122" s="8"/>
      <c r="I122" s="8"/>
      <c r="J122" s="8"/>
      <c r="K122" s="8"/>
    </row>
    <row r="123" customFormat="false" ht="17.25" hidden="false" customHeight="true" outlineLevel="0" collapsed="false">
      <c r="B123" s="106" t="s">
        <v>6712</v>
      </c>
      <c r="C123" s="106"/>
      <c r="D123" s="106"/>
      <c r="E123" s="106"/>
      <c r="N123" s="169" t="s">
        <v>1515</v>
      </c>
    </row>
    <row r="124" customFormat="false" ht="44.25" hidden="false" customHeight="true" outlineLevel="0" collapsed="false">
      <c r="B124" s="106" t="s">
        <v>9547</v>
      </c>
      <c r="C124" s="106"/>
      <c r="D124" s="106"/>
      <c r="E124" s="106"/>
      <c r="N124" s="120" t="s">
        <v>9548</v>
      </c>
    </row>
    <row r="125" customFormat="false" ht="44.25" hidden="false" customHeight="true" outlineLevel="0" collapsed="false">
      <c r="B125" s="106" t="s">
        <v>9549</v>
      </c>
      <c r="C125" s="106"/>
      <c r="D125" s="106"/>
      <c r="E125" s="106"/>
      <c r="N125" s="120" t="s">
        <v>9550</v>
      </c>
    </row>
    <row r="126" customFormat="false" ht="44.25" hidden="false" customHeight="true" outlineLevel="0" collapsed="false">
      <c r="B126" s="106" t="s">
        <v>9551</v>
      </c>
      <c r="C126" s="106"/>
      <c r="D126" s="106"/>
      <c r="E126" s="106"/>
      <c r="N126" s="120" t="s">
        <v>9552</v>
      </c>
    </row>
    <row r="128" customFormat="false" ht="15.75" hidden="false" customHeight="true" outlineLevel="0" collapsed="false">
      <c r="B128" s="103" t="s">
        <v>1522</v>
      </c>
      <c r="C128" s="8"/>
      <c r="D128" s="8"/>
      <c r="E128" s="8"/>
      <c r="F128" s="8"/>
      <c r="G128" s="8"/>
      <c r="H128" s="8"/>
      <c r="I128" s="8"/>
      <c r="J128" s="8"/>
      <c r="K128" s="8"/>
    </row>
    <row r="129" customFormat="false" ht="17.25" hidden="false" customHeight="true" outlineLevel="0" collapsed="false">
      <c r="B129" s="152" t="s">
        <v>1523</v>
      </c>
      <c r="C129" s="152" t="s">
        <v>1524</v>
      </c>
      <c r="D129" s="152" t="s">
        <v>6719</v>
      </c>
      <c r="E129" s="152"/>
    </row>
    <row r="130" customFormat="false" ht="17.25" hidden="false" customHeight="true" outlineLevel="0" collapsed="false">
      <c r="B130" s="170" t="s">
        <v>7218</v>
      </c>
      <c r="C130" s="170" t="s">
        <v>9553</v>
      </c>
      <c r="D130" s="171" t="s">
        <v>9554</v>
      </c>
      <c r="E130" s="171"/>
    </row>
  </sheetData>
  <mergeCells count="75">
    <mergeCell ref="B2:J2"/>
    <mergeCell ref="D3:G3"/>
    <mergeCell ref="C6:E6"/>
    <mergeCell ref="C7:E7"/>
    <mergeCell ref="C8:E8"/>
    <mergeCell ref="B11:G12"/>
    <mergeCell ref="B14:G16"/>
    <mergeCell ref="B17:G19"/>
    <mergeCell ref="B20:G22"/>
    <mergeCell ref="B23:G24"/>
    <mergeCell ref="B27:D27"/>
    <mergeCell ref="E27:F27"/>
    <mergeCell ref="B28:D28"/>
    <mergeCell ref="E28:F28"/>
    <mergeCell ref="B29:D29"/>
    <mergeCell ref="E29:F29"/>
    <mergeCell ref="B30:D30"/>
    <mergeCell ref="E30:F30"/>
    <mergeCell ref="B31:G31"/>
    <mergeCell ref="B40:G43"/>
    <mergeCell ref="B45:G45"/>
    <mergeCell ref="B47:G48"/>
    <mergeCell ref="B50:G50"/>
    <mergeCell ref="D53:E53"/>
    <mergeCell ref="D54:E54"/>
    <mergeCell ref="D55:E55"/>
    <mergeCell ref="D56:E56"/>
    <mergeCell ref="D57:E57"/>
    <mergeCell ref="B60:G62"/>
    <mergeCell ref="B65:G65"/>
    <mergeCell ref="C66:E66"/>
    <mergeCell ref="C67:E67"/>
    <mergeCell ref="C68:E68"/>
    <mergeCell ref="C69:E69"/>
    <mergeCell ref="C70:E70"/>
    <mergeCell ref="C71:E71"/>
    <mergeCell ref="B73:G73"/>
    <mergeCell ref="C74:D74"/>
    <mergeCell ref="C75:D75"/>
    <mergeCell ref="C76:D76"/>
    <mergeCell ref="C77:D77"/>
    <mergeCell ref="C78:D78"/>
    <mergeCell ref="B80:G80"/>
    <mergeCell ref="H81:I81"/>
    <mergeCell ref="H82:I82"/>
    <mergeCell ref="H83:I83"/>
    <mergeCell ref="H84:I84"/>
    <mergeCell ref="D86:E86"/>
    <mergeCell ref="D87:E87"/>
    <mergeCell ref="D88:E88"/>
    <mergeCell ref="D89:E89"/>
    <mergeCell ref="D90:E90"/>
    <mergeCell ref="E93:F93"/>
    <mergeCell ref="E94:F94"/>
    <mergeCell ref="E95:F95"/>
    <mergeCell ref="E96:F96"/>
    <mergeCell ref="B98:G98"/>
    <mergeCell ref="D104:G104"/>
    <mergeCell ref="C107:G107"/>
    <mergeCell ref="D109:F109"/>
    <mergeCell ref="D110:F110"/>
    <mergeCell ref="D111:F111"/>
    <mergeCell ref="D112:F112"/>
    <mergeCell ref="D113:F113"/>
    <mergeCell ref="B116:G116"/>
    <mergeCell ref="B117:G117"/>
    <mergeCell ref="B118:G118"/>
    <mergeCell ref="B119:G119"/>
    <mergeCell ref="B120:G120"/>
    <mergeCell ref="B123:E123"/>
    <mergeCell ref="B124:E124"/>
    <mergeCell ref="B125:E125"/>
    <mergeCell ref="B126:E126"/>
    <mergeCell ref="D129:E129"/>
    <mergeCell ref="D130:E130"/>
  </mergeCells>
  <hyperlinks>
    <hyperlink ref="B3" location="'N-03 Index DMAIC'!A1" display="← Back to Index"/>
    <hyperlink ref="E34" location="'E-03 Descriptive Stats'!A1" display="E-03  Descriptive Statistics"/>
    <hyperlink ref="E35" location="'E-17 Hypothesis Framework'!A1" display="E-17  Hypothesis Framework"/>
    <hyperlink ref="E36" location="'E-42 Full Factorial'!A1" display="E-42  Full Factorial DOE"/>
    <hyperlink ref="E37" location="'E-22 Test Selection Roadmap'!A1" display="E-22  Test Selection Roadmap"/>
    <hyperlink ref="B130" location="'L-21 Kaizen Event'!A1" display="L-21  Kaizen Event"/>
    <hyperlink ref="C130" location="'H-14 A3 Problem Solving'!A1" display="H-14  A3 Problem Solving"/>
    <hyperlink ref="D130" location="'L-26 Pilot and Confirmation'!A1" display="L-26  Pilot and Confirmation Ru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6"/>
    <col collapsed="false" customWidth="true" hidden="false" outlineLevel="0" max="4" min="4" style="1" width="40"/>
    <col collapsed="false" customWidth="true" hidden="false" outlineLevel="0" max="5" min="5" style="1" width="44"/>
    <col collapsed="false" customWidth="true" hidden="false" outlineLevel="0" max="6" min="6" style="1" width="20"/>
    <col collapsed="false" customWidth="true" hidden="false" outlineLevel="0" max="10" min="7"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9555</v>
      </c>
      <c r="C2" s="148"/>
      <c r="D2" s="148"/>
      <c r="E2" s="148"/>
      <c r="F2" s="148"/>
      <c r="G2" s="148"/>
      <c r="H2" s="148"/>
      <c r="I2" s="148"/>
      <c r="J2" s="148"/>
      <c r="K2" s="179" t="s">
        <v>5137</v>
      </c>
    </row>
    <row r="3" customFormat="false" ht="28.5" hidden="false" customHeight="true" outlineLevel="0" collapsed="false">
      <c r="B3" s="150" t="s">
        <v>3</v>
      </c>
      <c r="D3" s="151" t="s">
        <v>9556</v>
      </c>
      <c r="E3" s="151"/>
      <c r="F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9557</v>
      </c>
      <c r="D6" s="106"/>
      <c r="E6" s="106"/>
      <c r="F6" s="106"/>
    </row>
    <row r="7" customFormat="false" ht="17.25" hidden="false" customHeight="true" outlineLevel="0" collapsed="false">
      <c r="B7" s="105" t="s">
        <v>1394</v>
      </c>
      <c r="C7" s="106" t="s">
        <v>9558</v>
      </c>
      <c r="D7" s="106"/>
      <c r="E7" s="106"/>
      <c r="F7" s="106"/>
    </row>
    <row r="8" customFormat="false" ht="17.25" hidden="false" customHeight="true" outlineLevel="0" collapsed="false">
      <c r="B8" s="105" t="s">
        <v>1396</v>
      </c>
      <c r="C8" s="106" t="s">
        <v>9559</v>
      </c>
      <c r="D8" s="106"/>
      <c r="E8" s="106"/>
      <c r="F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9560</v>
      </c>
      <c r="C11" s="106"/>
      <c r="D11" s="106"/>
      <c r="E11" s="106"/>
      <c r="F11" s="106"/>
    </row>
    <row r="12" customFormat="false" ht="10.5" hidden="false" customHeight="true" outlineLevel="0" collapsed="false">
      <c r="B12" s="106"/>
      <c r="C12" s="106"/>
      <c r="D12" s="106"/>
      <c r="E12" s="106"/>
      <c r="F12" s="106"/>
    </row>
    <row r="13" customFormat="false" ht="10.5" hidden="false" customHeight="true" outlineLevel="0" collapsed="false">
      <c r="B13" s="106"/>
      <c r="C13" s="106"/>
      <c r="D13" s="106"/>
      <c r="E13" s="106"/>
      <c r="F13" s="106"/>
    </row>
    <row r="14" customFormat="false" ht="11.25" hidden="false" customHeight="true" outlineLevel="0" collapsed="false">
      <c r="B14" s="106" t="s">
        <v>9561</v>
      </c>
      <c r="C14" s="106"/>
      <c r="D14" s="106"/>
      <c r="E14" s="106"/>
      <c r="F14" s="106"/>
    </row>
    <row r="15" customFormat="false" ht="11.25" hidden="false" customHeight="true" outlineLevel="0" collapsed="false">
      <c r="B15" s="106"/>
      <c r="C15" s="106"/>
      <c r="D15" s="106"/>
      <c r="E15" s="106"/>
      <c r="F15" s="106"/>
    </row>
    <row r="16" customFormat="false" ht="11.25" hidden="false" customHeight="true" outlineLevel="0" collapsed="false">
      <c r="B16" s="106"/>
      <c r="C16" s="106"/>
      <c r="D16" s="106"/>
      <c r="E16" s="106"/>
      <c r="F16" s="106"/>
    </row>
    <row r="17" customFormat="false" ht="11.25" hidden="false" customHeight="true" outlineLevel="0" collapsed="false">
      <c r="B17" s="106"/>
      <c r="C17" s="106"/>
      <c r="D17" s="106"/>
      <c r="E17" s="106"/>
      <c r="F17" s="106"/>
    </row>
    <row r="18" customFormat="false" ht="15.75" hidden="false" customHeight="true" outlineLevel="0" collapsed="false">
      <c r="B18" s="106" t="s">
        <v>9562</v>
      </c>
      <c r="C18" s="106"/>
      <c r="D18" s="106"/>
      <c r="E18" s="106"/>
      <c r="F18" s="106"/>
    </row>
    <row r="19" customFormat="false" ht="15.75" hidden="false" customHeight="true" outlineLevel="0" collapsed="false">
      <c r="B19" s="106"/>
      <c r="C19" s="106"/>
      <c r="D19" s="106"/>
      <c r="E19" s="106"/>
      <c r="F19" s="106"/>
    </row>
    <row r="20" customFormat="false" ht="10.5" hidden="false" customHeight="true" outlineLevel="0" collapsed="false">
      <c r="B20" s="106" t="s">
        <v>9563</v>
      </c>
      <c r="C20" s="106"/>
      <c r="D20" s="106"/>
      <c r="E20" s="106"/>
      <c r="F20" s="106"/>
    </row>
    <row r="21" customFormat="false" ht="10.5" hidden="false" customHeight="true" outlineLevel="0" collapsed="false">
      <c r="B21" s="106"/>
      <c r="C21" s="106"/>
      <c r="D21" s="106"/>
      <c r="E21" s="106"/>
      <c r="F21" s="106"/>
    </row>
    <row r="22" customFormat="false" ht="10.5" hidden="false" customHeight="true" outlineLevel="0" collapsed="false">
      <c r="B22" s="106"/>
      <c r="C22" s="106"/>
      <c r="D22" s="106"/>
      <c r="E22" s="106"/>
      <c r="F22" s="106"/>
    </row>
    <row r="23" customFormat="false" ht="10.5" hidden="false" customHeight="true" outlineLevel="0" collapsed="false">
      <c r="B23" s="106" t="s">
        <v>9564</v>
      </c>
      <c r="C23" s="106"/>
      <c r="D23" s="106"/>
      <c r="E23" s="106"/>
      <c r="F23" s="106"/>
    </row>
    <row r="24" customFormat="false" ht="10.5" hidden="false" customHeight="true" outlineLevel="0" collapsed="false">
      <c r="B24" s="106"/>
      <c r="C24" s="106"/>
      <c r="D24" s="106"/>
      <c r="E24" s="106"/>
      <c r="F24" s="106"/>
    </row>
    <row r="25" customFormat="false" ht="10.5" hidden="false" customHeight="true" outlineLevel="0" collapsed="false">
      <c r="B25" s="106"/>
      <c r="C25" s="106"/>
      <c r="D25" s="106"/>
      <c r="E25" s="106"/>
      <c r="F25" s="106"/>
    </row>
    <row r="26" customFormat="false" ht="15.75" hidden="false" customHeight="true" outlineLevel="0" collapsed="false">
      <c r="B26" s="106" t="s">
        <v>9565</v>
      </c>
      <c r="C26" s="106"/>
      <c r="D26" s="106"/>
      <c r="E26" s="106"/>
      <c r="F26" s="106"/>
    </row>
    <row r="27" customFormat="false" ht="15.75" hidden="false" customHeight="true" outlineLevel="0" collapsed="false">
      <c r="B27" s="106"/>
      <c r="C27" s="106"/>
      <c r="D27" s="106"/>
      <c r="E27" s="106"/>
      <c r="F27" s="106"/>
    </row>
    <row r="29" customFormat="false" ht="15.75" hidden="false" customHeight="true" outlineLevel="0" collapsed="false">
      <c r="B29" s="103" t="s">
        <v>1406</v>
      </c>
      <c r="C29" s="8"/>
      <c r="D29" s="8"/>
      <c r="E29" s="8"/>
      <c r="F29" s="8"/>
      <c r="G29" s="8"/>
      <c r="H29" s="8"/>
      <c r="I29" s="8"/>
      <c r="J29" s="8"/>
      <c r="K29" s="8"/>
    </row>
    <row r="30" customFormat="false" ht="17.25" hidden="false" customHeight="true" outlineLevel="0" collapsed="false">
      <c r="B30" s="107" t="s">
        <v>1407</v>
      </c>
      <c r="C30" s="107"/>
      <c r="D30" s="107"/>
      <c r="E30" s="105" t="s">
        <v>1408</v>
      </c>
    </row>
    <row r="31" customFormat="false" ht="30.75" hidden="false" customHeight="true" outlineLevel="0" collapsed="false">
      <c r="B31" s="106" t="s">
        <v>9566</v>
      </c>
      <c r="C31" s="106"/>
      <c r="D31" s="106"/>
      <c r="E31" s="122" t="s">
        <v>9567</v>
      </c>
    </row>
    <row r="32" customFormat="false" ht="30.75" hidden="false" customHeight="true" outlineLevel="0" collapsed="false">
      <c r="B32" s="106" t="s">
        <v>9568</v>
      </c>
      <c r="C32" s="106"/>
      <c r="D32" s="106"/>
      <c r="E32" s="122" t="s">
        <v>9569</v>
      </c>
    </row>
    <row r="33" customFormat="false" ht="30.75" hidden="false" customHeight="true" outlineLevel="0" collapsed="false">
      <c r="B33" s="106" t="s">
        <v>9570</v>
      </c>
      <c r="C33" s="106"/>
      <c r="D33" s="106"/>
      <c r="E33" s="122" t="s">
        <v>9571</v>
      </c>
    </row>
    <row r="34" customFormat="false" ht="17.25" hidden="false" customHeight="true" outlineLevel="0" collapsed="false">
      <c r="B34" s="106" t="s">
        <v>9572</v>
      </c>
      <c r="C34" s="106"/>
      <c r="D34" s="106"/>
      <c r="E34" s="106"/>
      <c r="F34" s="106"/>
    </row>
    <row r="36" customFormat="false" ht="16.5" hidden="false" customHeight="true" outlineLevel="0" collapsed="false">
      <c r="B36" s="152" t="s">
        <v>6621</v>
      </c>
      <c r="C36" s="152" t="s">
        <v>1417</v>
      </c>
      <c r="D36" s="152" t="s">
        <v>1418</v>
      </c>
      <c r="E36" s="152" t="s">
        <v>1419</v>
      </c>
    </row>
    <row r="37" customFormat="false" ht="58.5" hidden="false" customHeight="true" outlineLevel="0" collapsed="false">
      <c r="B37" s="15" t="s">
        <v>9573</v>
      </c>
      <c r="C37" s="15" t="s">
        <v>9574</v>
      </c>
      <c r="D37" s="15" t="s">
        <v>9575</v>
      </c>
      <c r="E37" s="153" t="s">
        <v>1250</v>
      </c>
    </row>
    <row r="38" customFormat="false" ht="58.5" hidden="false" customHeight="true" outlineLevel="0" collapsed="false">
      <c r="B38" s="15" t="s">
        <v>9576</v>
      </c>
      <c r="C38" s="15" t="s">
        <v>9577</v>
      </c>
      <c r="D38" s="15" t="s">
        <v>9578</v>
      </c>
      <c r="E38" s="153" t="s">
        <v>1078</v>
      </c>
    </row>
    <row r="39" customFormat="false" ht="72" hidden="false" customHeight="true" outlineLevel="0" collapsed="false">
      <c r="B39" s="15" t="s">
        <v>9579</v>
      </c>
      <c r="C39" s="15" t="s">
        <v>9580</v>
      </c>
      <c r="D39" s="15" t="s">
        <v>9581</v>
      </c>
      <c r="E39" s="153" t="s">
        <v>1023</v>
      </c>
    </row>
    <row r="40" customFormat="false" ht="58.5" hidden="false" customHeight="true" outlineLevel="0" collapsed="false">
      <c r="B40" s="15" t="s">
        <v>9582</v>
      </c>
      <c r="C40" s="15" t="s">
        <v>9583</v>
      </c>
      <c r="D40" s="15" t="s">
        <v>9584</v>
      </c>
      <c r="E40" s="153" t="s">
        <v>7218</v>
      </c>
    </row>
    <row r="42" customFormat="false" ht="15.75" hidden="false" customHeight="true" outlineLevel="0" collapsed="false">
      <c r="B42" s="103" t="s">
        <v>1429</v>
      </c>
      <c r="C42" s="8"/>
      <c r="D42" s="8"/>
      <c r="E42" s="8"/>
      <c r="F42" s="8"/>
      <c r="G42" s="8"/>
      <c r="H42" s="8"/>
      <c r="I42" s="8"/>
      <c r="J42" s="8"/>
      <c r="K42" s="8"/>
    </row>
    <row r="43" customFormat="false" ht="8.25" hidden="false" customHeight="true" outlineLevel="0" collapsed="false">
      <c r="B43" s="106" t="s">
        <v>9585</v>
      </c>
      <c r="C43" s="106"/>
      <c r="D43" s="106"/>
      <c r="E43" s="106"/>
      <c r="F43" s="106"/>
    </row>
    <row r="44" customFormat="false" ht="8.25" hidden="false" customHeight="true" outlineLevel="0" collapsed="false">
      <c r="B44" s="106"/>
      <c r="C44" s="106"/>
      <c r="D44" s="106"/>
      <c r="E44" s="106"/>
      <c r="F44" s="106"/>
    </row>
    <row r="45" customFormat="false" ht="15" hidden="false" customHeight="true" outlineLevel="0" collapsed="false">
      <c r="B45" s="122"/>
    </row>
    <row r="46" customFormat="false" ht="10.5" hidden="false" customHeight="true" outlineLevel="0" collapsed="false">
      <c r="B46" s="106" t="s">
        <v>9586</v>
      </c>
      <c r="C46" s="106"/>
      <c r="D46" s="106"/>
      <c r="E46" s="106"/>
      <c r="F46" s="106"/>
    </row>
    <row r="47" customFormat="false" ht="10.5" hidden="false" customHeight="true" outlineLevel="0" collapsed="false">
      <c r="B47" s="106"/>
      <c r="C47" s="106"/>
      <c r="D47" s="106"/>
      <c r="E47" s="106"/>
      <c r="F47" s="106"/>
    </row>
    <row r="48" customFormat="false" ht="10.5" hidden="false" customHeight="true" outlineLevel="0" collapsed="false">
      <c r="B48" s="106"/>
      <c r="C48" s="106"/>
      <c r="D48" s="106"/>
      <c r="E48" s="106"/>
      <c r="F48" s="106"/>
    </row>
    <row r="49" customFormat="false" ht="15" hidden="false" customHeight="true" outlineLevel="0" collapsed="false">
      <c r="B49" s="122"/>
    </row>
    <row r="50" customFormat="false" ht="8.25" hidden="false" customHeight="true" outlineLevel="0" collapsed="false">
      <c r="B50" s="106" t="s">
        <v>9587</v>
      </c>
      <c r="C50" s="106"/>
      <c r="D50" s="106"/>
      <c r="E50" s="106"/>
      <c r="F50" s="106"/>
    </row>
    <row r="51" customFormat="false" ht="8.25" hidden="false" customHeight="true" outlineLevel="0" collapsed="false">
      <c r="B51" s="106"/>
      <c r="C51" s="106"/>
      <c r="D51" s="106"/>
      <c r="E51" s="106"/>
      <c r="F51" s="106"/>
    </row>
    <row r="52" customFormat="false" ht="15" hidden="false" customHeight="true" outlineLevel="0" collapsed="false">
      <c r="B52" s="122"/>
    </row>
    <row r="53" customFormat="false" ht="17.25" hidden="false" customHeight="true" outlineLevel="0" collapsed="false">
      <c r="B53" s="106" t="s">
        <v>9588</v>
      </c>
      <c r="C53" s="106"/>
      <c r="D53" s="106"/>
      <c r="E53" s="106"/>
      <c r="F53" s="106"/>
    </row>
    <row r="55" customFormat="false" ht="15.75" hidden="false" customHeight="true" outlineLevel="0" collapsed="false">
      <c r="B55" s="103" t="s">
        <v>1437</v>
      </c>
      <c r="C55" s="8"/>
      <c r="D55" s="8"/>
      <c r="E55" s="8"/>
      <c r="F55" s="8"/>
      <c r="G55" s="8"/>
      <c r="H55" s="8"/>
      <c r="I55" s="8"/>
      <c r="J55" s="8"/>
      <c r="K55" s="8"/>
    </row>
    <row r="56" customFormat="false" ht="16.5" hidden="false" customHeight="true" outlineLevel="0" collapsed="false">
      <c r="B56" s="152" t="s">
        <v>1438</v>
      </c>
      <c r="C56" s="152" t="s">
        <v>1439</v>
      </c>
      <c r="D56" s="152" t="s">
        <v>1440</v>
      </c>
    </row>
    <row r="57" customFormat="false" ht="30.75" hidden="false" customHeight="true" outlineLevel="0" collapsed="false">
      <c r="B57" s="15" t="s">
        <v>9589</v>
      </c>
      <c r="C57" s="15" t="s">
        <v>9590</v>
      </c>
      <c r="D57" s="15" t="s">
        <v>9591</v>
      </c>
    </row>
    <row r="58" customFormat="false" ht="30.75" hidden="false" customHeight="true" outlineLevel="0" collapsed="false">
      <c r="B58" s="15" t="s">
        <v>1839</v>
      </c>
      <c r="C58" s="15" t="s">
        <v>6647</v>
      </c>
      <c r="D58" s="15" t="s">
        <v>9592</v>
      </c>
    </row>
    <row r="59" customFormat="false" ht="30.75" hidden="false" customHeight="true" outlineLevel="0" collapsed="false">
      <c r="B59" s="15" t="s">
        <v>9593</v>
      </c>
      <c r="C59" s="15" t="s">
        <v>9594</v>
      </c>
      <c r="D59" s="15" t="s">
        <v>9595</v>
      </c>
    </row>
    <row r="61" customFormat="false" ht="15.75" hidden="false" customHeight="true" outlineLevel="0" collapsed="false">
      <c r="B61" s="103" t="s">
        <v>1454</v>
      </c>
      <c r="C61" s="8"/>
      <c r="D61" s="8"/>
      <c r="E61" s="8"/>
      <c r="F61" s="8"/>
      <c r="G61" s="8"/>
      <c r="H61" s="8"/>
      <c r="I61" s="8"/>
      <c r="J61" s="8"/>
      <c r="K61" s="8"/>
    </row>
    <row r="62" customFormat="false" ht="10.5" hidden="false" customHeight="true" outlineLevel="0" collapsed="false">
      <c r="B62" s="106" t="s">
        <v>9596</v>
      </c>
      <c r="C62" s="106"/>
      <c r="D62" s="106"/>
      <c r="E62" s="106"/>
      <c r="F62" s="106"/>
    </row>
    <row r="63" customFormat="false" ht="10.5" hidden="false" customHeight="true" outlineLevel="0" collapsed="false">
      <c r="B63" s="106"/>
      <c r="C63" s="106"/>
      <c r="D63" s="106"/>
      <c r="E63" s="106"/>
      <c r="F63" s="106"/>
    </row>
    <row r="64" customFormat="false" ht="10.5" hidden="false" customHeight="true" outlineLevel="0" collapsed="false">
      <c r="B64" s="106"/>
      <c r="C64" s="106"/>
      <c r="D64" s="106"/>
      <c r="E64" s="106"/>
      <c r="F64" s="106"/>
    </row>
    <row r="65" customFormat="false" ht="17.25" hidden="false" customHeight="true" outlineLevel="0" collapsed="false">
      <c r="B65" s="112" t="s">
        <v>85</v>
      </c>
      <c r="C65" s="113" t="s">
        <v>86</v>
      </c>
      <c r="D65" s="113"/>
    </row>
    <row r="67" customFormat="false" ht="17.25" hidden="false" customHeight="true" outlineLevel="0" collapsed="false">
      <c r="B67" s="107" t="s">
        <v>9597</v>
      </c>
      <c r="C67" s="107"/>
      <c r="D67" s="107"/>
      <c r="E67" s="107"/>
      <c r="F67" s="107"/>
    </row>
    <row r="68" customFormat="false" ht="28.5" hidden="false" customHeight="true" outlineLevel="0" collapsed="false">
      <c r="B68" s="182" t="s">
        <v>9598</v>
      </c>
      <c r="C68" s="182"/>
      <c r="D68" s="182"/>
      <c r="E68" s="182"/>
      <c r="F68" s="182"/>
    </row>
    <row r="70" customFormat="false" ht="16.5" hidden="false" customHeight="true" outlineLevel="0" collapsed="false">
      <c r="B70" s="152" t="s">
        <v>2921</v>
      </c>
      <c r="C70" s="152" t="s">
        <v>6654</v>
      </c>
      <c r="D70" s="152" t="s">
        <v>6575</v>
      </c>
      <c r="E70" s="152" t="s">
        <v>6655</v>
      </c>
    </row>
    <row r="71" customFormat="false" ht="16.5" hidden="false" customHeight="true" outlineLevel="0" collapsed="false">
      <c r="B71" s="15" t="s">
        <v>9599</v>
      </c>
      <c r="C71" s="155" t="n">
        <v>6</v>
      </c>
      <c r="D71" s="15" t="s">
        <v>9600</v>
      </c>
      <c r="E71" s="15" t="s">
        <v>9601</v>
      </c>
    </row>
    <row r="72" customFormat="false" ht="16.5" hidden="false" customHeight="true" outlineLevel="0" collapsed="false">
      <c r="B72" s="15" t="s">
        <v>9602</v>
      </c>
      <c r="C72" s="155" t="n">
        <v>3</v>
      </c>
      <c r="D72" s="15" t="s">
        <v>9603</v>
      </c>
      <c r="E72" s="15"/>
    </row>
    <row r="73" customFormat="false" ht="16.5" hidden="false" customHeight="true" outlineLevel="0" collapsed="false">
      <c r="B73" s="15" t="s">
        <v>9604</v>
      </c>
      <c r="C73" s="155" t="n">
        <v>6</v>
      </c>
      <c r="D73" s="15" t="s">
        <v>9605</v>
      </c>
      <c r="E73" s="15" t="s">
        <v>9606</v>
      </c>
    </row>
    <row r="74" customFormat="false" ht="16.5" hidden="false" customHeight="true" outlineLevel="0" collapsed="false">
      <c r="B74" s="15" t="s">
        <v>9607</v>
      </c>
      <c r="C74" s="155" t="n">
        <v>5</v>
      </c>
      <c r="D74" s="15" t="s">
        <v>6816</v>
      </c>
      <c r="E74" s="15"/>
    </row>
    <row r="75" customFormat="false" ht="16.5" hidden="false" customHeight="true" outlineLevel="0" collapsed="false">
      <c r="B75" s="15" t="s">
        <v>9608</v>
      </c>
      <c r="C75" s="161" t="n">
        <f aca="false">C71*C72*C73</f>
        <v>108</v>
      </c>
      <c r="D75" s="15" t="s">
        <v>9603</v>
      </c>
      <c r="E75" s="15" t="s">
        <v>9609</v>
      </c>
    </row>
    <row r="76" customFormat="false" ht="16.5" hidden="false" customHeight="true" outlineLevel="0" collapsed="false">
      <c r="B76" s="15" t="s">
        <v>9610</v>
      </c>
      <c r="C76" s="161" t="n">
        <f aca="false">C73*C74</f>
        <v>30</v>
      </c>
      <c r="D76" s="15" t="s">
        <v>6816</v>
      </c>
      <c r="E76" s="15" t="s">
        <v>9611</v>
      </c>
    </row>
    <row r="77" customFormat="false" ht="16.5" hidden="false" customHeight="true" outlineLevel="0" collapsed="false">
      <c r="B77" s="15" t="s">
        <v>9612</v>
      </c>
      <c r="C77" s="155" t="n">
        <v>74</v>
      </c>
      <c r="D77" s="15" t="s">
        <v>9603</v>
      </c>
      <c r="E77" s="15" t="s">
        <v>9613</v>
      </c>
    </row>
    <row r="78" customFormat="false" ht="30.75" hidden="false" customHeight="true" outlineLevel="0" collapsed="false">
      <c r="B78" s="15" t="s">
        <v>9614</v>
      </c>
      <c r="C78" s="184" t="n">
        <f aca="false">IFERROR(C77/C75,0)</f>
        <v>0.685185185185185</v>
      </c>
      <c r="D78" s="15"/>
      <c r="E78" s="15" t="s">
        <v>9615</v>
      </c>
    </row>
    <row r="80" customFormat="false" ht="17.25" hidden="false" customHeight="true" outlineLevel="0" collapsed="false">
      <c r="B80" s="107" t="s">
        <v>9616</v>
      </c>
      <c r="C80" s="107"/>
      <c r="D80" s="107"/>
      <c r="E80" s="107"/>
      <c r="F80" s="107"/>
    </row>
    <row r="81" customFormat="false" ht="16.5" hidden="false" customHeight="true" outlineLevel="0" collapsed="false">
      <c r="B81" s="152" t="s">
        <v>9617</v>
      </c>
      <c r="C81" s="152" t="s">
        <v>9618</v>
      </c>
      <c r="D81" s="152" t="s">
        <v>9619</v>
      </c>
    </row>
    <row r="82" customFormat="false" ht="30.75" hidden="false" customHeight="true" outlineLevel="0" collapsed="false">
      <c r="B82" s="15" t="s">
        <v>9620</v>
      </c>
      <c r="C82" s="15" t="s">
        <v>9621</v>
      </c>
      <c r="D82" s="15" t="s">
        <v>9622</v>
      </c>
    </row>
    <row r="83" customFormat="false" ht="44.25" hidden="false" customHeight="true" outlineLevel="0" collapsed="false">
      <c r="B83" s="15" t="s">
        <v>9623</v>
      </c>
      <c r="C83" s="15" t="s">
        <v>9624</v>
      </c>
      <c r="D83" s="15" t="s">
        <v>9625</v>
      </c>
    </row>
    <row r="84" customFormat="false" ht="44.25" hidden="false" customHeight="true" outlineLevel="0" collapsed="false">
      <c r="B84" s="15" t="s">
        <v>9626</v>
      </c>
      <c r="C84" s="15" t="s">
        <v>9627</v>
      </c>
      <c r="D84" s="15" t="s">
        <v>9628</v>
      </c>
    </row>
    <row r="85" customFormat="false" ht="58.5" hidden="false" customHeight="true" outlineLevel="0" collapsed="false">
      <c r="B85" s="15" t="s">
        <v>9629</v>
      </c>
      <c r="C85" s="15" t="s">
        <v>9630</v>
      </c>
      <c r="D85" s="15" t="s">
        <v>9631</v>
      </c>
    </row>
    <row r="86" customFormat="false" ht="30.75" hidden="false" customHeight="true" outlineLevel="0" collapsed="false">
      <c r="B86" s="15" t="s">
        <v>9632</v>
      </c>
      <c r="C86" s="15" t="s">
        <v>9633</v>
      </c>
      <c r="D86" s="15" t="s">
        <v>9634</v>
      </c>
    </row>
    <row r="87" customFormat="false" ht="30.75" hidden="false" customHeight="true" outlineLevel="0" collapsed="false">
      <c r="B87" s="15" t="s">
        <v>9635</v>
      </c>
      <c r="C87" s="15" t="s">
        <v>9636</v>
      </c>
      <c r="D87" s="15" t="s">
        <v>9637</v>
      </c>
    </row>
    <row r="88" customFormat="false" ht="44.25" hidden="false" customHeight="true" outlineLevel="0" collapsed="false">
      <c r="B88" s="15" t="s">
        <v>9638</v>
      </c>
      <c r="C88" s="15" t="s">
        <v>9639</v>
      </c>
      <c r="D88" s="15" t="s">
        <v>9640</v>
      </c>
    </row>
    <row r="90" customFormat="false" ht="17.25" hidden="false" customHeight="true" outlineLevel="0" collapsed="false">
      <c r="B90" s="107" t="s">
        <v>9641</v>
      </c>
      <c r="C90" s="107"/>
      <c r="D90" s="107"/>
      <c r="E90" s="107"/>
      <c r="F90" s="107"/>
    </row>
    <row r="91" customFormat="false" ht="16.5" hidden="false" customHeight="true" outlineLevel="0" collapsed="false">
      <c r="B91" s="152" t="s">
        <v>8443</v>
      </c>
      <c r="C91" s="152" t="s">
        <v>1700</v>
      </c>
      <c r="D91" s="152" t="s">
        <v>9642</v>
      </c>
      <c r="E91" s="152" t="s">
        <v>6655</v>
      </c>
    </row>
    <row r="92" customFormat="false" ht="16.5" hidden="false" customHeight="true" outlineLevel="0" collapsed="false">
      <c r="B92" s="15" t="s">
        <v>9643</v>
      </c>
      <c r="C92" s="155" t="n">
        <v>74</v>
      </c>
      <c r="D92" s="15" t="s">
        <v>6909</v>
      </c>
      <c r="E92" s="15" t="s">
        <v>9644</v>
      </c>
    </row>
    <row r="93" customFormat="false" ht="16.5" hidden="false" customHeight="true" outlineLevel="0" collapsed="false">
      <c r="B93" s="15" t="s">
        <v>9645</v>
      </c>
      <c r="C93" s="155" t="n">
        <v>48</v>
      </c>
      <c r="D93" s="184" t="n">
        <f aca="false">IFERROR(C93/C92,0)</f>
        <v>0.648648648648649</v>
      </c>
      <c r="E93" s="15" t="s">
        <v>9646</v>
      </c>
    </row>
    <row r="94" customFormat="false" ht="30.75" hidden="false" customHeight="true" outlineLevel="0" collapsed="false">
      <c r="B94" s="15" t="s">
        <v>9647</v>
      </c>
      <c r="C94" s="155" t="n">
        <v>26</v>
      </c>
      <c r="D94" s="184" t="n">
        <f aca="false">IFERROR(C94/C93,0)</f>
        <v>0.541666666666667</v>
      </c>
      <c r="E94" s="15" t="s">
        <v>9648</v>
      </c>
    </row>
    <row r="95" customFormat="false" ht="16.5" hidden="false" customHeight="true" outlineLevel="0" collapsed="false">
      <c r="B95" s="15" t="s">
        <v>9649</v>
      </c>
      <c r="C95" s="155" t="n">
        <v>12</v>
      </c>
      <c r="D95" s="184" t="n">
        <f aca="false">IFERROR(C95/C94,0)</f>
        <v>0.461538461538462</v>
      </c>
      <c r="E95" s="15" t="s">
        <v>9650</v>
      </c>
    </row>
    <row r="96" customFormat="false" ht="16.5" hidden="false" customHeight="true" outlineLevel="0" collapsed="false">
      <c r="B96" s="15" t="s">
        <v>9651</v>
      </c>
      <c r="C96" s="155" t="n">
        <v>4</v>
      </c>
      <c r="D96" s="184" t="n">
        <f aca="false">IFERROR(C96/C95,0)</f>
        <v>0.333333333333333</v>
      </c>
      <c r="E96" s="15" t="s">
        <v>9652</v>
      </c>
    </row>
    <row r="97" customFormat="false" ht="16.5" hidden="false" customHeight="true" outlineLevel="0" collapsed="false">
      <c r="B97" s="15" t="s">
        <v>9653</v>
      </c>
      <c r="C97" s="155" t="n">
        <v>3</v>
      </c>
      <c r="D97" s="184" t="n">
        <f aca="false">IFERROR(C97/C96,0)</f>
        <v>0.75</v>
      </c>
      <c r="E97" s="15" t="s">
        <v>9654</v>
      </c>
    </row>
    <row r="98" customFormat="false" ht="16.5" hidden="false" customHeight="true" outlineLevel="0" collapsed="false">
      <c r="B98" s="15" t="s">
        <v>9655</v>
      </c>
      <c r="C98" s="161" t="n">
        <f aca="false">C97</f>
        <v>3</v>
      </c>
      <c r="D98" s="160" t="n">
        <f aca="false">IFERROR(C97/C92,0)</f>
        <v>0.0405405405405405</v>
      </c>
      <c r="E98" s="15" t="s">
        <v>9656</v>
      </c>
    </row>
    <row r="100" customFormat="false" ht="17.25" hidden="false" customHeight="true" outlineLevel="0" collapsed="false">
      <c r="B100" s="107" t="s">
        <v>9657</v>
      </c>
      <c r="C100" s="107"/>
      <c r="D100" s="107"/>
      <c r="E100" s="107"/>
      <c r="F100" s="107"/>
    </row>
    <row r="101" customFormat="false" ht="16.5" hidden="false" customHeight="true" outlineLevel="0" collapsed="false">
      <c r="B101" s="152" t="s">
        <v>8990</v>
      </c>
      <c r="C101" s="152" t="s">
        <v>9658</v>
      </c>
      <c r="D101" s="152" t="s">
        <v>9659</v>
      </c>
    </row>
    <row r="102" customFormat="false" ht="58.5" hidden="false" customHeight="true" outlineLevel="0" collapsed="false">
      <c r="B102" s="15" t="s">
        <v>9660</v>
      </c>
      <c r="C102" s="15" t="s">
        <v>9661</v>
      </c>
      <c r="D102" s="15" t="s">
        <v>9662</v>
      </c>
    </row>
    <row r="103" customFormat="false" ht="58.5" hidden="false" customHeight="true" outlineLevel="0" collapsed="false">
      <c r="B103" s="15" t="s">
        <v>9663</v>
      </c>
      <c r="C103" s="15" t="s">
        <v>9664</v>
      </c>
      <c r="D103" s="15" t="s">
        <v>9665</v>
      </c>
    </row>
    <row r="104" customFormat="false" ht="44.25" hidden="false" customHeight="true" outlineLevel="0" collapsed="false">
      <c r="B104" s="15" t="s">
        <v>9666</v>
      </c>
      <c r="C104" s="15" t="s">
        <v>9667</v>
      </c>
      <c r="D104" s="15" t="s">
        <v>9668</v>
      </c>
    </row>
    <row r="105" customFormat="false" ht="58.5" hidden="false" customHeight="true" outlineLevel="0" collapsed="false">
      <c r="B105" s="15" t="s">
        <v>9669</v>
      </c>
      <c r="C105" s="15" t="s">
        <v>9670</v>
      </c>
      <c r="D105" s="15" t="s">
        <v>9671</v>
      </c>
    </row>
    <row r="106" customFormat="false" ht="44.25" hidden="false" customHeight="true" outlineLevel="0" collapsed="false">
      <c r="B106" s="15" t="s">
        <v>9672</v>
      </c>
      <c r="C106" s="15" t="s">
        <v>9673</v>
      </c>
      <c r="D106" s="15" t="s">
        <v>9674</v>
      </c>
    </row>
    <row r="107" customFormat="false" ht="44.25" hidden="false" customHeight="true" outlineLevel="0" collapsed="false">
      <c r="B107" s="15" t="s">
        <v>9675</v>
      </c>
      <c r="C107" s="15" t="s">
        <v>9676</v>
      </c>
      <c r="D107" s="15" t="s">
        <v>9677</v>
      </c>
    </row>
    <row r="109" customFormat="false" ht="15.75" hidden="false" customHeight="true" outlineLevel="0" collapsed="false">
      <c r="B109" s="103" t="s">
        <v>1493</v>
      </c>
      <c r="C109" s="8"/>
      <c r="D109" s="8"/>
      <c r="E109" s="8"/>
      <c r="F109" s="8"/>
      <c r="G109" s="8"/>
      <c r="H109" s="8"/>
      <c r="I109" s="8"/>
      <c r="J109" s="8"/>
      <c r="K109" s="8"/>
    </row>
    <row r="110" customFormat="false" ht="33.75" hidden="false" customHeight="true" outlineLevel="0" collapsed="false">
      <c r="B110" s="105" t="s">
        <v>1494</v>
      </c>
      <c r="C110" s="168" t="str">
        <f aca="false">"The session recorded "&amp;TEXT(C77,"0")&amp;" ideas against a theoretical "&amp;TEXT(C75,"0")&amp;" ("&amp;TEXT(C78,"0%")&amp;" yield), which funnelled to "&amp;TEXT(C96,"0")&amp;" pilots and "&amp;TEXT(C97,"0")&amp;" adopted standards — an overall conversion of "&amp;TEXT(D98,"0.0%")&amp;". "&amp;IF(C78&lt;0.6,"Yield below 60%: the rounds were probably too short, or judgement crept in during generation.","Yield is healthy.")&amp;IF(C94/C93&lt;0.3," Note that fewer than a third of the de-duplicated ideas were feasible in scope — the scope was probably not stated clearly enough at the start of the session.","")</f>
        <v>The session recorded 74 ideas against a theoretical 108 (69% yield), which funnelled to 4 pilots and 3 adopted standards — an overall conversion of 4.1%. Yield is healthy.</v>
      </c>
      <c r="D110" s="168"/>
      <c r="E110" s="168"/>
      <c r="F110" s="168"/>
    </row>
    <row r="112" customFormat="false" ht="16.5" hidden="false" customHeight="true" outlineLevel="0" collapsed="false">
      <c r="B112" s="152" t="s">
        <v>1495</v>
      </c>
      <c r="C112" s="152" t="s">
        <v>1496</v>
      </c>
      <c r="D112" s="152" t="s">
        <v>1497</v>
      </c>
    </row>
    <row r="113" customFormat="false" ht="30.75" hidden="false" customHeight="true" outlineLevel="0" collapsed="false">
      <c r="B113" s="15" t="s">
        <v>9678</v>
      </c>
      <c r="C113" s="15" t="s">
        <v>9679</v>
      </c>
      <c r="D113" s="15" t="s">
        <v>9680</v>
      </c>
    </row>
    <row r="114" customFormat="false" ht="30.75" hidden="false" customHeight="true" outlineLevel="0" collapsed="false">
      <c r="B114" s="15" t="s">
        <v>9681</v>
      </c>
      <c r="C114" s="15" t="s">
        <v>9682</v>
      </c>
      <c r="D114" s="15" t="s">
        <v>9683</v>
      </c>
    </row>
    <row r="115" customFormat="false" ht="30.75" hidden="false" customHeight="true" outlineLevel="0" collapsed="false">
      <c r="B115" s="15" t="s">
        <v>9684</v>
      </c>
      <c r="C115" s="15" t="s">
        <v>9685</v>
      </c>
      <c r="D115" s="15" t="s">
        <v>9686</v>
      </c>
    </row>
    <row r="116" customFormat="false" ht="30.75" hidden="false" customHeight="true" outlineLevel="0" collapsed="false">
      <c r="B116" s="15" t="s">
        <v>9655</v>
      </c>
      <c r="C116" s="15" t="s">
        <v>9687</v>
      </c>
      <c r="D116" s="15" t="s">
        <v>9688</v>
      </c>
    </row>
    <row r="118" customFormat="false" ht="15" hidden="false" customHeight="true" outlineLevel="0" collapsed="false">
      <c r="B118" s="105" t="s">
        <v>1507</v>
      </c>
    </row>
    <row r="119" customFormat="false" ht="17.25" hidden="false" customHeight="true" outlineLevel="0" collapsed="false">
      <c r="B119" s="106" t="s">
        <v>9689</v>
      </c>
      <c r="C119" s="106"/>
      <c r="D119" s="106"/>
      <c r="E119" s="106"/>
      <c r="F119" s="106"/>
    </row>
    <row r="120" customFormat="false" ht="17.25" hidden="false" customHeight="true" outlineLevel="0" collapsed="false">
      <c r="B120" s="106" t="s">
        <v>9690</v>
      </c>
      <c r="C120" s="106"/>
      <c r="D120" s="106"/>
      <c r="E120" s="106"/>
      <c r="F120" s="106"/>
    </row>
    <row r="121" customFormat="false" ht="17.25" hidden="false" customHeight="true" outlineLevel="0" collapsed="false">
      <c r="B121" s="106" t="s">
        <v>9691</v>
      </c>
      <c r="C121" s="106"/>
      <c r="D121" s="106"/>
      <c r="E121" s="106"/>
      <c r="F121" s="106"/>
    </row>
    <row r="122" customFormat="false" ht="17.25" hidden="false" customHeight="true" outlineLevel="0" collapsed="false">
      <c r="B122" s="106" t="s">
        <v>9692</v>
      </c>
      <c r="C122" s="106"/>
      <c r="D122" s="106"/>
      <c r="E122" s="106"/>
      <c r="F122" s="106"/>
    </row>
    <row r="123" customFormat="false" ht="17.25" hidden="false" customHeight="true" outlineLevel="0" collapsed="false">
      <c r="B123" s="106" t="s">
        <v>9693</v>
      </c>
      <c r="C123" s="106"/>
      <c r="D123" s="106"/>
      <c r="E123" s="106"/>
      <c r="F123" s="106"/>
    </row>
    <row r="125" customFormat="false" ht="15.75" hidden="false" customHeight="true" outlineLevel="0" collapsed="false">
      <c r="B125" s="103" t="s">
        <v>1513</v>
      </c>
      <c r="C125" s="8"/>
      <c r="D125" s="8"/>
      <c r="E125" s="8"/>
      <c r="F125" s="8"/>
      <c r="G125" s="8"/>
      <c r="H125" s="8"/>
      <c r="I125" s="8"/>
      <c r="J125" s="8"/>
      <c r="K125" s="8"/>
    </row>
    <row r="126" customFormat="false" ht="17.25" hidden="false" customHeight="true" outlineLevel="0" collapsed="false">
      <c r="B126" s="106" t="s">
        <v>6712</v>
      </c>
      <c r="C126" s="106"/>
      <c r="D126" s="106"/>
      <c r="E126" s="106"/>
      <c r="N126" s="169" t="s">
        <v>1515</v>
      </c>
    </row>
    <row r="127" customFormat="false" ht="44.25" hidden="false" customHeight="true" outlineLevel="0" collapsed="false">
      <c r="B127" s="106" t="s">
        <v>9694</v>
      </c>
      <c r="C127" s="106"/>
      <c r="D127" s="106"/>
      <c r="E127" s="106"/>
      <c r="N127" s="120" t="s">
        <v>9695</v>
      </c>
    </row>
    <row r="128" customFormat="false" ht="44.25" hidden="false" customHeight="true" outlineLevel="0" collapsed="false">
      <c r="B128" s="106" t="s">
        <v>9696</v>
      </c>
      <c r="C128" s="106"/>
      <c r="D128" s="106"/>
      <c r="E128" s="106"/>
      <c r="N128" s="120" t="s">
        <v>9697</v>
      </c>
    </row>
    <row r="129" customFormat="false" ht="44.25" hidden="false" customHeight="true" outlineLevel="0" collapsed="false">
      <c r="B129" s="106" t="s">
        <v>9698</v>
      </c>
      <c r="C129" s="106"/>
      <c r="D129" s="106"/>
      <c r="E129" s="106"/>
      <c r="N129" s="120" t="s">
        <v>9699</v>
      </c>
    </row>
    <row r="131" customFormat="false" ht="15.75" hidden="false" customHeight="true" outlineLevel="0" collapsed="false">
      <c r="B131" s="103" t="s">
        <v>1522</v>
      </c>
      <c r="C131" s="8"/>
      <c r="D131" s="8"/>
      <c r="E131" s="8"/>
      <c r="F131" s="8"/>
      <c r="G131" s="8"/>
      <c r="H131" s="8"/>
      <c r="I131" s="8"/>
      <c r="J131" s="8"/>
      <c r="K131" s="8"/>
    </row>
    <row r="132" customFormat="false" ht="30.75" hidden="false" customHeight="true" outlineLevel="0" collapsed="false">
      <c r="B132" s="152" t="s">
        <v>1523</v>
      </c>
      <c r="C132" s="152" t="s">
        <v>1524</v>
      </c>
      <c r="D132" s="152" t="s">
        <v>6719</v>
      </c>
    </row>
    <row r="133" customFormat="false" ht="30.75" hidden="false" customHeight="true" outlineLevel="0" collapsed="false">
      <c r="B133" s="170" t="s">
        <v>7218</v>
      </c>
      <c r="C133" s="170" t="s">
        <v>9700</v>
      </c>
      <c r="D133" s="170" t="s">
        <v>9701</v>
      </c>
    </row>
  </sheetData>
  <mergeCells count="37">
    <mergeCell ref="B2:J2"/>
    <mergeCell ref="D3:F3"/>
    <mergeCell ref="C6:F6"/>
    <mergeCell ref="C7:F7"/>
    <mergeCell ref="C8:F8"/>
    <mergeCell ref="B11:F13"/>
    <mergeCell ref="B14:F17"/>
    <mergeCell ref="B18:F19"/>
    <mergeCell ref="B20:F22"/>
    <mergeCell ref="B23:F25"/>
    <mergeCell ref="B26:F27"/>
    <mergeCell ref="B30:D30"/>
    <mergeCell ref="B31:D31"/>
    <mergeCell ref="B32:D32"/>
    <mergeCell ref="B33:D33"/>
    <mergeCell ref="B34:F34"/>
    <mergeCell ref="B43:F44"/>
    <mergeCell ref="B46:F48"/>
    <mergeCell ref="B50:F51"/>
    <mergeCell ref="B53:F53"/>
    <mergeCell ref="B62:F64"/>
    <mergeCell ref="C65:D65"/>
    <mergeCell ref="B67:F67"/>
    <mergeCell ref="B68:F68"/>
    <mergeCell ref="B80:F80"/>
    <mergeCell ref="B90:F90"/>
    <mergeCell ref="B100:F100"/>
    <mergeCell ref="C110:F110"/>
    <mergeCell ref="B119:F119"/>
    <mergeCell ref="B120:F120"/>
    <mergeCell ref="B121:F121"/>
    <mergeCell ref="B122:F122"/>
    <mergeCell ref="B123:F123"/>
    <mergeCell ref="B126:E126"/>
    <mergeCell ref="B127:E127"/>
    <mergeCell ref="B128:E128"/>
    <mergeCell ref="B129:E129"/>
  </mergeCells>
  <hyperlinks>
    <hyperlink ref="B3" location="'N-03 Index DMAIC'!A1" display="← Back to Index"/>
    <hyperlink ref="E37" location="'H-01 Project Charter'!A1" display="H-01  Project Charter"/>
    <hyperlink ref="E38" location="'H-11 5 Whys'!A1" display="H-11  5 Whys"/>
    <hyperlink ref="E39" location="'H-02 SIPOC'!A1" display="H-02  SIPOC"/>
    <hyperlink ref="E40" location="'L-21 Kaizen Event'!A1" display="L-21  Kaizen Event"/>
    <hyperlink ref="B133" location="'L-21 Kaizen Event'!A1" display="L-21  Kaizen Event"/>
    <hyperlink ref="C133" location="'L-25 Solution Selection'!A1" display="L-25  Solution Selection"/>
    <hyperlink ref="D133" location="'H-10 Ishikawa'!A1" display="H-10  Ishikawa / Fishbon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3"/>
    <col collapsed="false" customWidth="true" hidden="false" outlineLevel="0" max="8" min="4" style="1" width="20"/>
    <col collapsed="false" customWidth="true" hidden="false" outlineLevel="0" max="9" min="9" style="1" width="34"/>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9702</v>
      </c>
      <c r="C2" s="148"/>
      <c r="D2" s="148"/>
      <c r="E2" s="148"/>
      <c r="F2" s="148"/>
      <c r="G2" s="148"/>
      <c r="H2" s="148"/>
      <c r="I2" s="148"/>
      <c r="J2" s="148"/>
      <c r="K2" s="179" t="s">
        <v>5137</v>
      </c>
    </row>
    <row r="3" customFormat="false" ht="28.5" hidden="false" customHeight="true" outlineLevel="0" collapsed="false">
      <c r="B3" s="150" t="s">
        <v>3</v>
      </c>
      <c r="D3" s="151" t="s">
        <v>9703</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9704</v>
      </c>
      <c r="D6" s="106"/>
      <c r="E6" s="106"/>
      <c r="F6" s="106"/>
      <c r="G6" s="106"/>
    </row>
    <row r="7" customFormat="false" ht="31.5" hidden="false" customHeight="true" outlineLevel="0" collapsed="false">
      <c r="B7" s="105" t="s">
        <v>1394</v>
      </c>
      <c r="C7" s="106" t="s">
        <v>9705</v>
      </c>
      <c r="D7" s="106"/>
      <c r="E7" s="106"/>
      <c r="F7" s="106"/>
      <c r="G7" s="106"/>
    </row>
    <row r="8" customFormat="false" ht="31.5" hidden="false" customHeight="true" outlineLevel="0" collapsed="false">
      <c r="B8" s="105" t="s">
        <v>1396</v>
      </c>
      <c r="C8" s="106" t="s">
        <v>9706</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1.25" hidden="false" customHeight="true" outlineLevel="0" collapsed="false">
      <c r="B11" s="106" t="s">
        <v>9707</v>
      </c>
      <c r="C11" s="106"/>
      <c r="D11" s="106"/>
      <c r="E11" s="106"/>
      <c r="F11" s="106"/>
      <c r="G11" s="106"/>
      <c r="H11" s="106"/>
    </row>
    <row r="12" customFormat="false" ht="11.25" hidden="false" customHeight="true" outlineLevel="0" collapsed="false">
      <c r="B12" s="106"/>
      <c r="C12" s="106"/>
      <c r="D12" s="106"/>
      <c r="E12" s="106"/>
      <c r="F12" s="106"/>
      <c r="G12" s="106"/>
      <c r="H12" s="106"/>
    </row>
    <row r="13" customFormat="false" ht="11.25" hidden="false" customHeight="true" outlineLevel="0" collapsed="false">
      <c r="B13" s="106"/>
      <c r="C13" s="106"/>
      <c r="D13" s="106"/>
      <c r="E13" s="106"/>
      <c r="F13" s="106"/>
      <c r="G13" s="106"/>
      <c r="H13" s="106"/>
    </row>
    <row r="14" customFormat="false" ht="11.25" hidden="false" customHeight="true" outlineLevel="0" collapsed="false">
      <c r="B14" s="106"/>
      <c r="C14" s="106"/>
      <c r="D14" s="106"/>
      <c r="E14" s="106"/>
      <c r="F14" s="106"/>
      <c r="G14" s="106"/>
      <c r="H14" s="106"/>
    </row>
    <row r="15" customFormat="false" ht="17.25" hidden="false" customHeight="true" outlineLevel="0" collapsed="false">
      <c r="B15" s="106" t="s">
        <v>9708</v>
      </c>
      <c r="C15" s="106"/>
      <c r="D15" s="106"/>
      <c r="E15" s="106"/>
      <c r="F15" s="106"/>
      <c r="G15" s="106"/>
      <c r="H15" s="106"/>
    </row>
    <row r="16" customFormat="false" ht="15.75" hidden="false" customHeight="true" outlineLevel="0" collapsed="false">
      <c r="B16" s="106" t="s">
        <v>9709</v>
      </c>
      <c r="C16" s="106"/>
      <c r="D16" s="106"/>
      <c r="E16" s="106"/>
      <c r="F16" s="106"/>
      <c r="G16" s="106"/>
      <c r="H16" s="106"/>
    </row>
    <row r="17" customFormat="false" ht="15.75" hidden="false" customHeight="true" outlineLevel="0" collapsed="false">
      <c r="B17" s="106"/>
      <c r="C17" s="106"/>
      <c r="D17" s="106"/>
      <c r="E17" s="106"/>
      <c r="F17" s="106"/>
      <c r="G17" s="106"/>
      <c r="H17" s="106"/>
    </row>
    <row r="18" customFormat="false" ht="15.75" hidden="false" customHeight="true" outlineLevel="0" collapsed="false">
      <c r="B18" s="106" t="s">
        <v>9710</v>
      </c>
      <c r="C18" s="106"/>
      <c r="D18" s="106"/>
      <c r="E18" s="106"/>
      <c r="F18" s="106"/>
      <c r="G18" s="106"/>
      <c r="H18" s="106"/>
    </row>
    <row r="19" customFormat="false" ht="15.75" hidden="false" customHeight="true" outlineLevel="0" collapsed="false">
      <c r="B19" s="106"/>
      <c r="C19" s="106"/>
      <c r="D19" s="106"/>
      <c r="E19" s="106"/>
      <c r="F19" s="106"/>
      <c r="G19" s="106"/>
      <c r="H19" s="106"/>
    </row>
    <row r="20" customFormat="false" ht="11.25" hidden="false" customHeight="true" outlineLevel="0" collapsed="false">
      <c r="B20" s="106" t="s">
        <v>9711</v>
      </c>
      <c r="C20" s="106"/>
      <c r="D20" s="106"/>
      <c r="E20" s="106"/>
      <c r="F20" s="106"/>
      <c r="G20" s="106"/>
      <c r="H20" s="106"/>
    </row>
    <row r="21" customFormat="false" ht="11.25" hidden="false" customHeight="true" outlineLevel="0" collapsed="false">
      <c r="B21" s="106"/>
      <c r="C21" s="106"/>
      <c r="D21" s="106"/>
      <c r="E21" s="106"/>
      <c r="F21" s="106"/>
      <c r="G21" s="106"/>
      <c r="H21" s="106"/>
    </row>
    <row r="22" customFormat="false" ht="11.25" hidden="false" customHeight="true" outlineLevel="0" collapsed="false">
      <c r="B22" s="106"/>
      <c r="C22" s="106"/>
      <c r="D22" s="106"/>
      <c r="E22" s="106"/>
      <c r="F22" s="106"/>
      <c r="G22" s="106"/>
      <c r="H22" s="106"/>
    </row>
    <row r="23" customFormat="false" ht="11.25" hidden="false" customHeight="true" outlineLevel="0" collapsed="false">
      <c r="B23" s="106"/>
      <c r="C23" s="106"/>
      <c r="D23" s="106"/>
      <c r="E23" s="106"/>
      <c r="F23" s="106"/>
      <c r="G23" s="106"/>
      <c r="H23" s="106"/>
    </row>
    <row r="24" customFormat="false" ht="15.75" hidden="false" customHeight="true" outlineLevel="0" collapsed="false">
      <c r="B24" s="106" t="s">
        <v>9712</v>
      </c>
      <c r="C24" s="106"/>
      <c r="D24" s="106"/>
      <c r="E24" s="106"/>
      <c r="F24" s="106"/>
      <c r="G24" s="106"/>
      <c r="H24" s="106"/>
    </row>
    <row r="25" customFormat="false" ht="15.75" hidden="false" customHeight="true" outlineLevel="0" collapsed="false">
      <c r="B25" s="106"/>
      <c r="C25" s="106"/>
      <c r="D25" s="106"/>
      <c r="E25" s="106"/>
      <c r="F25" s="106"/>
      <c r="G25" s="106"/>
      <c r="H25" s="106"/>
    </row>
    <row r="27" customFormat="false" ht="15.75" hidden="false" customHeight="true" outlineLevel="0" collapsed="false">
      <c r="B27" s="103" t="s">
        <v>1406</v>
      </c>
      <c r="C27" s="8"/>
      <c r="D27" s="8"/>
      <c r="E27" s="8"/>
      <c r="F27" s="8"/>
      <c r="G27" s="8"/>
      <c r="H27" s="8"/>
      <c r="I27" s="8"/>
      <c r="J27" s="8"/>
      <c r="K27" s="8"/>
    </row>
    <row r="28" customFormat="false" ht="17.25" hidden="false" customHeight="true" outlineLevel="0" collapsed="false">
      <c r="B28" s="107" t="s">
        <v>1407</v>
      </c>
      <c r="C28" s="107"/>
      <c r="D28" s="107"/>
      <c r="E28" s="107" t="s">
        <v>1408</v>
      </c>
      <c r="F28" s="107"/>
      <c r="G28" s="107"/>
      <c r="H28" s="107"/>
    </row>
    <row r="29" customFormat="false" ht="31.5" hidden="false" customHeight="true" outlineLevel="0" collapsed="false">
      <c r="B29" s="106" t="s">
        <v>9713</v>
      </c>
      <c r="C29" s="106"/>
      <c r="D29" s="106"/>
      <c r="E29" s="106" t="s">
        <v>9714</v>
      </c>
      <c r="F29" s="106"/>
      <c r="G29" s="106"/>
      <c r="H29" s="106"/>
    </row>
    <row r="30" customFormat="false" ht="31.5" hidden="false" customHeight="true" outlineLevel="0" collapsed="false">
      <c r="B30" s="106" t="s">
        <v>9715</v>
      </c>
      <c r="C30" s="106"/>
      <c r="D30" s="106"/>
      <c r="E30" s="106" t="s">
        <v>9716</v>
      </c>
      <c r="F30" s="106"/>
      <c r="G30" s="106"/>
      <c r="H30" s="106"/>
    </row>
    <row r="31" customFormat="false" ht="31.5" hidden="false" customHeight="true" outlineLevel="0" collapsed="false">
      <c r="B31" s="106" t="s">
        <v>9717</v>
      </c>
      <c r="C31" s="106"/>
      <c r="D31" s="106"/>
      <c r="E31" s="106" t="s">
        <v>9718</v>
      </c>
      <c r="F31" s="106"/>
      <c r="G31" s="106"/>
      <c r="H31" s="106"/>
    </row>
    <row r="32" customFormat="false" ht="17.25" hidden="false" customHeight="true" outlineLevel="0" collapsed="false">
      <c r="B32" s="106" t="s">
        <v>9719</v>
      </c>
      <c r="C32" s="106"/>
      <c r="D32" s="106"/>
      <c r="E32" s="106"/>
      <c r="F32" s="106"/>
      <c r="G32" s="106"/>
      <c r="H32" s="106"/>
    </row>
    <row r="34" customFormat="false" ht="30.75" hidden="false" customHeight="true" outlineLevel="0" collapsed="false">
      <c r="B34" s="152" t="s">
        <v>6621</v>
      </c>
      <c r="C34" s="152" t="s">
        <v>1417</v>
      </c>
      <c r="D34" s="152" t="s">
        <v>1418</v>
      </c>
      <c r="E34" s="152" t="s">
        <v>1419</v>
      </c>
    </row>
    <row r="35" customFormat="false" ht="86.25" hidden="false" customHeight="true" outlineLevel="0" collapsed="false">
      <c r="B35" s="15" t="s">
        <v>9720</v>
      </c>
      <c r="C35" s="15" t="s">
        <v>9721</v>
      </c>
      <c r="D35" s="15" t="s">
        <v>9722</v>
      </c>
      <c r="E35" s="153" t="s">
        <v>1250</v>
      </c>
    </row>
    <row r="36" customFormat="false" ht="72" hidden="false" customHeight="true" outlineLevel="0" collapsed="false">
      <c r="B36" s="15" t="s">
        <v>9723</v>
      </c>
      <c r="C36" s="15" t="s">
        <v>9724</v>
      </c>
      <c r="D36" s="15" t="s">
        <v>9725</v>
      </c>
      <c r="E36" s="153" t="s">
        <v>6744</v>
      </c>
    </row>
    <row r="37" customFormat="false" ht="58.5" hidden="false" customHeight="true" outlineLevel="0" collapsed="false">
      <c r="B37" s="15" t="s">
        <v>9726</v>
      </c>
      <c r="C37" s="15" t="s">
        <v>9727</v>
      </c>
      <c r="D37" s="15" t="s">
        <v>9728</v>
      </c>
      <c r="E37" s="153" t="s">
        <v>1259</v>
      </c>
    </row>
    <row r="38" customFormat="false" ht="86.25" hidden="false" customHeight="true" outlineLevel="0" collapsed="false">
      <c r="B38" s="15" t="s">
        <v>9729</v>
      </c>
      <c r="C38" s="15" t="s">
        <v>9730</v>
      </c>
      <c r="D38" s="15" t="s">
        <v>9731</v>
      </c>
      <c r="E38" s="153" t="s">
        <v>9554</v>
      </c>
    </row>
    <row r="40" customFormat="false" ht="15.75" hidden="false" customHeight="true" outlineLevel="0" collapsed="false">
      <c r="B40" s="103" t="s">
        <v>1429</v>
      </c>
      <c r="C40" s="8"/>
      <c r="D40" s="8"/>
      <c r="E40" s="8"/>
      <c r="F40" s="8"/>
      <c r="G40" s="8"/>
      <c r="H40" s="8"/>
      <c r="I40" s="8"/>
      <c r="J40" s="8"/>
      <c r="K40" s="8"/>
    </row>
    <row r="41" customFormat="false" ht="16.5" hidden="false" customHeight="true" outlineLevel="0" collapsed="false">
      <c r="B41" s="122" t="s">
        <v>9732</v>
      </c>
    </row>
    <row r="42" customFormat="false" ht="7.5" hidden="false" customHeight="true" outlineLevel="0" collapsed="false">
      <c r="B42" s="106" t="s">
        <v>9733</v>
      </c>
      <c r="C42" s="106"/>
      <c r="D42" s="106"/>
      <c r="E42" s="106"/>
      <c r="F42" s="106"/>
      <c r="G42" s="106"/>
      <c r="H42" s="106"/>
    </row>
    <row r="43" customFormat="false" ht="7.5" hidden="false" customHeight="true" outlineLevel="0" collapsed="false">
      <c r="B43" s="106"/>
      <c r="C43" s="106"/>
      <c r="D43" s="106"/>
      <c r="E43" s="106"/>
      <c r="F43" s="106"/>
      <c r="G43" s="106"/>
      <c r="H43" s="106"/>
    </row>
    <row r="44" customFormat="false" ht="7.5" hidden="false" customHeight="true" outlineLevel="0" collapsed="false">
      <c r="B44" s="106"/>
      <c r="C44" s="106"/>
      <c r="D44" s="106"/>
      <c r="E44" s="106"/>
      <c r="F44" s="106"/>
      <c r="G44" s="106"/>
      <c r="H44" s="106"/>
    </row>
    <row r="45" customFormat="false" ht="7.5" hidden="false" customHeight="true" outlineLevel="0" collapsed="false">
      <c r="B45" s="106"/>
      <c r="C45" s="106"/>
      <c r="D45" s="106"/>
      <c r="E45" s="106"/>
      <c r="F45" s="106"/>
      <c r="G45" s="106"/>
      <c r="H45" s="106"/>
    </row>
    <row r="46" customFormat="false" ht="15" hidden="false" customHeight="true" outlineLevel="0" collapsed="false">
      <c r="B46" s="122"/>
    </row>
    <row r="47" customFormat="false" ht="17.25" hidden="false" customHeight="true" outlineLevel="0" collapsed="false">
      <c r="B47" s="106" t="s">
        <v>9734</v>
      </c>
      <c r="C47" s="106"/>
      <c r="D47" s="106"/>
      <c r="E47" s="106"/>
      <c r="F47" s="106"/>
      <c r="G47" s="106"/>
      <c r="H47" s="106"/>
    </row>
    <row r="48" customFormat="false" ht="15" hidden="false" customHeight="true" outlineLevel="0" collapsed="false">
      <c r="B48" s="122"/>
    </row>
    <row r="49" customFormat="false" ht="16.5" hidden="false" customHeight="true" outlineLevel="0" collapsed="false">
      <c r="B49" s="122" t="s">
        <v>9735</v>
      </c>
    </row>
    <row r="50" customFormat="false" ht="17.25" hidden="false" customHeight="true" outlineLevel="0" collapsed="false">
      <c r="B50" s="106" t="s">
        <v>9736</v>
      </c>
      <c r="C50" s="106"/>
      <c r="D50" s="106"/>
      <c r="E50" s="106"/>
      <c r="F50" s="106"/>
      <c r="G50" s="106"/>
      <c r="H50" s="106"/>
    </row>
    <row r="51" customFormat="false" ht="17.25" hidden="false" customHeight="true" outlineLevel="0" collapsed="false">
      <c r="B51" s="106" t="s">
        <v>9737</v>
      </c>
      <c r="C51" s="106"/>
      <c r="D51" s="106"/>
      <c r="E51" s="106"/>
      <c r="F51" s="106"/>
      <c r="G51" s="106"/>
      <c r="H51" s="106"/>
    </row>
    <row r="52" customFormat="false" ht="8.25" hidden="false" customHeight="true" outlineLevel="0" collapsed="false">
      <c r="B52" s="106" t="s">
        <v>9738</v>
      </c>
      <c r="C52" s="106"/>
      <c r="D52" s="106"/>
      <c r="E52" s="106"/>
      <c r="F52" s="106"/>
      <c r="G52" s="106"/>
      <c r="H52" s="106"/>
    </row>
    <row r="53" customFormat="false" ht="8.25" hidden="false" customHeight="true" outlineLevel="0" collapsed="false">
      <c r="B53" s="106"/>
      <c r="C53" s="106"/>
      <c r="D53" s="106"/>
      <c r="E53" s="106"/>
      <c r="F53" s="106"/>
      <c r="G53" s="106"/>
      <c r="H53" s="106"/>
    </row>
    <row r="54" customFormat="false" ht="15" hidden="false" customHeight="true" outlineLevel="0" collapsed="false">
      <c r="B54" s="122"/>
    </row>
    <row r="55" customFormat="false" ht="17.25" hidden="false" customHeight="true" outlineLevel="0" collapsed="false">
      <c r="B55" s="106" t="s">
        <v>9739</v>
      </c>
      <c r="C55" s="106"/>
      <c r="D55" s="106"/>
      <c r="E55" s="106"/>
      <c r="F55" s="106"/>
      <c r="G55" s="106"/>
      <c r="H55" s="106"/>
    </row>
    <row r="57" customFormat="false" ht="15.75" hidden="false" customHeight="true" outlineLevel="0" collapsed="false">
      <c r="B57" s="103" t="s">
        <v>1437</v>
      </c>
      <c r="C57" s="8"/>
      <c r="D57" s="8"/>
      <c r="E57" s="8"/>
      <c r="F57" s="8"/>
      <c r="G57" s="8"/>
      <c r="H57" s="8"/>
      <c r="I57" s="8"/>
      <c r="J57" s="8"/>
      <c r="K57" s="8"/>
    </row>
    <row r="58" customFormat="false" ht="17.25" hidden="false" customHeight="true" outlineLevel="0" collapsed="false">
      <c r="B58" s="152" t="s">
        <v>1438</v>
      </c>
      <c r="C58" s="152" t="s">
        <v>1439</v>
      </c>
      <c r="D58" s="152" t="s">
        <v>1440</v>
      </c>
      <c r="E58" s="152"/>
    </row>
    <row r="59" customFormat="false" ht="44.25" hidden="false" customHeight="true" outlineLevel="0" collapsed="false">
      <c r="B59" s="15" t="s">
        <v>3677</v>
      </c>
      <c r="C59" s="15" t="s">
        <v>9740</v>
      </c>
      <c r="D59" s="15" t="s">
        <v>9741</v>
      </c>
      <c r="E59" s="15"/>
    </row>
    <row r="60" customFormat="false" ht="44.25" hidden="false" customHeight="true" outlineLevel="0" collapsed="false">
      <c r="B60" s="15" t="s">
        <v>2496</v>
      </c>
      <c r="C60" s="15" t="s">
        <v>9742</v>
      </c>
      <c r="D60" s="15" t="s">
        <v>9743</v>
      </c>
      <c r="E60" s="15"/>
    </row>
    <row r="61" customFormat="false" ht="31.5" hidden="false" customHeight="true" outlineLevel="0" collapsed="false">
      <c r="B61" s="15" t="s">
        <v>1920</v>
      </c>
      <c r="C61" s="15" t="s">
        <v>9744</v>
      </c>
      <c r="D61" s="15" t="s">
        <v>9745</v>
      </c>
      <c r="E61" s="15"/>
    </row>
    <row r="62" customFormat="false" ht="30.75" hidden="false" customHeight="true" outlineLevel="0" collapsed="false">
      <c r="B62" s="15" t="s">
        <v>5349</v>
      </c>
      <c r="C62" s="15" t="s">
        <v>9746</v>
      </c>
      <c r="D62" s="15" t="s">
        <v>9747</v>
      </c>
      <c r="E62" s="15"/>
    </row>
    <row r="63" customFormat="false" ht="72" hidden="false" customHeight="true" outlineLevel="0" collapsed="false">
      <c r="B63" s="15" t="s">
        <v>9748</v>
      </c>
      <c r="C63" s="15" t="s">
        <v>9749</v>
      </c>
      <c r="D63" s="15" t="s">
        <v>9750</v>
      </c>
      <c r="E63" s="15"/>
    </row>
    <row r="65" customFormat="false" ht="15.75" hidden="false" customHeight="true" outlineLevel="0" collapsed="false">
      <c r="B65" s="103" t="s">
        <v>1454</v>
      </c>
      <c r="C65" s="8"/>
      <c r="D65" s="8"/>
      <c r="E65" s="8"/>
      <c r="F65" s="8"/>
      <c r="G65" s="8"/>
      <c r="H65" s="8"/>
      <c r="I65" s="8"/>
      <c r="J65" s="8"/>
      <c r="K65" s="8"/>
    </row>
    <row r="66" customFormat="false" ht="10.5" hidden="false" customHeight="true" outlineLevel="0" collapsed="false">
      <c r="B66" s="106" t="s">
        <v>9751</v>
      </c>
      <c r="C66" s="106"/>
      <c r="D66" s="106"/>
      <c r="E66" s="106"/>
      <c r="F66" s="106"/>
      <c r="G66" s="106"/>
      <c r="H66" s="106"/>
    </row>
    <row r="67" customFormat="false" ht="10.5" hidden="false" customHeight="true" outlineLevel="0" collapsed="false">
      <c r="B67" s="106"/>
      <c r="C67" s="106"/>
      <c r="D67" s="106"/>
      <c r="E67" s="106"/>
      <c r="F67" s="106"/>
      <c r="G67" s="106"/>
      <c r="H67" s="106"/>
    </row>
    <row r="68" customFormat="false" ht="10.5" hidden="false" customHeight="true" outlineLevel="0" collapsed="false">
      <c r="B68" s="106"/>
      <c r="C68" s="106"/>
      <c r="D68" s="106"/>
      <c r="E68" s="106"/>
      <c r="F68" s="106"/>
      <c r="G68" s="106"/>
      <c r="H68" s="106"/>
    </row>
    <row r="69" customFormat="false" ht="17.25" hidden="false" customHeight="true" outlineLevel="0" collapsed="false">
      <c r="B69" s="112" t="s">
        <v>85</v>
      </c>
      <c r="C69" s="113" t="s">
        <v>86</v>
      </c>
      <c r="D69" s="113"/>
      <c r="E69" s="113"/>
    </row>
    <row r="71" customFormat="false" ht="17.25" hidden="false" customHeight="true" outlineLevel="0" collapsed="false">
      <c r="B71" s="107" t="s">
        <v>9752</v>
      </c>
      <c r="C71" s="107"/>
      <c r="D71" s="107"/>
      <c r="E71" s="107"/>
      <c r="F71" s="107"/>
      <c r="G71" s="107"/>
      <c r="H71" s="107"/>
    </row>
    <row r="72" customFormat="false" ht="28.5" hidden="false" customHeight="true" outlineLevel="0" collapsed="false">
      <c r="B72" s="182" t="s">
        <v>9753</v>
      </c>
      <c r="C72" s="182"/>
      <c r="D72" s="182"/>
      <c r="E72" s="182"/>
      <c r="F72" s="182"/>
      <c r="G72" s="182"/>
      <c r="H72" s="182"/>
    </row>
    <row r="74" customFormat="false" ht="58.5" hidden="false" customHeight="true" outlineLevel="0" collapsed="false">
      <c r="B74" s="152" t="s">
        <v>1495</v>
      </c>
      <c r="C74" s="152" t="s">
        <v>9754</v>
      </c>
      <c r="D74" s="152" t="s">
        <v>9755</v>
      </c>
      <c r="E74" s="152" t="s">
        <v>9756</v>
      </c>
      <c r="F74" s="152" t="s">
        <v>9757</v>
      </c>
      <c r="G74" s="152" t="s">
        <v>9758</v>
      </c>
      <c r="H74" s="152" t="s">
        <v>9759</v>
      </c>
    </row>
    <row r="75" customFormat="false" ht="16.5" hidden="false" customHeight="true" outlineLevel="0" collapsed="false">
      <c r="B75" s="15" t="s">
        <v>9760</v>
      </c>
      <c r="C75" s="155" t="n">
        <v>5</v>
      </c>
      <c r="D75" s="161" t="n">
        <f aca="false">0</f>
        <v>0</v>
      </c>
      <c r="E75" s="192" t="n">
        <v>1</v>
      </c>
      <c r="F75" s="192" t="n">
        <v>1</v>
      </c>
      <c r="G75" s="192" t="n">
        <v>1</v>
      </c>
      <c r="H75" s="192" t="n">
        <v>1</v>
      </c>
    </row>
    <row r="76" customFormat="false" ht="16.5" hidden="false" customHeight="true" outlineLevel="0" collapsed="false">
      <c r="B76" s="15" t="s">
        <v>9761</v>
      </c>
      <c r="C76" s="155" t="n">
        <v>4</v>
      </c>
      <c r="D76" s="161" t="n">
        <f aca="false">0</f>
        <v>0</v>
      </c>
      <c r="E76" s="192" t="n">
        <v>1</v>
      </c>
      <c r="F76" s="192" t="n">
        <v>-1</v>
      </c>
      <c r="G76" s="192" t="n">
        <v>1</v>
      </c>
      <c r="H76" s="192" t="n">
        <v>-1</v>
      </c>
    </row>
    <row r="77" customFormat="false" ht="16.5" hidden="false" customHeight="true" outlineLevel="0" collapsed="false">
      <c r="B77" s="15" t="s">
        <v>9762</v>
      </c>
      <c r="C77" s="155" t="n">
        <v>3</v>
      </c>
      <c r="D77" s="161" t="n">
        <f aca="false">0</f>
        <v>0</v>
      </c>
      <c r="E77" s="192" t="n">
        <v>1</v>
      </c>
      <c r="F77" s="192" t="n">
        <v>0</v>
      </c>
      <c r="G77" s="192" t="n">
        <v>1</v>
      </c>
      <c r="H77" s="192" t="n">
        <v>-1</v>
      </c>
    </row>
    <row r="78" customFormat="false" ht="16.5" hidden="false" customHeight="true" outlineLevel="0" collapsed="false">
      <c r="B78" s="15" t="s">
        <v>9763</v>
      </c>
      <c r="C78" s="155" t="n">
        <v>5</v>
      </c>
      <c r="D78" s="161" t="n">
        <f aca="false">0</f>
        <v>0</v>
      </c>
      <c r="E78" s="192" t="n">
        <v>0</v>
      </c>
      <c r="F78" s="192" t="n">
        <v>1</v>
      </c>
      <c r="G78" s="192" t="n">
        <v>1</v>
      </c>
      <c r="H78" s="192" t="n">
        <v>1</v>
      </c>
    </row>
    <row r="79" customFormat="false" ht="16.5" hidden="false" customHeight="true" outlineLevel="0" collapsed="false">
      <c r="B79" s="15" t="s">
        <v>9764</v>
      </c>
      <c r="C79" s="155" t="n">
        <v>4</v>
      </c>
      <c r="D79" s="161" t="n">
        <f aca="false">0</f>
        <v>0</v>
      </c>
      <c r="E79" s="192" t="n">
        <v>1</v>
      </c>
      <c r="F79" s="192" t="n">
        <v>1</v>
      </c>
      <c r="G79" s="192" t="n">
        <v>1</v>
      </c>
      <c r="H79" s="192" t="n">
        <v>0</v>
      </c>
    </row>
    <row r="80" customFormat="false" ht="16.5" hidden="false" customHeight="true" outlineLevel="0" collapsed="false">
      <c r="B80" s="15" t="s">
        <v>9765</v>
      </c>
      <c r="C80" s="155" t="n">
        <v>2</v>
      </c>
      <c r="D80" s="161" t="n">
        <f aca="false">0</f>
        <v>0</v>
      </c>
      <c r="E80" s="192" t="n">
        <v>1</v>
      </c>
      <c r="F80" s="192" t="n">
        <v>0</v>
      </c>
      <c r="G80" s="192" t="n">
        <v>1</v>
      </c>
      <c r="H80" s="192" t="n">
        <v>1</v>
      </c>
    </row>
    <row r="81" customFormat="false" ht="16.5" hidden="false" customHeight="true" outlineLevel="0" collapsed="false">
      <c r="B81" s="15" t="s">
        <v>9766</v>
      </c>
      <c r="C81" s="155" t="n">
        <v>3</v>
      </c>
      <c r="D81" s="161" t="n">
        <f aca="false">0</f>
        <v>0</v>
      </c>
      <c r="E81" s="192" t="n">
        <v>1</v>
      </c>
      <c r="F81" s="192" t="n">
        <v>-1</v>
      </c>
      <c r="G81" s="192" t="n">
        <v>1</v>
      </c>
      <c r="H81" s="192" t="n">
        <v>-1</v>
      </c>
    </row>
    <row r="82" customFormat="false" ht="16.5" hidden="false" customHeight="true" outlineLevel="0" collapsed="false">
      <c r="B82" s="162" t="s">
        <v>9767</v>
      </c>
      <c r="C82" s="163"/>
      <c r="D82" s="193" t="n">
        <f aca="false">SUM(D75:D81)</f>
        <v>0</v>
      </c>
      <c r="E82" s="193" t="n">
        <f aca="false">SUM(E75:E81)</f>
        <v>6</v>
      </c>
      <c r="F82" s="193" t="n">
        <f aca="false">SUM(F75:F81)</f>
        <v>1</v>
      </c>
      <c r="G82" s="193" t="n">
        <f aca="false">SUM(G75:G81)</f>
        <v>7</v>
      </c>
      <c r="H82" s="193" t="n">
        <f aca="false">SUM(H75:H81)</f>
        <v>0</v>
      </c>
    </row>
    <row r="83" customFormat="false" ht="16.5" hidden="false" customHeight="true" outlineLevel="0" collapsed="false">
      <c r="B83" s="162" t="s">
        <v>9768</v>
      </c>
      <c r="C83" s="163"/>
      <c r="D83" s="161" t="n">
        <f aca="false">COUNTIF(D75:D81,1)</f>
        <v>0</v>
      </c>
      <c r="E83" s="161" t="n">
        <f aca="false">COUNTIF(E75:E81,1)</f>
        <v>6</v>
      </c>
      <c r="F83" s="161" t="n">
        <f aca="false">COUNTIF(F75:F81,1)</f>
        <v>3</v>
      </c>
      <c r="G83" s="161" t="n">
        <f aca="false">COUNTIF(G75:G81,1)</f>
        <v>7</v>
      </c>
      <c r="H83" s="161" t="n">
        <f aca="false">COUNTIF(H75:H81,1)</f>
        <v>3</v>
      </c>
    </row>
    <row r="84" customFormat="false" ht="16.5" hidden="false" customHeight="true" outlineLevel="0" collapsed="false">
      <c r="B84" s="162" t="s">
        <v>9769</v>
      </c>
      <c r="C84" s="163"/>
      <c r="D84" s="161" t="n">
        <f aca="false">COUNTIF(D75:D81,-1)</f>
        <v>0</v>
      </c>
      <c r="E84" s="161" t="n">
        <f aca="false">COUNTIF(E75:E81,-1)</f>
        <v>0</v>
      </c>
      <c r="F84" s="161" t="n">
        <f aca="false">COUNTIF(F75:F81,-1)</f>
        <v>2</v>
      </c>
      <c r="G84" s="161" t="n">
        <f aca="false">COUNTIF(G75:G81,-1)</f>
        <v>0</v>
      </c>
      <c r="H84" s="161" t="n">
        <f aca="false">COUNTIF(H75:H81,-1)</f>
        <v>3</v>
      </c>
    </row>
    <row r="85" customFormat="false" ht="16.5" hidden="false" customHeight="true" outlineLevel="0" collapsed="false">
      <c r="B85" s="162" t="s">
        <v>9770</v>
      </c>
      <c r="C85" s="163"/>
      <c r="D85" s="193" t="n">
        <f aca="false">SUMPRODUCT($C$75:$C$81,D75:D81)</f>
        <v>0</v>
      </c>
      <c r="E85" s="193" t="n">
        <f aca="false">SUMPRODUCT($C$75:$C$81,E75:E81)</f>
        <v>21</v>
      </c>
      <c r="F85" s="193" t="n">
        <f aca="false">SUMPRODUCT($C$75:$C$81,F75:F81)</f>
        <v>7</v>
      </c>
      <c r="G85" s="193" t="n">
        <f aca="false">SUMPRODUCT($C$75:$C$81,G75:G81)</f>
        <v>26</v>
      </c>
      <c r="H85" s="193" t="n">
        <f aca="false">SUMPRODUCT($C$75:$C$81,H75:H81)</f>
        <v>2</v>
      </c>
    </row>
    <row r="86" customFormat="false" ht="16.5" hidden="false" customHeight="true" outlineLevel="0" collapsed="false">
      <c r="B86" s="162" t="s">
        <v>5376</v>
      </c>
      <c r="C86" s="163"/>
      <c r="D86" s="185" t="n">
        <f aca="false">RANK(D85,$D$85:$H$85,0)</f>
        <v>5</v>
      </c>
      <c r="E86" s="185" t="n">
        <f aca="false">RANK(E85,$D$85:$H$85,0)</f>
        <v>2</v>
      </c>
      <c r="F86" s="185" t="n">
        <f aca="false">RANK(F85,$D$85:$H$85,0)</f>
        <v>3</v>
      </c>
      <c r="G86" s="185" t="n">
        <f aca="false">RANK(G85,$D$85:$H$85,0)</f>
        <v>1</v>
      </c>
      <c r="H86" s="185" t="n">
        <f aca="false">RANK(H85,$D$85:$H$85,0)</f>
        <v>4</v>
      </c>
    </row>
    <row r="88" customFormat="false" ht="17.25" hidden="false" customHeight="true" outlineLevel="0" collapsed="false">
      <c r="B88" s="152" t="s">
        <v>6689</v>
      </c>
      <c r="C88" s="152" t="s">
        <v>6654</v>
      </c>
      <c r="D88" s="152" t="s">
        <v>88</v>
      </c>
      <c r="E88" s="152"/>
    </row>
    <row r="89" customFormat="false" ht="44.25" hidden="false" customHeight="true" outlineLevel="0" collapsed="false">
      <c r="B89" s="15" t="s">
        <v>9771</v>
      </c>
      <c r="C89" s="167" t="str">
        <f aca="false">INDEX($D$74:$H$74,MATCH(MAX($D$85:$H$85),$D$85:$H$85,0))</f>
        <v>C  Full kitting trolley</v>
      </c>
      <c r="D89" s="15" t="s">
        <v>9772</v>
      </c>
      <c r="E89" s="15"/>
    </row>
    <row r="90" customFormat="false" ht="17.25" hidden="false" customHeight="true" outlineLevel="0" collapsed="false">
      <c r="B90" s="15" t="s">
        <v>9773</v>
      </c>
      <c r="C90" s="188" t="n">
        <f aca="false">MAX($D$85:$H$85)</f>
        <v>26</v>
      </c>
      <c r="D90" s="15" t="s">
        <v>9774</v>
      </c>
      <c r="E90" s="15"/>
    </row>
    <row r="91" customFormat="false" ht="31.5" hidden="false" customHeight="true" outlineLevel="0" collapsed="false">
      <c r="B91" s="15" t="s">
        <v>2610</v>
      </c>
      <c r="C91" s="161" t="n">
        <f aca="false">MAX($D$85:$H$85)-LARGE($D$85:$H$85,2)</f>
        <v>5</v>
      </c>
      <c r="D91" s="15" t="s">
        <v>9775</v>
      </c>
      <c r="E91" s="15"/>
    </row>
    <row r="92" customFormat="false" ht="17.25" hidden="false" customHeight="true" outlineLevel="0" collapsed="false">
      <c r="B92" s="15" t="s">
        <v>9776</v>
      </c>
      <c r="C92" s="161" t="n">
        <f aca="false">COUNTIF($D$85:$H$85,"&lt;0")</f>
        <v>0</v>
      </c>
      <c r="D92" s="15" t="s">
        <v>9777</v>
      </c>
      <c r="E92" s="15"/>
    </row>
    <row r="94" customFormat="false" ht="17.25" hidden="false" customHeight="true" outlineLevel="0" collapsed="false">
      <c r="B94" s="107" t="s">
        <v>9778</v>
      </c>
      <c r="C94" s="107"/>
      <c r="D94" s="107"/>
      <c r="E94" s="107"/>
      <c r="F94" s="107"/>
      <c r="G94" s="107"/>
      <c r="H94" s="107"/>
    </row>
    <row r="95" customFormat="false" ht="17.25" hidden="false" customHeight="true" outlineLevel="0" collapsed="false">
      <c r="B95" s="152" t="s">
        <v>9779</v>
      </c>
      <c r="C95" s="152" t="s">
        <v>9780</v>
      </c>
      <c r="D95" s="152" t="s">
        <v>9781</v>
      </c>
      <c r="E95" s="152" t="s">
        <v>9782</v>
      </c>
      <c r="F95" s="152" t="s">
        <v>9783</v>
      </c>
      <c r="G95" s="152"/>
      <c r="H95" s="152"/>
    </row>
    <row r="96" customFormat="false" ht="17.25" hidden="false" customHeight="true" outlineLevel="0" collapsed="false">
      <c r="B96" s="15" t="s">
        <v>9756</v>
      </c>
      <c r="C96" s="155" t="n">
        <v>4</v>
      </c>
      <c r="D96" s="155" t="n">
        <v>2</v>
      </c>
      <c r="E96" s="174" t="n">
        <f aca="false">IFERROR(C96/D96,0)</f>
        <v>2</v>
      </c>
      <c r="F96" s="167" t="str">
        <f aca="false">IF(AND(C96&gt;=3,D96&lt;=2),"JUST DO IT — high impact, low effort",IF(AND(C96&gt;=3,D96&gt;=3),"MAJOR PROJECT — plan it properly",IF(AND(C96&lt;3,D96&lt;=2),"FILL-IN — do it when there is time","AVOID — low impact, high effort")))</f>
        <v>JUST DO IT — high impact, low effort</v>
      </c>
      <c r="G96" s="167"/>
      <c r="H96" s="167"/>
    </row>
    <row r="97" customFormat="false" ht="17.25" hidden="false" customHeight="true" outlineLevel="0" collapsed="false">
      <c r="B97" s="15" t="s">
        <v>9757</v>
      </c>
      <c r="C97" s="155" t="n">
        <v>5</v>
      </c>
      <c r="D97" s="155" t="n">
        <v>4</v>
      </c>
      <c r="E97" s="174" t="n">
        <f aca="false">IFERROR(C97/D97,0)</f>
        <v>1.25</v>
      </c>
      <c r="F97" s="167" t="str">
        <f aca="false">IF(AND(C97&gt;=3,D97&lt;=2),"JUST DO IT — high impact, low effort",IF(AND(C97&gt;=3,D97&gt;=3),"MAJOR PROJECT — plan it properly",IF(AND(C97&lt;3,D97&lt;=2),"FILL-IN — do it when there is time","AVOID — low impact, high effort")))</f>
        <v>MAJOR PROJECT — plan it properly</v>
      </c>
      <c r="G97" s="167"/>
      <c r="H97" s="167"/>
    </row>
    <row r="98" customFormat="false" ht="17.25" hidden="false" customHeight="true" outlineLevel="0" collapsed="false">
      <c r="B98" s="15" t="s">
        <v>9758</v>
      </c>
      <c r="C98" s="155" t="n">
        <v>4</v>
      </c>
      <c r="D98" s="155" t="n">
        <v>2</v>
      </c>
      <c r="E98" s="174" t="n">
        <f aca="false">IFERROR(C98/D98,0)</f>
        <v>2</v>
      </c>
      <c r="F98" s="167" t="str">
        <f aca="false">IF(AND(C98&gt;=3,D98&lt;=2),"JUST DO IT — high impact, low effort",IF(AND(C98&gt;=3,D98&gt;=3),"MAJOR PROJECT — plan it properly",IF(AND(C98&lt;3,D98&lt;=2),"FILL-IN — do it when there is time","AVOID — low impact, high effort")))</f>
        <v>JUST DO IT — high impact, low effort</v>
      </c>
      <c r="G98" s="167"/>
      <c r="H98" s="167"/>
    </row>
    <row r="99" customFormat="false" ht="17.25" hidden="false" customHeight="true" outlineLevel="0" collapsed="false">
      <c r="B99" s="15" t="s">
        <v>9759</v>
      </c>
      <c r="C99" s="155" t="n">
        <v>3</v>
      </c>
      <c r="D99" s="155" t="n">
        <v>5</v>
      </c>
      <c r="E99" s="174" t="n">
        <f aca="false">IFERROR(C99/D99,0)</f>
        <v>0.6</v>
      </c>
      <c r="F99" s="167" t="str">
        <f aca="false">IF(AND(C99&gt;=3,D99&lt;=2),"JUST DO IT — high impact, low effort",IF(AND(C99&gt;=3,D99&gt;=3),"MAJOR PROJECT — plan it properly",IF(AND(C99&lt;3,D99&lt;=2),"FILL-IN — do it when there is time","AVOID — low impact, high effort")))</f>
        <v>MAJOR PROJECT — plan it properly</v>
      </c>
      <c r="G99" s="167"/>
      <c r="H99" s="167"/>
    </row>
    <row r="100" customFormat="false" ht="17.25" hidden="false" customHeight="true" outlineLevel="0" collapsed="false">
      <c r="B100" s="15" t="s">
        <v>9784</v>
      </c>
      <c r="C100" s="155" t="n">
        <v>2</v>
      </c>
      <c r="D100" s="155" t="n">
        <v>1</v>
      </c>
      <c r="E100" s="174" t="n">
        <f aca="false">IFERROR(C100/D100,0)</f>
        <v>2</v>
      </c>
      <c r="F100" s="167" t="str">
        <f aca="false">IF(AND(C100&gt;=3,D100&lt;=2),"JUST DO IT — high impact, low effort",IF(AND(C100&gt;=3,D100&gt;=3),"MAJOR PROJECT — plan it properly",IF(AND(C100&lt;3,D100&lt;=2),"FILL-IN — do it when there is time","AVOID — low impact, high effort")))</f>
        <v>FILL-IN — do it when there is time</v>
      </c>
      <c r="G100" s="167"/>
      <c r="H100" s="167"/>
    </row>
    <row r="101" customFormat="false" ht="17.25" hidden="false" customHeight="true" outlineLevel="0" collapsed="false">
      <c r="B101" s="15" t="s">
        <v>9785</v>
      </c>
      <c r="C101" s="155" t="n">
        <v>5</v>
      </c>
      <c r="D101" s="155" t="n">
        <v>5</v>
      </c>
      <c r="E101" s="174" t="n">
        <f aca="false">IFERROR(C101/D101,0)</f>
        <v>1</v>
      </c>
      <c r="F101" s="167" t="str">
        <f aca="false">IF(AND(C101&gt;=3,D101&lt;=2),"JUST DO IT — high impact, low effort",IF(AND(C101&gt;=3,D101&gt;=3),"MAJOR PROJECT — plan it properly",IF(AND(C101&lt;3,D101&lt;=2),"FILL-IN — do it when there is time","AVOID — low impact, high effort")))</f>
        <v>MAJOR PROJECT — plan it properly</v>
      </c>
      <c r="G101" s="167"/>
      <c r="H101" s="167"/>
    </row>
    <row r="103" customFormat="false" ht="44.25" hidden="false" customHeight="true" outlineLevel="0" collapsed="false">
      <c r="B103" s="162" t="s">
        <v>9786</v>
      </c>
      <c r="C103" s="187" t="str">
        <f aca="false">INDEX(B96:B101,MATCH(MAX(E96:E101),E96:E101,0))</f>
        <v>A  Quick-release clamps</v>
      </c>
      <c r="D103" s="15" t="s">
        <v>9787</v>
      </c>
    </row>
    <row r="105" customFormat="false" ht="15.75" hidden="false" customHeight="true" outlineLevel="0" collapsed="false">
      <c r="B105" s="103" t="s">
        <v>1493</v>
      </c>
      <c r="C105" s="8"/>
      <c r="D105" s="8"/>
      <c r="E105" s="8"/>
      <c r="F105" s="8"/>
      <c r="G105" s="8"/>
      <c r="H105" s="8"/>
      <c r="I105" s="8"/>
      <c r="J105" s="8"/>
      <c r="K105" s="8"/>
    </row>
    <row r="106" customFormat="false" ht="65.25" hidden="false" customHeight="true" outlineLevel="0" collapsed="false">
      <c r="B106" s="105" t="s">
        <v>1494</v>
      </c>
      <c r="C106" s="168" t="str">
        <f aca="false">"Pugh matrix: the highest weighted score is "&amp;INDEX($D$74:$H$74,MATCH(MAX($D$85:$H$85),$D$85:$H$85,0))&amp;" at "&amp;TEXT(MAX($D$85:$H$85),"+0;-0;0")&amp;", "&amp;TEXT(C91,"0")&amp;" points clear of the next option. "&amp;IF(C91&lt;=3,"That margin is small, so the ranking depends on the weights: run a sensitivity check by changing the weights before committing.","The margin is comfortable, so the ranking is robust to reasonable changes in the weights.")&amp;" Take the winner to a pilot (L-26) rather than to a full roll-out."</f>
        <v>Pugh matrix: the highest weighted score is C  Full kitting trolley at +26, 5 points clear of the next option. The margin is comfortable, so the ranking is robust to reasonable changes in the weights. Take the winner to a pilot (L-26) rather than to a full roll-out.</v>
      </c>
      <c r="D106" s="168"/>
      <c r="E106" s="168"/>
      <c r="F106" s="168"/>
      <c r="G106" s="168"/>
    </row>
    <row r="108" customFormat="false" ht="17.25" hidden="false" customHeight="true" outlineLevel="0" collapsed="false">
      <c r="B108" s="152" t="s">
        <v>1495</v>
      </c>
      <c r="C108" s="152" t="s">
        <v>1496</v>
      </c>
      <c r="D108" s="152" t="s">
        <v>1497</v>
      </c>
      <c r="E108" s="152"/>
    </row>
    <row r="109" customFormat="false" ht="72" hidden="false" customHeight="true" outlineLevel="0" collapsed="false">
      <c r="B109" s="15" t="s">
        <v>9788</v>
      </c>
      <c r="C109" s="15" t="s">
        <v>9789</v>
      </c>
      <c r="D109" s="15" t="s">
        <v>9790</v>
      </c>
      <c r="E109" s="15"/>
    </row>
    <row r="110" customFormat="false" ht="17.25" hidden="false" customHeight="true" outlineLevel="0" collapsed="false">
      <c r="B110" s="15" t="s">
        <v>9791</v>
      </c>
      <c r="C110" s="15" t="s">
        <v>9792</v>
      </c>
      <c r="D110" s="15" t="s">
        <v>9793</v>
      </c>
      <c r="E110" s="15"/>
    </row>
    <row r="111" customFormat="false" ht="31.5" hidden="false" customHeight="true" outlineLevel="0" collapsed="false">
      <c r="B111" s="15" t="s">
        <v>9794</v>
      </c>
      <c r="C111" s="15" t="s">
        <v>7316</v>
      </c>
      <c r="D111" s="15" t="s">
        <v>9795</v>
      </c>
      <c r="E111" s="15"/>
    </row>
    <row r="112" customFormat="false" ht="58.5" hidden="false" customHeight="true" outlineLevel="0" collapsed="false">
      <c r="B112" s="15" t="s">
        <v>9796</v>
      </c>
      <c r="C112" s="15" t="s">
        <v>9797</v>
      </c>
      <c r="D112" s="15" t="s">
        <v>9798</v>
      </c>
      <c r="E112" s="15"/>
    </row>
    <row r="114" customFormat="false" ht="15" hidden="false" customHeight="true" outlineLevel="0" collapsed="false">
      <c r="B114" s="105" t="s">
        <v>1507</v>
      </c>
    </row>
    <row r="115" customFormat="false" ht="17.25" hidden="false" customHeight="true" outlineLevel="0" collapsed="false">
      <c r="B115" s="106" t="s">
        <v>9799</v>
      </c>
      <c r="C115" s="106"/>
      <c r="D115" s="106"/>
      <c r="E115" s="106"/>
      <c r="F115" s="106"/>
      <c r="G115" s="106"/>
      <c r="H115" s="106"/>
    </row>
    <row r="116" customFormat="false" ht="17.25" hidden="false" customHeight="true" outlineLevel="0" collapsed="false">
      <c r="B116" s="106" t="s">
        <v>9800</v>
      </c>
      <c r="C116" s="106"/>
      <c r="D116" s="106"/>
      <c r="E116" s="106"/>
      <c r="F116" s="106"/>
      <c r="G116" s="106"/>
      <c r="H116" s="106"/>
    </row>
    <row r="117" customFormat="false" ht="17.25" hidden="false" customHeight="true" outlineLevel="0" collapsed="false">
      <c r="B117" s="106" t="s">
        <v>9801</v>
      </c>
      <c r="C117" s="106"/>
      <c r="D117" s="106"/>
      <c r="E117" s="106"/>
      <c r="F117" s="106"/>
      <c r="G117" s="106"/>
      <c r="H117" s="106"/>
    </row>
    <row r="118" customFormat="false" ht="17.25" hidden="false" customHeight="true" outlineLevel="0" collapsed="false">
      <c r="B118" s="106" t="s">
        <v>9802</v>
      </c>
      <c r="C118" s="106"/>
      <c r="D118" s="106"/>
      <c r="E118" s="106"/>
      <c r="F118" s="106"/>
      <c r="G118" s="106"/>
      <c r="H118" s="106"/>
    </row>
    <row r="119" customFormat="false" ht="17.25" hidden="false" customHeight="true" outlineLevel="0" collapsed="false">
      <c r="B119" s="106" t="s">
        <v>9803</v>
      </c>
      <c r="C119" s="106"/>
      <c r="D119" s="106"/>
      <c r="E119" s="106"/>
      <c r="F119" s="106"/>
      <c r="G119" s="106"/>
      <c r="H119" s="106"/>
    </row>
    <row r="121" customFormat="false" ht="15.75" hidden="false" customHeight="true" outlineLevel="0" collapsed="false">
      <c r="B121" s="103" t="s">
        <v>1513</v>
      </c>
      <c r="C121" s="8"/>
      <c r="D121" s="8"/>
      <c r="E121" s="8"/>
      <c r="F121" s="8"/>
      <c r="G121" s="8"/>
      <c r="H121" s="8"/>
      <c r="I121" s="8"/>
      <c r="J121" s="8"/>
      <c r="K121" s="8"/>
    </row>
    <row r="122" customFormat="false" ht="17.25" hidden="false" customHeight="true" outlineLevel="0" collapsed="false">
      <c r="B122" s="106" t="s">
        <v>6712</v>
      </c>
      <c r="C122" s="106"/>
      <c r="D122" s="106"/>
      <c r="E122" s="106"/>
      <c r="N122" s="169" t="s">
        <v>1515</v>
      </c>
    </row>
    <row r="123" customFormat="false" ht="44.25" hidden="false" customHeight="true" outlineLevel="0" collapsed="false">
      <c r="B123" s="106" t="s">
        <v>9804</v>
      </c>
      <c r="C123" s="106"/>
      <c r="D123" s="106"/>
      <c r="E123" s="106"/>
      <c r="N123" s="120" t="s">
        <v>9805</v>
      </c>
    </row>
    <row r="124" customFormat="false" ht="44.25" hidden="false" customHeight="true" outlineLevel="0" collapsed="false">
      <c r="B124" s="106" t="s">
        <v>9806</v>
      </c>
      <c r="C124" s="106"/>
      <c r="D124" s="106"/>
      <c r="E124" s="106"/>
      <c r="N124" s="120" t="s">
        <v>9807</v>
      </c>
    </row>
    <row r="125" customFormat="false" ht="44.25" hidden="false" customHeight="true" outlineLevel="0" collapsed="false">
      <c r="B125" s="106" t="s">
        <v>9808</v>
      </c>
      <c r="C125" s="106"/>
      <c r="D125" s="106"/>
      <c r="E125" s="106"/>
      <c r="N125" s="120" t="s">
        <v>9809</v>
      </c>
    </row>
    <row r="127" customFormat="false" ht="15.75" hidden="false" customHeight="true" outlineLevel="0" collapsed="false">
      <c r="B127" s="103" t="s">
        <v>1522</v>
      </c>
      <c r="C127" s="8"/>
      <c r="D127" s="8"/>
      <c r="E127" s="8"/>
      <c r="F127" s="8"/>
      <c r="G127" s="8"/>
      <c r="H127" s="8"/>
      <c r="I127" s="8"/>
      <c r="J127" s="8"/>
      <c r="K127" s="8"/>
    </row>
    <row r="128" customFormat="false" ht="30.75" hidden="false" customHeight="true" outlineLevel="0" collapsed="false">
      <c r="B128" s="152" t="s">
        <v>1523</v>
      </c>
      <c r="C128" s="152" t="s">
        <v>1524</v>
      </c>
      <c r="D128" s="152" t="s">
        <v>6719</v>
      </c>
    </row>
    <row r="129" customFormat="false" ht="58.5" hidden="false" customHeight="true" outlineLevel="0" collapsed="false">
      <c r="B129" s="170" t="s">
        <v>9810</v>
      </c>
      <c r="C129" s="170" t="s">
        <v>9554</v>
      </c>
      <c r="D129" s="170" t="s">
        <v>9811</v>
      </c>
    </row>
  </sheetData>
  <mergeCells count="64">
    <mergeCell ref="B2:J2"/>
    <mergeCell ref="D3:H3"/>
    <mergeCell ref="C6:G6"/>
    <mergeCell ref="C7:G7"/>
    <mergeCell ref="C8:G8"/>
    <mergeCell ref="B11:H14"/>
    <mergeCell ref="B15:H15"/>
    <mergeCell ref="B16:H17"/>
    <mergeCell ref="B18:H19"/>
    <mergeCell ref="B20:H23"/>
    <mergeCell ref="B24:H25"/>
    <mergeCell ref="B28:D28"/>
    <mergeCell ref="E28:H28"/>
    <mergeCell ref="B29:D29"/>
    <mergeCell ref="E29:H29"/>
    <mergeCell ref="B30:D30"/>
    <mergeCell ref="E30:H30"/>
    <mergeCell ref="B31:D31"/>
    <mergeCell ref="E31:H31"/>
    <mergeCell ref="B32:H32"/>
    <mergeCell ref="B42:H45"/>
    <mergeCell ref="B47:H47"/>
    <mergeCell ref="B50:H50"/>
    <mergeCell ref="B51:H51"/>
    <mergeCell ref="B52:H53"/>
    <mergeCell ref="B55:H55"/>
    <mergeCell ref="D58:E58"/>
    <mergeCell ref="D59:E59"/>
    <mergeCell ref="D60:E60"/>
    <mergeCell ref="D61:E61"/>
    <mergeCell ref="D62:E62"/>
    <mergeCell ref="D63:E63"/>
    <mergeCell ref="B66:H68"/>
    <mergeCell ref="C69:E69"/>
    <mergeCell ref="B71:H71"/>
    <mergeCell ref="B72:H72"/>
    <mergeCell ref="D88:E88"/>
    <mergeCell ref="D89:E89"/>
    <mergeCell ref="D90:E90"/>
    <mergeCell ref="D91:E91"/>
    <mergeCell ref="D92:E92"/>
    <mergeCell ref="B94:H94"/>
    <mergeCell ref="F95:H95"/>
    <mergeCell ref="F96:H96"/>
    <mergeCell ref="F97:H97"/>
    <mergeCell ref="F98:H98"/>
    <mergeCell ref="F99:H99"/>
    <mergeCell ref="F100:H100"/>
    <mergeCell ref="F101:H101"/>
    <mergeCell ref="C106:G106"/>
    <mergeCell ref="D108:E108"/>
    <mergeCell ref="D109:E109"/>
    <mergeCell ref="D110:E110"/>
    <mergeCell ref="D111:E111"/>
    <mergeCell ref="D112:E112"/>
    <mergeCell ref="B115:H115"/>
    <mergeCell ref="B116:H116"/>
    <mergeCell ref="B117:H117"/>
    <mergeCell ref="B118:H118"/>
    <mergeCell ref="B119:H119"/>
    <mergeCell ref="B122:E122"/>
    <mergeCell ref="B123:E123"/>
    <mergeCell ref="B124:E124"/>
    <mergeCell ref="B125:E125"/>
  </mergeCells>
  <hyperlinks>
    <hyperlink ref="B3" location="'N-03 Index DMAIC'!A1" display="← Back to Index"/>
    <hyperlink ref="E35" location="'H-01 Project Charter'!A1" display="H-01  Project Charter"/>
    <hyperlink ref="E36" location="'L-14 Standard Work'!A1" display="L-14  Standard Work"/>
    <hyperlink ref="E37" location="'G-03 Stakeholder Analysis'!A1" display="G-03  Stakeholder Analysis"/>
    <hyperlink ref="E38" location="'L-26 Pilot and Confirmation'!A1" display="L-26  Pilot and Confirmation Run"/>
    <hyperlink ref="B129" location="'L-24 Idea Generation'!A1" display="L-24  Idea Generation"/>
    <hyperlink ref="C129" location="'L-26 Pilot and Confirmation'!A1" display="L-26  Pilot and Confirmation Run"/>
    <hyperlink ref="D129" location="'H-12 Cause Effect Matrix'!A1" display="H-12  Cause and Effect Matri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0"/>
    <col collapsed="false" customWidth="true" hidden="false" outlineLevel="0" max="5" min="4" style="1" width="20"/>
    <col collapsed="false" customWidth="true" hidden="false" outlineLevel="0" max="6" min="6" style="1" width="16"/>
    <col collapsed="false" customWidth="true" hidden="false" outlineLevel="0" max="10" min="7"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9812</v>
      </c>
      <c r="C2" s="148"/>
      <c r="D2" s="148"/>
      <c r="E2" s="148"/>
      <c r="F2" s="148"/>
      <c r="G2" s="148"/>
      <c r="H2" s="148"/>
      <c r="I2" s="148"/>
      <c r="J2" s="148"/>
      <c r="K2" s="179" t="s">
        <v>5137</v>
      </c>
    </row>
    <row r="3" customFormat="false" ht="54.75" hidden="false" customHeight="true" outlineLevel="0" collapsed="false">
      <c r="B3" s="150" t="s">
        <v>3</v>
      </c>
      <c r="D3" s="151" t="s">
        <v>9813</v>
      </c>
      <c r="E3" s="151"/>
      <c r="F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9814</v>
      </c>
      <c r="D6" s="106"/>
    </row>
    <row r="7" customFormat="false" ht="31.5" hidden="false" customHeight="true" outlineLevel="0" collapsed="false">
      <c r="B7" s="105" t="s">
        <v>1394</v>
      </c>
      <c r="C7" s="106" t="s">
        <v>9815</v>
      </c>
      <c r="D7" s="106"/>
    </row>
    <row r="8" customFormat="false" ht="31.5" hidden="false" customHeight="true" outlineLevel="0" collapsed="false">
      <c r="B8" s="105" t="s">
        <v>1396</v>
      </c>
      <c r="C8" s="106" t="s">
        <v>9816</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9817</v>
      </c>
      <c r="C11" s="106"/>
      <c r="D11" s="106"/>
      <c r="E11" s="106"/>
      <c r="F11" s="106"/>
    </row>
    <row r="12" customFormat="false" ht="10.5" hidden="false" customHeight="true" outlineLevel="0" collapsed="false">
      <c r="B12" s="106"/>
      <c r="C12" s="106"/>
      <c r="D12" s="106"/>
      <c r="E12" s="106"/>
      <c r="F12" s="106"/>
    </row>
    <row r="13" customFormat="false" ht="10.5" hidden="false" customHeight="true" outlineLevel="0" collapsed="false">
      <c r="B13" s="106"/>
      <c r="C13" s="106"/>
      <c r="D13" s="106"/>
      <c r="E13" s="106"/>
      <c r="F13" s="106"/>
    </row>
    <row r="14" customFormat="false" ht="11.25" hidden="false" customHeight="true" outlineLevel="0" collapsed="false">
      <c r="B14" s="106" t="s">
        <v>9818</v>
      </c>
      <c r="C14" s="106"/>
      <c r="D14" s="106"/>
      <c r="E14" s="106"/>
      <c r="F14" s="106"/>
    </row>
    <row r="15" customFormat="false" ht="11.25" hidden="false" customHeight="true" outlineLevel="0" collapsed="false">
      <c r="B15" s="106"/>
      <c r="C15" s="106"/>
      <c r="D15" s="106"/>
      <c r="E15" s="106"/>
      <c r="F15" s="106"/>
    </row>
    <row r="16" customFormat="false" ht="11.25" hidden="false" customHeight="true" outlineLevel="0" collapsed="false">
      <c r="B16" s="106"/>
      <c r="C16" s="106"/>
      <c r="D16" s="106"/>
      <c r="E16" s="106"/>
      <c r="F16" s="106"/>
    </row>
    <row r="17" customFormat="false" ht="11.25" hidden="false" customHeight="true" outlineLevel="0" collapsed="false">
      <c r="B17" s="106"/>
      <c r="C17" s="106"/>
      <c r="D17" s="106"/>
      <c r="E17" s="106"/>
      <c r="F17" s="106"/>
    </row>
    <row r="18" customFormat="false" ht="10.5" hidden="false" customHeight="true" outlineLevel="0" collapsed="false">
      <c r="B18" s="106" t="s">
        <v>9819</v>
      </c>
      <c r="C18" s="106"/>
      <c r="D18" s="106"/>
      <c r="E18" s="106"/>
      <c r="F18" s="106"/>
    </row>
    <row r="19" customFormat="false" ht="10.5" hidden="false" customHeight="true" outlineLevel="0" collapsed="false">
      <c r="B19" s="106"/>
      <c r="C19" s="106"/>
      <c r="D19" s="106"/>
      <c r="E19" s="106"/>
      <c r="F19" s="106"/>
    </row>
    <row r="20" customFormat="false" ht="10.5" hidden="false" customHeight="true" outlineLevel="0" collapsed="false">
      <c r="B20" s="106"/>
      <c r="C20" s="106"/>
      <c r="D20" s="106"/>
      <c r="E20" s="106"/>
      <c r="F20" s="106"/>
    </row>
    <row r="21" customFormat="false" ht="10.5" hidden="false" customHeight="true" outlineLevel="0" collapsed="false">
      <c r="B21" s="106" t="s">
        <v>9820</v>
      </c>
      <c r="C21" s="106"/>
      <c r="D21" s="106"/>
      <c r="E21" s="106"/>
      <c r="F21" s="106"/>
    </row>
    <row r="22" customFormat="false" ht="10.5" hidden="false" customHeight="true" outlineLevel="0" collapsed="false">
      <c r="B22" s="106"/>
      <c r="C22" s="106"/>
      <c r="D22" s="106"/>
      <c r="E22" s="106"/>
      <c r="F22" s="106"/>
    </row>
    <row r="23" customFormat="false" ht="10.5" hidden="false" customHeight="true" outlineLevel="0" collapsed="false">
      <c r="B23" s="106"/>
      <c r="C23" s="106"/>
      <c r="D23" s="106"/>
      <c r="E23" s="106"/>
      <c r="F23" s="106"/>
    </row>
    <row r="24" customFormat="false" ht="15.75" hidden="false" customHeight="true" outlineLevel="0" collapsed="false">
      <c r="B24" s="106" t="s">
        <v>9821</v>
      </c>
      <c r="C24" s="106"/>
      <c r="D24" s="106"/>
      <c r="E24" s="106"/>
      <c r="F24" s="106"/>
    </row>
    <row r="25" customFormat="false" ht="15.75" hidden="false" customHeight="true" outlineLevel="0" collapsed="false">
      <c r="B25" s="106"/>
      <c r="C25" s="106"/>
      <c r="D25" s="106"/>
      <c r="E25" s="106"/>
      <c r="F25" s="106"/>
    </row>
    <row r="26" customFormat="false" ht="8.25" hidden="false" customHeight="true" outlineLevel="0" collapsed="false">
      <c r="B26" s="106" t="s">
        <v>9822</v>
      </c>
      <c r="C26" s="106"/>
      <c r="D26" s="106"/>
      <c r="E26" s="106"/>
      <c r="F26" s="106"/>
    </row>
    <row r="27" customFormat="false" ht="8.25" hidden="false" customHeight="true" outlineLevel="0" collapsed="false">
      <c r="B27" s="106"/>
      <c r="C27" s="106"/>
      <c r="D27" s="106"/>
      <c r="E27" s="106"/>
      <c r="F27" s="106"/>
    </row>
    <row r="29" customFormat="false" ht="15.75" hidden="false" customHeight="true" outlineLevel="0" collapsed="false">
      <c r="B29" s="103" t="s">
        <v>1406</v>
      </c>
      <c r="C29" s="8"/>
      <c r="D29" s="8"/>
      <c r="E29" s="8"/>
      <c r="F29" s="8"/>
      <c r="G29" s="8"/>
      <c r="H29" s="8"/>
      <c r="I29" s="8"/>
      <c r="J29" s="8"/>
      <c r="K29" s="8"/>
    </row>
    <row r="30" customFormat="false" ht="17.25" hidden="false" customHeight="true" outlineLevel="0" collapsed="false">
      <c r="B30" s="107" t="s">
        <v>1407</v>
      </c>
      <c r="C30" s="107"/>
      <c r="E30" s="107" t="s">
        <v>1408</v>
      </c>
      <c r="F30" s="107"/>
    </row>
    <row r="31" customFormat="false" ht="31.5" hidden="false" customHeight="true" outlineLevel="0" collapsed="false">
      <c r="B31" s="106" t="s">
        <v>9823</v>
      </c>
      <c r="C31" s="106"/>
      <c r="E31" s="106" t="s">
        <v>9824</v>
      </c>
      <c r="F31" s="106"/>
    </row>
    <row r="32" customFormat="false" ht="31.5" hidden="false" customHeight="true" outlineLevel="0" collapsed="false">
      <c r="B32" s="106" t="s">
        <v>9825</v>
      </c>
      <c r="C32" s="106"/>
      <c r="E32" s="106" t="s">
        <v>9826</v>
      </c>
      <c r="F32" s="106"/>
    </row>
    <row r="33" customFormat="false" ht="31.5" hidden="false" customHeight="true" outlineLevel="0" collapsed="false">
      <c r="B33" s="106" t="s">
        <v>9827</v>
      </c>
      <c r="C33" s="106"/>
      <c r="E33" s="106" t="s">
        <v>9828</v>
      </c>
      <c r="F33" s="106"/>
    </row>
    <row r="34" customFormat="false" ht="17.25" hidden="false" customHeight="true" outlineLevel="0" collapsed="false">
      <c r="B34" s="106" t="s">
        <v>9829</v>
      </c>
      <c r="C34" s="106"/>
      <c r="D34" s="106"/>
      <c r="E34" s="106"/>
      <c r="F34" s="106"/>
    </row>
    <row r="36" customFormat="false" ht="30.75" hidden="false" customHeight="true" outlineLevel="0" collapsed="false">
      <c r="B36" s="152" t="s">
        <v>6621</v>
      </c>
      <c r="C36" s="152" t="s">
        <v>1417</v>
      </c>
      <c r="D36" s="152" t="s">
        <v>1418</v>
      </c>
      <c r="E36" s="152" t="s">
        <v>1419</v>
      </c>
    </row>
    <row r="37" customFormat="false" ht="58.5" hidden="false" customHeight="true" outlineLevel="0" collapsed="false">
      <c r="B37" s="15" t="s">
        <v>9830</v>
      </c>
      <c r="C37" s="15" t="s">
        <v>9831</v>
      </c>
      <c r="D37" s="15" t="s">
        <v>9832</v>
      </c>
      <c r="E37" s="153" t="s">
        <v>7697</v>
      </c>
    </row>
    <row r="38" customFormat="false" ht="44.25" hidden="false" customHeight="true" outlineLevel="0" collapsed="false">
      <c r="B38" s="15" t="s">
        <v>9833</v>
      </c>
      <c r="C38" s="15" t="s">
        <v>9834</v>
      </c>
      <c r="D38" s="15" t="s">
        <v>9835</v>
      </c>
      <c r="E38" s="153" t="s">
        <v>973</v>
      </c>
    </row>
    <row r="39" customFormat="false" ht="58.5" hidden="false" customHeight="true" outlineLevel="0" collapsed="false">
      <c r="B39" s="15" t="s">
        <v>9836</v>
      </c>
      <c r="C39" s="15" t="s">
        <v>9837</v>
      </c>
      <c r="D39" s="15" t="s">
        <v>9838</v>
      </c>
      <c r="E39" s="153" t="s">
        <v>9839</v>
      </c>
    </row>
    <row r="40" customFormat="false" ht="72" hidden="false" customHeight="true" outlineLevel="0" collapsed="false">
      <c r="B40" s="15" t="s">
        <v>9840</v>
      </c>
      <c r="C40" s="15" t="s">
        <v>9841</v>
      </c>
      <c r="D40" s="15" t="s">
        <v>9842</v>
      </c>
      <c r="E40" s="153" t="s">
        <v>7921</v>
      </c>
    </row>
    <row r="42" customFormat="false" ht="15.75" hidden="false" customHeight="true" outlineLevel="0" collapsed="false">
      <c r="B42" s="103" t="s">
        <v>1429</v>
      </c>
      <c r="C42" s="8"/>
      <c r="D42" s="8"/>
      <c r="E42" s="8"/>
      <c r="F42" s="8"/>
      <c r="G42" s="8"/>
      <c r="H42" s="8"/>
      <c r="I42" s="8"/>
      <c r="J42" s="8"/>
      <c r="K42" s="8"/>
    </row>
    <row r="43" customFormat="false" ht="17.25" hidden="false" customHeight="true" outlineLevel="0" collapsed="false">
      <c r="B43" s="106" t="s">
        <v>9843</v>
      </c>
      <c r="C43" s="106"/>
      <c r="D43" s="106"/>
      <c r="E43" s="106"/>
      <c r="F43" s="106"/>
    </row>
    <row r="44" customFormat="false" ht="15.75" hidden="false" customHeight="true" outlineLevel="0" collapsed="false">
      <c r="B44" s="106" t="s">
        <v>9844</v>
      </c>
      <c r="C44" s="106"/>
      <c r="D44" s="106"/>
      <c r="E44" s="106"/>
      <c r="F44" s="106"/>
    </row>
    <row r="45" customFormat="false" ht="15.75" hidden="false" customHeight="true" outlineLevel="0" collapsed="false">
      <c r="B45" s="106"/>
      <c r="C45" s="106"/>
      <c r="D45" s="106"/>
      <c r="E45" s="106"/>
      <c r="F45" s="106"/>
    </row>
    <row r="46" customFormat="false" ht="15" hidden="false" customHeight="true" outlineLevel="0" collapsed="false">
      <c r="B46" s="122"/>
    </row>
    <row r="47" customFormat="false" ht="17.25" hidden="false" customHeight="true" outlineLevel="0" collapsed="false">
      <c r="B47" s="106" t="s">
        <v>9845</v>
      </c>
      <c r="C47" s="106"/>
      <c r="D47" s="106"/>
      <c r="E47" s="106"/>
      <c r="F47" s="106"/>
    </row>
    <row r="48" customFormat="false" ht="10.5" hidden="false" customHeight="true" outlineLevel="0" collapsed="false">
      <c r="B48" s="106" t="s">
        <v>9846</v>
      </c>
      <c r="C48" s="106"/>
      <c r="D48" s="106"/>
      <c r="E48" s="106"/>
      <c r="F48" s="106"/>
    </row>
    <row r="49" customFormat="false" ht="10.5" hidden="false" customHeight="true" outlineLevel="0" collapsed="false">
      <c r="B49" s="106"/>
      <c r="C49" s="106"/>
      <c r="D49" s="106"/>
      <c r="E49" s="106"/>
      <c r="F49" s="106"/>
    </row>
    <row r="50" customFormat="false" ht="10.5" hidden="false" customHeight="true" outlineLevel="0" collapsed="false">
      <c r="B50" s="106"/>
      <c r="C50" s="106"/>
      <c r="D50" s="106"/>
      <c r="E50" s="106"/>
      <c r="F50" s="106"/>
    </row>
    <row r="51" customFormat="false" ht="15" hidden="false" customHeight="true" outlineLevel="0" collapsed="false">
      <c r="B51" s="122"/>
    </row>
    <row r="52" customFormat="false" ht="15.75" hidden="false" customHeight="true" outlineLevel="0" collapsed="false">
      <c r="B52" s="106" t="s">
        <v>9847</v>
      </c>
      <c r="C52" s="106"/>
      <c r="D52" s="106"/>
      <c r="E52" s="106"/>
      <c r="F52" s="106"/>
    </row>
    <row r="53" customFormat="false" ht="15.75" hidden="false" customHeight="true" outlineLevel="0" collapsed="false">
      <c r="B53" s="106"/>
      <c r="C53" s="106"/>
      <c r="D53" s="106"/>
      <c r="E53" s="106"/>
      <c r="F53" s="106"/>
    </row>
    <row r="54" customFormat="false" ht="15" hidden="false" customHeight="true" outlineLevel="0" collapsed="false">
      <c r="B54" s="122"/>
    </row>
    <row r="55" customFormat="false" ht="15.75" hidden="false" customHeight="true" outlineLevel="0" collapsed="false">
      <c r="B55" s="106" t="s">
        <v>9848</v>
      </c>
      <c r="C55" s="106"/>
      <c r="D55" s="106"/>
      <c r="E55" s="106"/>
      <c r="F55" s="106"/>
    </row>
    <row r="56" customFormat="false" ht="15.75" hidden="false" customHeight="true" outlineLevel="0" collapsed="false">
      <c r="B56" s="106"/>
      <c r="C56" s="106"/>
      <c r="D56" s="106"/>
      <c r="E56" s="106"/>
      <c r="F56" s="106"/>
    </row>
    <row r="58" customFormat="false" ht="15.75" hidden="false" customHeight="true" outlineLevel="0" collapsed="false">
      <c r="B58" s="103" t="s">
        <v>1437</v>
      </c>
      <c r="C58" s="8"/>
      <c r="D58" s="8"/>
      <c r="E58" s="8"/>
      <c r="F58" s="8"/>
      <c r="G58" s="8"/>
      <c r="H58" s="8"/>
      <c r="I58" s="8"/>
      <c r="J58" s="8"/>
      <c r="K58" s="8"/>
    </row>
    <row r="59" customFormat="false" ht="17.25" hidden="false" customHeight="true" outlineLevel="0" collapsed="false">
      <c r="B59" s="152" t="s">
        <v>1438</v>
      </c>
      <c r="C59" s="152" t="s">
        <v>1439</v>
      </c>
      <c r="D59" s="152" t="s">
        <v>1440</v>
      </c>
      <c r="E59" s="152"/>
    </row>
    <row r="60" customFormat="false" ht="31.5" hidden="false" customHeight="true" outlineLevel="0" collapsed="false">
      <c r="B60" s="15" t="s">
        <v>1574</v>
      </c>
      <c r="C60" s="15" t="s">
        <v>9849</v>
      </c>
      <c r="D60" s="15" t="s">
        <v>9850</v>
      </c>
      <c r="E60" s="15"/>
    </row>
    <row r="61" customFormat="false" ht="17.25" hidden="false" customHeight="true" outlineLevel="0" collapsed="false">
      <c r="B61" s="15" t="s">
        <v>2667</v>
      </c>
      <c r="C61" s="15" t="s">
        <v>9851</v>
      </c>
      <c r="D61" s="15" t="s">
        <v>9852</v>
      </c>
      <c r="E61" s="15"/>
    </row>
    <row r="62" customFormat="false" ht="31.5" hidden="false" customHeight="true" outlineLevel="0" collapsed="false">
      <c r="B62" s="15" t="s">
        <v>2211</v>
      </c>
      <c r="C62" s="15" t="s">
        <v>3241</v>
      </c>
      <c r="D62" s="15" t="s">
        <v>9853</v>
      </c>
      <c r="E62" s="15"/>
    </row>
    <row r="63" customFormat="false" ht="17.25" hidden="false" customHeight="true" outlineLevel="0" collapsed="false">
      <c r="B63" s="15" t="s">
        <v>1571</v>
      </c>
      <c r="C63" s="15" t="s">
        <v>9854</v>
      </c>
      <c r="D63" s="15" t="s">
        <v>9855</v>
      </c>
      <c r="E63" s="15"/>
    </row>
    <row r="64" customFormat="false" ht="30.75" hidden="false" customHeight="true" outlineLevel="0" collapsed="false">
      <c r="B64" s="15" t="s">
        <v>9748</v>
      </c>
      <c r="C64" s="15" t="s">
        <v>9856</v>
      </c>
      <c r="D64" s="15" t="s">
        <v>9857</v>
      </c>
      <c r="E64" s="15"/>
    </row>
    <row r="65" customFormat="false" ht="17.25" hidden="false" customHeight="true" outlineLevel="0" collapsed="false">
      <c r="B65" s="15" t="s">
        <v>1920</v>
      </c>
      <c r="C65" s="15" t="s">
        <v>9858</v>
      </c>
      <c r="D65" s="15" t="s">
        <v>9859</v>
      </c>
      <c r="E65" s="15"/>
    </row>
    <row r="67" customFormat="false" ht="15.75" hidden="false" customHeight="true" outlineLevel="0" collapsed="false">
      <c r="B67" s="103" t="s">
        <v>1454</v>
      </c>
      <c r="C67" s="8"/>
      <c r="D67" s="8"/>
      <c r="E67" s="8"/>
      <c r="F67" s="8"/>
      <c r="G67" s="8"/>
      <c r="H67" s="8"/>
      <c r="I67" s="8"/>
      <c r="J67" s="8"/>
      <c r="K67" s="8"/>
    </row>
    <row r="68" customFormat="false" ht="10.5" hidden="false" customHeight="true" outlineLevel="0" collapsed="false">
      <c r="B68" s="106" t="s">
        <v>9860</v>
      </c>
      <c r="C68" s="106"/>
      <c r="D68" s="106"/>
      <c r="E68" s="106"/>
      <c r="F68" s="106"/>
    </row>
    <row r="69" customFormat="false" ht="10.5" hidden="false" customHeight="true" outlineLevel="0" collapsed="false">
      <c r="B69" s="106"/>
      <c r="C69" s="106"/>
      <c r="D69" s="106"/>
      <c r="E69" s="106"/>
      <c r="F69" s="106"/>
    </row>
    <row r="70" customFormat="false" ht="10.5" hidden="false" customHeight="true" outlineLevel="0" collapsed="false">
      <c r="B70" s="106"/>
      <c r="C70" s="106"/>
      <c r="D70" s="106"/>
      <c r="E70" s="106"/>
      <c r="F70" s="106"/>
    </row>
    <row r="71" customFormat="false" ht="15" hidden="false" customHeight="true" outlineLevel="0" collapsed="false">
      <c r="B71" s="112" t="s">
        <v>85</v>
      </c>
      <c r="C71" s="154" t="s">
        <v>86</v>
      </c>
    </row>
    <row r="73" customFormat="false" ht="15" hidden="false" customHeight="true" outlineLevel="0" collapsed="false">
      <c r="B73" s="105" t="s">
        <v>9861</v>
      </c>
    </row>
    <row r="74" customFormat="false" ht="17.25" hidden="false" customHeight="true" outlineLevel="0" collapsed="false">
      <c r="B74" s="152" t="s">
        <v>9862</v>
      </c>
      <c r="C74" s="152" t="s">
        <v>1375</v>
      </c>
      <c r="D74" s="152" t="s">
        <v>8303</v>
      </c>
      <c r="E74" s="152"/>
    </row>
    <row r="75" customFormat="false" ht="30.75" hidden="false" customHeight="true" outlineLevel="0" collapsed="false">
      <c r="B75" s="15" t="s">
        <v>9863</v>
      </c>
      <c r="C75" s="177" t="s">
        <v>9864</v>
      </c>
      <c r="D75" s="15" t="s">
        <v>9865</v>
      </c>
      <c r="E75" s="15"/>
    </row>
    <row r="76" customFormat="false" ht="17.25" hidden="false" customHeight="true" outlineLevel="0" collapsed="false">
      <c r="B76" s="15" t="s">
        <v>9866</v>
      </c>
      <c r="C76" s="177" t="s">
        <v>9867</v>
      </c>
      <c r="D76" s="15" t="s">
        <v>9868</v>
      </c>
      <c r="E76" s="15"/>
    </row>
    <row r="77" customFormat="false" ht="17.25" hidden="false" customHeight="true" outlineLevel="0" collapsed="false">
      <c r="B77" s="15" t="s">
        <v>9869</v>
      </c>
      <c r="C77" s="177" t="s">
        <v>9870</v>
      </c>
      <c r="D77" s="15" t="s">
        <v>9871</v>
      </c>
      <c r="E77" s="15"/>
    </row>
    <row r="78" customFormat="false" ht="31.5" hidden="false" customHeight="true" outlineLevel="0" collapsed="false">
      <c r="B78" s="15" t="s">
        <v>9872</v>
      </c>
      <c r="C78" s="177" t="s">
        <v>9873</v>
      </c>
      <c r="D78" s="15" t="s">
        <v>9874</v>
      </c>
      <c r="E78" s="15"/>
    </row>
    <row r="79" customFormat="false" ht="17.25" hidden="false" customHeight="true" outlineLevel="0" collapsed="false">
      <c r="B79" s="15" t="s">
        <v>9875</v>
      </c>
      <c r="C79" s="177" t="s">
        <v>9212</v>
      </c>
      <c r="D79" s="15" t="s">
        <v>9876</v>
      </c>
      <c r="E79" s="15"/>
    </row>
    <row r="80" customFormat="false" ht="31.5" hidden="false" customHeight="true" outlineLevel="0" collapsed="false">
      <c r="B80" s="15" t="s">
        <v>9877</v>
      </c>
      <c r="C80" s="177" t="s">
        <v>9878</v>
      </c>
      <c r="D80" s="15" t="s">
        <v>9879</v>
      </c>
      <c r="E80" s="15"/>
    </row>
    <row r="81" customFormat="false" ht="30.75" hidden="false" customHeight="true" outlineLevel="0" collapsed="false">
      <c r="B81" s="15" t="s">
        <v>9880</v>
      </c>
      <c r="C81" s="177" t="s">
        <v>9881</v>
      </c>
      <c r="D81" s="15" t="s">
        <v>9882</v>
      </c>
      <c r="E81" s="15"/>
    </row>
    <row r="83" customFormat="false" ht="17.25" hidden="false" customHeight="true" outlineLevel="0" collapsed="false">
      <c r="B83" s="107" t="s">
        <v>9883</v>
      </c>
      <c r="C83" s="107"/>
      <c r="D83" s="107"/>
      <c r="E83" s="107"/>
      <c r="F83" s="107"/>
    </row>
    <row r="84" customFormat="false" ht="16.5" hidden="false" customHeight="true" outlineLevel="0" collapsed="false">
      <c r="B84" s="152" t="s">
        <v>7376</v>
      </c>
      <c r="C84" s="152" t="s">
        <v>6654</v>
      </c>
      <c r="D84" s="152" t="s">
        <v>6575</v>
      </c>
      <c r="E84" s="152" t="s">
        <v>6655</v>
      </c>
    </row>
    <row r="85" customFormat="false" ht="16.5" hidden="false" customHeight="true" outlineLevel="0" collapsed="false">
      <c r="B85" s="15" t="s">
        <v>9884</v>
      </c>
      <c r="C85" s="157" t="n">
        <v>24</v>
      </c>
      <c r="D85" s="15" t="s">
        <v>6816</v>
      </c>
      <c r="E85" s="15" t="s">
        <v>9885</v>
      </c>
    </row>
    <row r="86" customFormat="false" ht="30.75" hidden="false" customHeight="true" outlineLevel="0" collapsed="false">
      <c r="B86" s="15" t="s">
        <v>9886</v>
      </c>
      <c r="C86" s="157" t="n">
        <v>20</v>
      </c>
      <c r="D86" s="15" t="s">
        <v>6816</v>
      </c>
      <c r="E86" s="15" t="s">
        <v>9887</v>
      </c>
    </row>
    <row r="87" customFormat="false" ht="30.75" hidden="false" customHeight="true" outlineLevel="0" collapsed="false">
      <c r="B87" s="15" t="s">
        <v>9888</v>
      </c>
      <c r="C87" s="156" t="n">
        <v>0.05</v>
      </c>
      <c r="D87" s="15"/>
      <c r="E87" s="15" t="s">
        <v>9889</v>
      </c>
    </row>
    <row r="88" customFormat="false" ht="30.75" hidden="false" customHeight="true" outlineLevel="0" collapsed="false">
      <c r="B88" s="15" t="s">
        <v>9890</v>
      </c>
      <c r="C88" s="156" t="n">
        <v>0.9</v>
      </c>
      <c r="D88" s="15"/>
      <c r="E88" s="15" t="s">
        <v>9891</v>
      </c>
    </row>
    <row r="89" customFormat="false" ht="16.5" hidden="false" customHeight="true" outlineLevel="0" collapsed="false">
      <c r="B89" s="15" t="s">
        <v>9892</v>
      </c>
      <c r="C89" s="176" t="n">
        <f aca="false">NORMSINV(1-C87/2)</f>
        <v>1.95996398454005</v>
      </c>
      <c r="D89" s="15"/>
      <c r="E89" s="15" t="s">
        <v>9893</v>
      </c>
    </row>
    <row r="90" customFormat="false" ht="16.5" hidden="false" customHeight="true" outlineLevel="0" collapsed="false">
      <c r="B90" s="15" t="s">
        <v>9894</v>
      </c>
      <c r="C90" s="176" t="n">
        <f aca="false">NORMSINV(C88)</f>
        <v>1.2815515655446</v>
      </c>
      <c r="D90" s="15"/>
      <c r="E90" s="15"/>
    </row>
    <row r="91" customFormat="false" ht="16.5" hidden="false" customHeight="true" outlineLevel="0" collapsed="false">
      <c r="B91" s="15" t="s">
        <v>9895</v>
      </c>
      <c r="C91" s="161" t="n">
        <f aca="false">IFERROR(ROUNDUP(2*((C89+C90)^2)*(C85^2)/(C86^2),0),0)</f>
        <v>31</v>
      </c>
      <c r="D91" s="15" t="s">
        <v>8425</v>
      </c>
      <c r="E91" s="15" t="s">
        <v>9896</v>
      </c>
    </row>
    <row r="92" customFormat="false" ht="16.5" hidden="false" customHeight="true" outlineLevel="0" collapsed="false">
      <c r="B92" s="15" t="s">
        <v>8424</v>
      </c>
      <c r="C92" s="155" t="n">
        <v>11</v>
      </c>
      <c r="D92" s="15" t="s">
        <v>8425</v>
      </c>
      <c r="E92" s="15"/>
    </row>
    <row r="93" customFormat="false" ht="30.75" hidden="false" customHeight="true" outlineLevel="0" collapsed="false">
      <c r="B93" s="15" t="s">
        <v>9897</v>
      </c>
      <c r="C93" s="161" t="n">
        <f aca="false">IFERROR(ROUNDUP(C91/C92,0),0)</f>
        <v>3</v>
      </c>
      <c r="D93" s="15" t="s">
        <v>8428</v>
      </c>
      <c r="E93" s="15" t="s">
        <v>9898</v>
      </c>
    </row>
    <row r="95" customFormat="false" ht="17.25" hidden="false" customHeight="true" outlineLevel="0" collapsed="false">
      <c r="B95" s="107" t="s">
        <v>9899</v>
      </c>
      <c r="C95" s="107"/>
      <c r="D95" s="107"/>
      <c r="E95" s="107"/>
      <c r="F95" s="107"/>
    </row>
    <row r="96" customFormat="false" ht="17.25" hidden="false" customHeight="true" outlineLevel="0" collapsed="false">
      <c r="B96" s="152" t="s">
        <v>6690</v>
      </c>
      <c r="C96" s="152" t="s">
        <v>9900</v>
      </c>
      <c r="D96" s="152" t="s">
        <v>9901</v>
      </c>
      <c r="E96" s="152" t="s">
        <v>9490</v>
      </c>
      <c r="F96" s="152" t="s">
        <v>6575</v>
      </c>
      <c r="G96" s="152"/>
      <c r="H96" s="152"/>
      <c r="I96" s="152"/>
      <c r="J96" s="152"/>
    </row>
    <row r="97" customFormat="false" ht="17.25" hidden="false" customHeight="true" outlineLevel="0" collapsed="false">
      <c r="B97" s="15" t="s">
        <v>9902</v>
      </c>
      <c r="C97" s="155" t="n">
        <v>44</v>
      </c>
      <c r="D97" s="155" t="n">
        <v>41</v>
      </c>
      <c r="E97" s="161" t="n">
        <f aca="false">D97-C97</f>
        <v>-3</v>
      </c>
      <c r="F97" s="15" t="s">
        <v>8425</v>
      </c>
      <c r="G97" s="15"/>
      <c r="H97" s="15"/>
      <c r="I97" s="15"/>
      <c r="J97" s="15"/>
    </row>
    <row r="98" customFormat="false" ht="17.25" hidden="false" customHeight="true" outlineLevel="0" collapsed="false">
      <c r="B98" s="15" t="s">
        <v>9903</v>
      </c>
      <c r="C98" s="157" t="n">
        <v>195</v>
      </c>
      <c r="D98" s="157" t="n">
        <v>59</v>
      </c>
      <c r="E98" s="158" t="n">
        <f aca="false">D98-C98</f>
        <v>-136</v>
      </c>
      <c r="F98" s="15" t="s">
        <v>6816</v>
      </c>
      <c r="G98" s="15"/>
      <c r="H98" s="15"/>
      <c r="I98" s="15"/>
      <c r="J98" s="15"/>
    </row>
    <row r="99" customFormat="false" ht="17.25" hidden="false" customHeight="true" outlineLevel="0" collapsed="false">
      <c r="B99" s="15" t="s">
        <v>1477</v>
      </c>
      <c r="C99" s="157" t="n">
        <v>24</v>
      </c>
      <c r="D99" s="157" t="n">
        <v>11</v>
      </c>
      <c r="E99" s="158" t="n">
        <f aca="false">D99-C99</f>
        <v>-13</v>
      </c>
      <c r="F99" s="15" t="s">
        <v>6816</v>
      </c>
      <c r="G99" s="15"/>
      <c r="H99" s="15"/>
      <c r="I99" s="15"/>
      <c r="J99" s="15"/>
    </row>
    <row r="100" customFormat="false" ht="17.25" hidden="false" customHeight="true" outlineLevel="0" collapsed="false">
      <c r="B100" s="15" t="s">
        <v>9904</v>
      </c>
      <c r="C100" s="15" t="s">
        <v>6909</v>
      </c>
      <c r="D100" s="174" t="n">
        <f aca="false">IFERROR(SQRT(((C97-1)*C99^2+(D97-1)*D99^2)/(C97+D97-2)),0)</f>
        <v>18.8871091373525</v>
      </c>
      <c r="E100" s="15" t="s">
        <v>6909</v>
      </c>
      <c r="F100" s="15" t="s">
        <v>6816</v>
      </c>
      <c r="G100" s="15"/>
      <c r="H100" s="15"/>
      <c r="I100" s="15"/>
      <c r="J100" s="15"/>
    </row>
    <row r="101" customFormat="false" ht="17.25" hidden="false" customHeight="true" outlineLevel="0" collapsed="false">
      <c r="B101" s="15" t="s">
        <v>9905</v>
      </c>
      <c r="C101" s="15" t="s">
        <v>6909</v>
      </c>
      <c r="D101" s="174" t="n">
        <f aca="false">IFERROR((C98-D98)/SQRT(C99^2/C97+D99^2/D97),0)</f>
        <v>33.9553265600085</v>
      </c>
      <c r="E101" s="15" t="s">
        <v>6909</v>
      </c>
      <c r="F101" s="15"/>
      <c r="G101" s="15"/>
      <c r="H101" s="15"/>
      <c r="I101" s="15"/>
      <c r="J101" s="15"/>
    </row>
    <row r="102" customFormat="false" ht="17.25" hidden="false" customHeight="true" outlineLevel="0" collapsed="false">
      <c r="B102" s="15" t="s">
        <v>3541</v>
      </c>
      <c r="C102" s="15" t="s">
        <v>6909</v>
      </c>
      <c r="D102" s="158" t="n">
        <f aca="false">IFERROR((C99^2/C97+D99^2/D97)^2/((C99^2/C97)^2/(C97-1)+(D99^2/D97)^2/(D97-1)),0)</f>
        <v>61.2280743050527</v>
      </c>
      <c r="E102" s="15" t="s">
        <v>6909</v>
      </c>
      <c r="F102" s="15"/>
      <c r="G102" s="15"/>
      <c r="H102" s="15"/>
      <c r="I102" s="15"/>
      <c r="J102" s="15"/>
    </row>
    <row r="103" customFormat="false" ht="17.25" hidden="false" customHeight="true" outlineLevel="0" collapsed="false">
      <c r="B103" s="15" t="s">
        <v>2423</v>
      </c>
      <c r="C103" s="15" t="s">
        <v>6909</v>
      </c>
      <c r="D103" s="194" t="n">
        <f aca="false">IFERROR(TDIST(ABS(D101),D102,2),0)</f>
        <v>2.52701020599022E-041</v>
      </c>
      <c r="E103" s="15" t="s">
        <v>6909</v>
      </c>
      <c r="F103" s="15"/>
      <c r="G103" s="15"/>
      <c r="H103" s="15"/>
      <c r="I103" s="15"/>
      <c r="J103" s="15"/>
    </row>
    <row r="104" customFormat="false" ht="17.25" hidden="false" customHeight="true" outlineLevel="0" collapsed="false">
      <c r="B104" s="15" t="s">
        <v>9906</v>
      </c>
      <c r="C104" s="15" t="s">
        <v>6909</v>
      </c>
      <c r="D104" s="174" t="n">
        <f aca="false">IFERROR((C98-D98)/D100,0)</f>
        <v>7.20067846333542</v>
      </c>
      <c r="E104" s="15" t="s">
        <v>6909</v>
      </c>
      <c r="F104" s="15" t="s">
        <v>9907</v>
      </c>
      <c r="G104" s="15"/>
      <c r="H104" s="15"/>
      <c r="I104" s="15"/>
      <c r="J104" s="15"/>
    </row>
    <row r="105" customFormat="false" ht="17.25" hidden="false" customHeight="true" outlineLevel="0" collapsed="false">
      <c r="B105" s="15" t="s">
        <v>6905</v>
      </c>
      <c r="C105" s="15" t="s">
        <v>6909</v>
      </c>
      <c r="D105" s="160" t="n">
        <f aca="false">IFERROR((C98-D98)/C98,0)</f>
        <v>0.697435897435897</v>
      </c>
      <c r="E105" s="15" t="s">
        <v>6909</v>
      </c>
      <c r="F105" s="15"/>
      <c r="G105" s="15"/>
      <c r="H105" s="15"/>
      <c r="I105" s="15"/>
      <c r="J105" s="15"/>
    </row>
    <row r="107" customFormat="false" ht="15" hidden="false" customHeight="true" outlineLevel="0" collapsed="false">
      <c r="B107" s="105" t="s">
        <v>9908</v>
      </c>
    </row>
    <row r="108" customFormat="false" ht="16.5" hidden="false" customHeight="true" outlineLevel="0" collapsed="false">
      <c r="B108" s="152" t="s">
        <v>9909</v>
      </c>
      <c r="C108" s="152" t="s">
        <v>9910</v>
      </c>
      <c r="D108" s="152" t="s">
        <v>6690</v>
      </c>
      <c r="E108" s="152" t="s">
        <v>9911</v>
      </c>
    </row>
    <row r="109" customFormat="false" ht="16.5" hidden="false" customHeight="true" outlineLevel="0" collapsed="false">
      <c r="B109" s="15" t="s">
        <v>9912</v>
      </c>
      <c r="C109" s="15" t="s">
        <v>2425</v>
      </c>
      <c r="D109" s="194" t="n">
        <f aca="false">D103</f>
        <v>2.52701020599022E-041</v>
      </c>
      <c r="E109" s="167" t="str">
        <f aca="false">IF(D103&lt;0.05,"PASS","FAIL")</f>
        <v>PASS</v>
      </c>
    </row>
    <row r="110" customFormat="false" ht="16.5" hidden="false" customHeight="true" outlineLevel="0" collapsed="false">
      <c r="B110" s="15" t="s">
        <v>9913</v>
      </c>
      <c r="C110" s="15" t="s">
        <v>9914</v>
      </c>
      <c r="D110" s="160" t="n">
        <f aca="false">D105</f>
        <v>0.697435897435897</v>
      </c>
      <c r="E110" s="167" t="str">
        <f aca="false">IF(AND(D105&gt;=0.2,ABS(D104)&gt;=0.8),"PASS","FAIL")</f>
        <v>PASS</v>
      </c>
    </row>
    <row r="111" customFormat="false" ht="30.75" hidden="false" customHeight="true" outlineLevel="0" collapsed="false">
      <c r="B111" s="15" t="s">
        <v>9915</v>
      </c>
      <c r="C111" s="15" t="s">
        <v>9916</v>
      </c>
      <c r="D111" s="177" t="s">
        <v>9917</v>
      </c>
      <c r="E111" s="167" t="str">
        <f aca="false">IF(D111="Yes — checked on all four","PASS","FAIL")</f>
        <v>PASS</v>
      </c>
    </row>
    <row r="112" customFormat="false" ht="16.5" hidden="false" customHeight="true" outlineLevel="0" collapsed="false">
      <c r="B112" s="15" t="s">
        <v>9918</v>
      </c>
      <c r="C112" s="15" t="s">
        <v>9919</v>
      </c>
      <c r="D112" s="177" t="s">
        <v>1380</v>
      </c>
      <c r="E112" s="167" t="str">
        <f aca="false">IF(D112="Yes","PASS","FAIL")</f>
        <v>PASS</v>
      </c>
    </row>
    <row r="113" customFormat="false" ht="16.5" hidden="false" customHeight="true" outlineLevel="0" collapsed="false">
      <c r="B113" s="15" t="s">
        <v>9920</v>
      </c>
      <c r="C113" s="15" t="s">
        <v>9921</v>
      </c>
      <c r="D113" s="177" t="s">
        <v>1380</v>
      </c>
      <c r="E113" s="167" t="str">
        <f aca="false">IF(D113="Yes","PASS","FAIL")</f>
        <v>PASS</v>
      </c>
    </row>
    <row r="115" customFormat="false" ht="30.75" hidden="false" customHeight="true" outlineLevel="0" collapsed="false">
      <c r="B115" s="162" t="s">
        <v>9922</v>
      </c>
      <c r="C115" s="185" t="n">
        <f aca="false">COUNTIF(E109:E113,"PASS")</f>
        <v>5</v>
      </c>
      <c r="D115" s="15" t="s">
        <v>9923</v>
      </c>
    </row>
    <row r="117" customFormat="false" ht="15.75" hidden="false" customHeight="true" outlineLevel="0" collapsed="false">
      <c r="B117" s="103" t="s">
        <v>1493</v>
      </c>
      <c r="C117" s="8"/>
      <c r="D117" s="8"/>
      <c r="E117" s="8"/>
      <c r="F117" s="8"/>
      <c r="G117" s="8"/>
      <c r="H117" s="8"/>
      <c r="I117" s="8"/>
      <c r="J117" s="8"/>
      <c r="K117" s="8"/>
    </row>
    <row r="118" customFormat="false" ht="49.5" hidden="false" customHeight="true" outlineLevel="0" collapsed="false">
      <c r="B118" s="105" t="s">
        <v>1494</v>
      </c>
      <c r="C118" s="168" t="str">
        <f aca="false">"The pilot moved the mean changeover from "&amp;TEXT(C98,"0.0")&amp;" min to "&amp;TEXT(D98,"0.0")&amp;" min, an improvement of "&amp;TEXT(D105,"0.0%")&amp;" (p = "&amp;TEXT(D103,"0.00000")&amp;", Cohen d = "&amp;TEXT(ABS(D104),"0.00")&amp;"). "&amp;IF(COUNTIF(E109:E113,"PASS")=5,"All five roll-out gates pass: standardise (L-14), update the control plan (H-16) and roll out to the second line.","Only "&amp;TEXT(COUNTIF(E109:E113,"PASS"),"0")&amp;" of 5 gates pass. Do NOT roll out yet — close the failing gate first; statistical significance alone is not a roll-out decision.")</f>
        <v>The pilot moved the mean changeover from 195.0 min to 59.0 min, an improvement of 69.7% (p = 0.00000, Cohen d = 7.20). All five roll-out gates pass: standardise (L-14), update the control plan (H-16) and roll out to the second line.</v>
      </c>
      <c r="D118" s="168"/>
      <c r="E118" s="168"/>
      <c r="F118" s="168"/>
    </row>
    <row r="120" customFormat="false" ht="17.25" hidden="false" customHeight="true" outlineLevel="0" collapsed="false">
      <c r="B120" s="152" t="s">
        <v>1495</v>
      </c>
      <c r="C120" s="152" t="s">
        <v>1496</v>
      </c>
      <c r="D120" s="152" t="s">
        <v>1497</v>
      </c>
      <c r="E120" s="152"/>
    </row>
    <row r="121" customFormat="false" ht="17.25" hidden="false" customHeight="true" outlineLevel="0" collapsed="false">
      <c r="B121" s="15" t="s">
        <v>3007</v>
      </c>
      <c r="C121" s="15" t="s">
        <v>9924</v>
      </c>
      <c r="D121" s="15" t="s">
        <v>9925</v>
      </c>
      <c r="E121" s="15"/>
    </row>
    <row r="122" customFormat="false" ht="17.25" hidden="false" customHeight="true" outlineLevel="0" collapsed="false">
      <c r="B122" s="15" t="s">
        <v>9906</v>
      </c>
      <c r="C122" s="15" t="s">
        <v>9926</v>
      </c>
      <c r="D122" s="15" t="s">
        <v>9927</v>
      </c>
      <c r="E122" s="15"/>
    </row>
    <row r="123" customFormat="false" ht="17.25" hidden="false" customHeight="true" outlineLevel="0" collapsed="false">
      <c r="B123" s="15" t="s">
        <v>6905</v>
      </c>
      <c r="C123" s="15" t="s">
        <v>9928</v>
      </c>
      <c r="D123" s="15" t="s">
        <v>9929</v>
      </c>
      <c r="E123" s="15"/>
    </row>
    <row r="124" customFormat="false" ht="17.25" hidden="false" customHeight="true" outlineLevel="0" collapsed="false">
      <c r="B124" s="15" t="s">
        <v>9922</v>
      </c>
      <c r="C124" s="15" t="s">
        <v>9930</v>
      </c>
      <c r="D124" s="15" t="s">
        <v>9931</v>
      </c>
      <c r="E124" s="15"/>
    </row>
    <row r="125" customFormat="false" ht="31.5" hidden="false" customHeight="true" outlineLevel="0" collapsed="false">
      <c r="B125" s="15" t="s">
        <v>9932</v>
      </c>
      <c r="C125" s="15" t="s">
        <v>9933</v>
      </c>
      <c r="D125" s="15" t="s">
        <v>9934</v>
      </c>
      <c r="E125" s="15"/>
    </row>
    <row r="127" customFormat="false" ht="15" hidden="false" customHeight="true" outlineLevel="0" collapsed="false">
      <c r="B127" s="105" t="s">
        <v>1507</v>
      </c>
    </row>
    <row r="128" customFormat="false" ht="17.25" hidden="false" customHeight="true" outlineLevel="0" collapsed="false">
      <c r="B128" s="106" t="s">
        <v>9935</v>
      </c>
      <c r="C128" s="106"/>
      <c r="D128" s="106"/>
      <c r="E128" s="106"/>
      <c r="F128" s="106"/>
    </row>
    <row r="129" customFormat="false" ht="17.25" hidden="false" customHeight="true" outlineLevel="0" collapsed="false">
      <c r="B129" s="106" t="s">
        <v>9936</v>
      </c>
      <c r="C129" s="106"/>
      <c r="D129" s="106"/>
      <c r="E129" s="106"/>
      <c r="F129" s="106"/>
    </row>
    <row r="130" customFormat="false" ht="17.25" hidden="false" customHeight="true" outlineLevel="0" collapsed="false">
      <c r="B130" s="106" t="s">
        <v>9937</v>
      </c>
      <c r="C130" s="106"/>
      <c r="D130" s="106"/>
      <c r="E130" s="106"/>
      <c r="F130" s="106"/>
    </row>
    <row r="131" customFormat="false" ht="17.25" hidden="false" customHeight="true" outlineLevel="0" collapsed="false">
      <c r="B131" s="106" t="s">
        <v>9938</v>
      </c>
      <c r="C131" s="106"/>
      <c r="D131" s="106"/>
      <c r="E131" s="106"/>
      <c r="F131" s="106"/>
    </row>
    <row r="132" customFormat="false" ht="17.25" hidden="false" customHeight="true" outlineLevel="0" collapsed="false">
      <c r="B132" s="106" t="s">
        <v>9939</v>
      </c>
      <c r="C132" s="106"/>
      <c r="D132" s="106"/>
      <c r="E132" s="106"/>
      <c r="F132" s="106"/>
    </row>
    <row r="133" customFormat="false" ht="17.25" hidden="false" customHeight="true" outlineLevel="0" collapsed="false">
      <c r="B133" s="106" t="s">
        <v>9940</v>
      </c>
      <c r="C133" s="106"/>
      <c r="D133" s="106"/>
      <c r="E133" s="106"/>
      <c r="F133" s="106"/>
    </row>
    <row r="135" customFormat="false" ht="15.75" hidden="false" customHeight="true" outlineLevel="0" collapsed="false">
      <c r="B135" s="103" t="s">
        <v>1513</v>
      </c>
      <c r="C135" s="8"/>
      <c r="D135" s="8"/>
      <c r="E135" s="8"/>
      <c r="F135" s="8"/>
      <c r="G135" s="8"/>
      <c r="H135" s="8"/>
      <c r="I135" s="8"/>
      <c r="J135" s="8"/>
      <c r="K135" s="8"/>
    </row>
    <row r="136" customFormat="false" ht="17.25" hidden="false" customHeight="true" outlineLevel="0" collapsed="false">
      <c r="B136" s="106" t="s">
        <v>6712</v>
      </c>
      <c r="C136" s="106"/>
      <c r="D136" s="106"/>
      <c r="E136" s="106"/>
      <c r="N136" s="169" t="s">
        <v>1515</v>
      </c>
    </row>
    <row r="137" customFormat="false" ht="44.25" hidden="false" customHeight="true" outlineLevel="0" collapsed="false">
      <c r="B137" s="106" t="s">
        <v>9941</v>
      </c>
      <c r="C137" s="106"/>
      <c r="D137" s="106"/>
      <c r="E137" s="106"/>
      <c r="N137" s="120" t="s">
        <v>9942</v>
      </c>
    </row>
    <row r="138" customFormat="false" ht="44.25" hidden="false" customHeight="true" outlineLevel="0" collapsed="false">
      <c r="B138" s="106" t="s">
        <v>9943</v>
      </c>
      <c r="C138" s="106"/>
      <c r="D138" s="106"/>
      <c r="E138" s="106"/>
      <c r="N138" s="120" t="s">
        <v>9944</v>
      </c>
    </row>
    <row r="139" customFormat="false" ht="44.25" hidden="false" customHeight="true" outlineLevel="0" collapsed="false">
      <c r="B139" s="106" t="s">
        <v>9945</v>
      </c>
      <c r="C139" s="106"/>
      <c r="D139" s="106"/>
      <c r="E139" s="106"/>
      <c r="N139" s="120" t="s">
        <v>9946</v>
      </c>
    </row>
    <row r="141" customFormat="false" ht="15.75" hidden="false" customHeight="true" outlineLevel="0" collapsed="false">
      <c r="B141" s="103" t="s">
        <v>1522</v>
      </c>
      <c r="C141" s="8"/>
      <c r="D141" s="8"/>
      <c r="E141" s="8"/>
      <c r="F141" s="8"/>
      <c r="G141" s="8"/>
      <c r="H141" s="8"/>
      <c r="I141" s="8"/>
      <c r="J141" s="8"/>
      <c r="K141" s="8"/>
    </row>
    <row r="142" customFormat="false" ht="30.75" hidden="false" customHeight="true" outlineLevel="0" collapsed="false">
      <c r="B142" s="152" t="s">
        <v>1523</v>
      </c>
      <c r="C142" s="152" t="s">
        <v>1524</v>
      </c>
      <c r="D142" s="152" t="s">
        <v>6719</v>
      </c>
    </row>
    <row r="143" customFormat="false" ht="16.5" hidden="false" customHeight="true" outlineLevel="0" collapsed="false">
      <c r="B143" s="170" t="s">
        <v>9700</v>
      </c>
      <c r="C143" s="170" t="s">
        <v>6744</v>
      </c>
      <c r="D143" s="170" t="s">
        <v>9947</v>
      </c>
    </row>
  </sheetData>
  <mergeCells count="71">
    <mergeCell ref="B2:J2"/>
    <mergeCell ref="D3:F3"/>
    <mergeCell ref="C6:D6"/>
    <mergeCell ref="C7:D7"/>
    <mergeCell ref="C8:D8"/>
    <mergeCell ref="B11:F13"/>
    <mergeCell ref="B14:F17"/>
    <mergeCell ref="B18:F20"/>
    <mergeCell ref="B21:F23"/>
    <mergeCell ref="B24:F25"/>
    <mergeCell ref="B26:F27"/>
    <mergeCell ref="B30:C30"/>
    <mergeCell ref="E30:F30"/>
    <mergeCell ref="B31:C31"/>
    <mergeCell ref="E31:F31"/>
    <mergeCell ref="B32:C32"/>
    <mergeCell ref="E32:F32"/>
    <mergeCell ref="B33:C33"/>
    <mergeCell ref="E33:F33"/>
    <mergeCell ref="B34:F34"/>
    <mergeCell ref="B43:F43"/>
    <mergeCell ref="B44:F45"/>
    <mergeCell ref="B47:F47"/>
    <mergeCell ref="B48:F50"/>
    <mergeCell ref="B52:F53"/>
    <mergeCell ref="B55:F56"/>
    <mergeCell ref="D59:E59"/>
    <mergeCell ref="D60:E60"/>
    <mergeCell ref="D61:E61"/>
    <mergeCell ref="D62:E62"/>
    <mergeCell ref="D63:E63"/>
    <mergeCell ref="D64:E64"/>
    <mergeCell ref="D65:E65"/>
    <mergeCell ref="B68:F70"/>
    <mergeCell ref="D74:E74"/>
    <mergeCell ref="D75:E75"/>
    <mergeCell ref="D76:E76"/>
    <mergeCell ref="D77:E77"/>
    <mergeCell ref="D78:E78"/>
    <mergeCell ref="D79:E79"/>
    <mergeCell ref="D80:E80"/>
    <mergeCell ref="D81:E81"/>
    <mergeCell ref="B83:F83"/>
    <mergeCell ref="B95:F95"/>
    <mergeCell ref="F96:J96"/>
    <mergeCell ref="F97:J97"/>
    <mergeCell ref="F98:J98"/>
    <mergeCell ref="F99:J99"/>
    <mergeCell ref="F100:J100"/>
    <mergeCell ref="F101:J101"/>
    <mergeCell ref="F102:J102"/>
    <mergeCell ref="F103:J103"/>
    <mergeCell ref="F104:J104"/>
    <mergeCell ref="F105:J105"/>
    <mergeCell ref="C118:F118"/>
    <mergeCell ref="D120:E120"/>
    <mergeCell ref="D121:E121"/>
    <mergeCell ref="D122:E122"/>
    <mergeCell ref="D123:E123"/>
    <mergeCell ref="D124:E124"/>
    <mergeCell ref="D125:E125"/>
    <mergeCell ref="B128:F128"/>
    <mergeCell ref="B129:F129"/>
    <mergeCell ref="B130:F130"/>
    <mergeCell ref="B131:F131"/>
    <mergeCell ref="B132:F132"/>
    <mergeCell ref="B133:F133"/>
    <mergeCell ref="B136:E136"/>
    <mergeCell ref="B137:E137"/>
    <mergeCell ref="B138:E138"/>
    <mergeCell ref="B139:E139"/>
  </mergeCells>
  <hyperlinks>
    <hyperlink ref="B3" location="'N-03 Index DMAIC'!A1" display="← Back to Index"/>
    <hyperlink ref="E37" location="'E-03 Descriptive Stats'!A1" display="E-03  Descriptive Statistics"/>
    <hyperlink ref="E38" location="'E-20 Sample Size'!A1" display="E-20  Sample Size Determination"/>
    <hyperlink ref="E39" location="'E-05 Sampling Subgroups'!A1" display="E-05  Sampling and Rational Subgrouping"/>
    <hyperlink ref="E40" location="'E-42 Full Factorial'!A1" display="E-42  Full Factorial DOE"/>
    <hyperlink ref="B143" location="'L-25 Solution Selection'!A1" display="L-25  Solution Selection"/>
    <hyperlink ref="C143" location="'L-14 Standard Work'!A1" display="L-14  Standard Work"/>
    <hyperlink ref="D143" location="'E-24 2-Sample t-Test'!A1" display="E-24  2-Sample t-Tes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N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58"/>
    <col collapsed="false" customWidth="true" hidden="false" outlineLevel="0" max="5" min="4" style="1" width="18"/>
    <col collapsed="false" customWidth="true" hidden="false" outlineLevel="0" max="6" min="6" style="1" width="12"/>
    <col collapsed="false" customWidth="true" hidden="false" outlineLevel="0" max="7" min="7" style="1" width="16"/>
    <col collapsed="false" customWidth="true" hidden="false" outlineLevel="0" max="8" min="8" style="1" width="18"/>
    <col collapsed="false" customWidth="true" hidden="false" outlineLevel="0" max="10" min="9"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9948</v>
      </c>
      <c r="C2" s="148"/>
      <c r="D2" s="148"/>
      <c r="E2" s="148"/>
      <c r="F2" s="148"/>
      <c r="G2" s="148"/>
      <c r="H2" s="148"/>
      <c r="I2" s="148"/>
      <c r="J2" s="148"/>
      <c r="K2" s="195" t="s">
        <v>9949</v>
      </c>
    </row>
    <row r="3" customFormat="false" ht="67.5" hidden="false" customHeight="true" outlineLevel="0" collapsed="false">
      <c r="B3" s="150" t="s">
        <v>3</v>
      </c>
      <c r="D3" s="151" t="s">
        <v>9950</v>
      </c>
      <c r="E3" s="151"/>
    </row>
    <row r="5" customFormat="false" ht="15.75" hidden="false" customHeight="true" outlineLevel="0" collapsed="false">
      <c r="B5" s="103" t="s">
        <v>1391</v>
      </c>
      <c r="C5" s="8"/>
      <c r="D5" s="8"/>
      <c r="E5" s="8"/>
      <c r="F5" s="8"/>
      <c r="G5" s="8"/>
      <c r="H5" s="8"/>
      <c r="I5" s="8"/>
      <c r="J5" s="8"/>
      <c r="K5" s="8"/>
    </row>
    <row r="6" customFormat="false" ht="30.75" hidden="false" customHeight="true" outlineLevel="0" collapsed="false">
      <c r="B6" s="105" t="s">
        <v>1392</v>
      </c>
      <c r="C6" s="122" t="s">
        <v>9951</v>
      </c>
    </row>
    <row r="7" customFormat="false" ht="30.75" hidden="false" customHeight="true" outlineLevel="0" collapsed="false">
      <c r="B7" s="105" t="s">
        <v>1394</v>
      </c>
      <c r="C7" s="122" t="s">
        <v>9952</v>
      </c>
    </row>
    <row r="8" customFormat="false" ht="30.75" hidden="false" customHeight="true" outlineLevel="0" collapsed="false">
      <c r="B8" s="105" t="s">
        <v>1396</v>
      </c>
      <c r="C8" s="122" t="s">
        <v>9953</v>
      </c>
    </row>
    <row r="10" customFormat="false" ht="15.75" hidden="false" customHeight="true" outlineLevel="0" collapsed="false">
      <c r="B10" s="103" t="s">
        <v>1398</v>
      </c>
      <c r="C10" s="8"/>
      <c r="D10" s="8"/>
      <c r="E10" s="8"/>
      <c r="F10" s="8"/>
      <c r="G10" s="8"/>
      <c r="H10" s="8"/>
      <c r="I10" s="8"/>
      <c r="J10" s="8"/>
      <c r="K10" s="8"/>
    </row>
    <row r="11" customFormat="false" ht="11.25" hidden="false" customHeight="true" outlineLevel="0" collapsed="false">
      <c r="B11" s="106" t="s">
        <v>9954</v>
      </c>
      <c r="C11" s="106"/>
      <c r="D11" s="106"/>
      <c r="E11" s="106"/>
    </row>
    <row r="12" customFormat="false" ht="11.25" hidden="false" customHeight="true" outlineLevel="0" collapsed="false">
      <c r="B12" s="106"/>
      <c r="C12" s="106"/>
      <c r="D12" s="106"/>
      <c r="E12" s="106"/>
    </row>
    <row r="13" customFormat="false" ht="11.25" hidden="false" customHeight="true" outlineLevel="0" collapsed="false">
      <c r="B13" s="106"/>
      <c r="C13" s="106"/>
      <c r="D13" s="106"/>
      <c r="E13" s="106"/>
    </row>
    <row r="14" customFormat="false" ht="11.25" hidden="false" customHeight="true" outlineLevel="0" collapsed="false">
      <c r="B14" s="106"/>
      <c r="C14" s="106"/>
      <c r="D14" s="106"/>
      <c r="E14" s="106"/>
    </row>
    <row r="15" customFormat="false" ht="11.25" hidden="false" customHeight="true" outlineLevel="0" collapsed="false">
      <c r="B15" s="106" t="s">
        <v>9955</v>
      </c>
      <c r="C15" s="106"/>
      <c r="D15" s="106"/>
      <c r="E15" s="106"/>
    </row>
    <row r="16" customFormat="false" ht="11.25" hidden="false" customHeight="true" outlineLevel="0" collapsed="false">
      <c r="B16" s="106"/>
      <c r="C16" s="106"/>
      <c r="D16" s="106"/>
      <c r="E16" s="106"/>
    </row>
    <row r="17" customFormat="false" ht="11.25" hidden="false" customHeight="true" outlineLevel="0" collapsed="false">
      <c r="B17" s="106"/>
      <c r="C17" s="106"/>
      <c r="D17" s="106"/>
      <c r="E17" s="106"/>
    </row>
    <row r="18" customFormat="false" ht="11.25" hidden="false" customHeight="true" outlineLevel="0" collapsed="false">
      <c r="B18" s="106"/>
      <c r="C18" s="106"/>
      <c r="D18" s="106"/>
      <c r="E18" s="106"/>
    </row>
    <row r="19" customFormat="false" ht="10.5" hidden="false" customHeight="true" outlineLevel="0" collapsed="false">
      <c r="B19" s="106" t="s">
        <v>9956</v>
      </c>
      <c r="C19" s="106"/>
      <c r="D19" s="106"/>
      <c r="E19" s="106"/>
    </row>
    <row r="20" customFormat="false" ht="10.5" hidden="false" customHeight="true" outlineLevel="0" collapsed="false">
      <c r="B20" s="106"/>
      <c r="C20" s="106"/>
      <c r="D20" s="106"/>
      <c r="E20" s="106"/>
    </row>
    <row r="21" customFormat="false" ht="10.5" hidden="false" customHeight="true" outlineLevel="0" collapsed="false">
      <c r="B21" s="106"/>
      <c r="C21" s="106"/>
      <c r="D21" s="106"/>
      <c r="E21" s="106"/>
    </row>
    <row r="22" customFormat="false" ht="10.5" hidden="false" customHeight="true" outlineLevel="0" collapsed="false">
      <c r="B22" s="106" t="s">
        <v>9957</v>
      </c>
      <c r="C22" s="106"/>
      <c r="D22" s="106"/>
      <c r="E22" s="106"/>
    </row>
    <row r="23" customFormat="false" ht="10.5" hidden="false" customHeight="true" outlineLevel="0" collapsed="false">
      <c r="B23" s="106"/>
      <c r="C23" s="106"/>
      <c r="D23" s="106"/>
      <c r="E23" s="106"/>
    </row>
    <row r="24" customFormat="false" ht="10.5" hidden="false" customHeight="true" outlineLevel="0" collapsed="false">
      <c r="B24" s="106"/>
      <c r="C24" s="106"/>
      <c r="D24" s="106"/>
      <c r="E24" s="106"/>
    </row>
    <row r="25" customFormat="false" ht="8.25" hidden="false" customHeight="true" outlineLevel="0" collapsed="false">
      <c r="B25" s="106" t="s">
        <v>9958</v>
      </c>
      <c r="C25" s="106"/>
      <c r="D25" s="106"/>
      <c r="E25" s="106"/>
    </row>
    <row r="26" customFormat="false" ht="8.25" hidden="false" customHeight="true" outlineLevel="0" collapsed="false">
      <c r="B26" s="106"/>
      <c r="C26" s="106"/>
      <c r="D26" s="106"/>
      <c r="E26" s="106"/>
    </row>
    <row r="28" customFormat="false" ht="15.75" hidden="false" customHeight="true" outlineLevel="0" collapsed="false">
      <c r="B28" s="103" t="s">
        <v>1406</v>
      </c>
      <c r="C28" s="8"/>
      <c r="D28" s="8"/>
      <c r="E28" s="8"/>
      <c r="F28" s="8"/>
      <c r="G28" s="8"/>
      <c r="H28" s="8"/>
      <c r="I28" s="8"/>
      <c r="J28" s="8"/>
      <c r="K28" s="8"/>
    </row>
    <row r="29" customFormat="false" ht="17.25" hidden="false" customHeight="true" outlineLevel="0" collapsed="false">
      <c r="B29" s="107" t="s">
        <v>1407</v>
      </c>
      <c r="C29" s="107"/>
      <c r="E29" s="107" t="s">
        <v>1408</v>
      </c>
      <c r="F29" s="107"/>
    </row>
    <row r="30" customFormat="false" ht="31.5" hidden="false" customHeight="true" outlineLevel="0" collapsed="false">
      <c r="B30" s="106" t="s">
        <v>9959</v>
      </c>
      <c r="C30" s="106"/>
      <c r="E30" s="106" t="s">
        <v>9960</v>
      </c>
      <c r="F30" s="106"/>
    </row>
    <row r="31" customFormat="false" ht="31.5" hidden="false" customHeight="true" outlineLevel="0" collapsed="false">
      <c r="B31" s="106" t="s">
        <v>9961</v>
      </c>
      <c r="C31" s="106"/>
      <c r="E31" s="106" t="s">
        <v>9962</v>
      </c>
      <c r="F31" s="106"/>
    </row>
    <row r="32" customFormat="false" ht="31.5" hidden="false" customHeight="true" outlineLevel="0" collapsed="false">
      <c r="B32" s="106" t="s">
        <v>9963</v>
      </c>
      <c r="C32" s="106"/>
      <c r="E32" s="106" t="s">
        <v>9964</v>
      </c>
      <c r="F32" s="106"/>
    </row>
    <row r="33" customFormat="false" ht="17.25" hidden="false" customHeight="true" outlineLevel="0" collapsed="false">
      <c r="B33" s="106" t="s">
        <v>9965</v>
      </c>
      <c r="C33" s="106"/>
      <c r="D33" s="106"/>
      <c r="E33" s="106"/>
    </row>
    <row r="35" customFormat="false" ht="30.75" hidden="false" customHeight="true" outlineLevel="0" collapsed="false">
      <c r="B35" s="152" t="s">
        <v>6621</v>
      </c>
      <c r="C35" s="152" t="s">
        <v>1417</v>
      </c>
      <c r="D35" s="152" t="s">
        <v>1418</v>
      </c>
      <c r="E35" s="152" t="s">
        <v>1419</v>
      </c>
    </row>
    <row r="36" customFormat="false" ht="72" hidden="false" customHeight="true" outlineLevel="0" collapsed="false">
      <c r="B36" s="15" t="s">
        <v>9966</v>
      </c>
      <c r="C36" s="15" t="s">
        <v>9967</v>
      </c>
      <c r="D36" s="15" t="s">
        <v>9968</v>
      </c>
      <c r="E36" s="153" t="s">
        <v>9969</v>
      </c>
    </row>
    <row r="37" customFormat="false" ht="58.5" hidden="false" customHeight="true" outlineLevel="0" collapsed="false">
      <c r="B37" s="15" t="s">
        <v>9970</v>
      </c>
      <c r="C37" s="15" t="s">
        <v>9971</v>
      </c>
      <c r="D37" s="15" t="s">
        <v>9972</v>
      </c>
      <c r="E37" s="153" t="s">
        <v>9973</v>
      </c>
    </row>
    <row r="38" customFormat="false" ht="58.5" hidden="false" customHeight="true" outlineLevel="0" collapsed="false">
      <c r="B38" s="15" t="s">
        <v>9974</v>
      </c>
      <c r="C38" s="15" t="s">
        <v>9975</v>
      </c>
      <c r="D38" s="15" t="s">
        <v>9976</v>
      </c>
      <c r="E38" s="153" t="s">
        <v>8365</v>
      </c>
    </row>
    <row r="39" customFormat="false" ht="58.5" hidden="false" customHeight="true" outlineLevel="0" collapsed="false">
      <c r="B39" s="15" t="s">
        <v>9977</v>
      </c>
      <c r="C39" s="15" t="s">
        <v>9978</v>
      </c>
      <c r="D39" s="15" t="s">
        <v>9979</v>
      </c>
      <c r="E39" s="153" t="s">
        <v>9701</v>
      </c>
    </row>
    <row r="41" customFormat="false" ht="15.75" hidden="false" customHeight="true" outlineLevel="0" collapsed="false">
      <c r="B41" s="103" t="s">
        <v>1429</v>
      </c>
      <c r="C41" s="8"/>
      <c r="D41" s="8"/>
      <c r="E41" s="8"/>
      <c r="F41" s="8"/>
      <c r="G41" s="8"/>
      <c r="H41" s="8"/>
      <c r="I41" s="8"/>
      <c r="J41" s="8"/>
      <c r="K41" s="8"/>
    </row>
    <row r="42" customFormat="false" ht="17.25" hidden="false" customHeight="true" outlineLevel="0" collapsed="false">
      <c r="B42" s="106" t="s">
        <v>9980</v>
      </c>
      <c r="C42" s="106"/>
      <c r="D42" s="106"/>
      <c r="E42" s="106"/>
    </row>
    <row r="43" customFormat="false" ht="17.25" hidden="false" customHeight="true" outlineLevel="0" collapsed="false">
      <c r="B43" s="106" t="s">
        <v>9981</v>
      </c>
      <c r="C43" s="106"/>
      <c r="D43" s="106"/>
      <c r="E43" s="106"/>
    </row>
    <row r="44" customFormat="false" ht="17.25" hidden="false" customHeight="true" outlineLevel="0" collapsed="false">
      <c r="B44" s="106" t="s">
        <v>9982</v>
      </c>
      <c r="C44" s="106"/>
      <c r="D44" s="106"/>
      <c r="E44" s="106"/>
    </row>
    <row r="45" customFormat="false" ht="15" hidden="false" customHeight="true" outlineLevel="0" collapsed="false">
      <c r="B45" s="122"/>
    </row>
    <row r="46" customFormat="false" ht="16.5" hidden="false" customHeight="true" outlineLevel="0" collapsed="false">
      <c r="B46" s="122" t="s">
        <v>9983</v>
      </c>
    </row>
    <row r="47" customFormat="false" ht="10.5" hidden="false" customHeight="true" outlineLevel="0" collapsed="false">
      <c r="B47" s="106" t="s">
        <v>9984</v>
      </c>
      <c r="C47" s="106"/>
      <c r="D47" s="106"/>
      <c r="E47" s="106"/>
    </row>
    <row r="48" customFormat="false" ht="10.5" hidden="false" customHeight="true" outlineLevel="0" collapsed="false">
      <c r="B48" s="106"/>
      <c r="C48" s="106"/>
      <c r="D48" s="106"/>
      <c r="E48" s="106"/>
    </row>
    <row r="49" customFormat="false" ht="10.5" hidden="false" customHeight="true" outlineLevel="0" collapsed="false">
      <c r="B49" s="106"/>
      <c r="C49" s="106"/>
      <c r="D49" s="106"/>
      <c r="E49" s="106"/>
    </row>
    <row r="50" customFormat="false" ht="15" hidden="false" customHeight="true" outlineLevel="0" collapsed="false">
      <c r="B50" s="122"/>
    </row>
    <row r="51" customFormat="false" ht="17.25" hidden="false" customHeight="true" outlineLevel="0" collapsed="false">
      <c r="B51" s="106" t="s">
        <v>9985</v>
      </c>
      <c r="C51" s="106"/>
      <c r="D51" s="106"/>
      <c r="E51" s="106"/>
    </row>
    <row r="52" customFormat="false" ht="15" hidden="false" customHeight="true" outlineLevel="0" collapsed="false">
      <c r="B52" s="122"/>
    </row>
    <row r="53" customFormat="false" ht="17.25" hidden="false" customHeight="true" outlineLevel="0" collapsed="false">
      <c r="B53" s="106" t="s">
        <v>9986</v>
      </c>
      <c r="C53" s="106"/>
      <c r="D53" s="106"/>
      <c r="E53" s="106"/>
    </row>
    <row r="55" customFormat="false" ht="15.75" hidden="false" customHeight="true" outlineLevel="0" collapsed="false">
      <c r="B55" s="103" t="s">
        <v>1437</v>
      </c>
      <c r="C55" s="8"/>
      <c r="D55" s="8"/>
      <c r="E55" s="8"/>
      <c r="F55" s="8"/>
      <c r="G55" s="8"/>
      <c r="H55" s="8"/>
      <c r="I55" s="8"/>
      <c r="J55" s="8"/>
      <c r="K55" s="8"/>
    </row>
    <row r="56" customFormat="false" ht="17.25" hidden="false" customHeight="true" outlineLevel="0" collapsed="false">
      <c r="B56" s="152" t="s">
        <v>1438</v>
      </c>
      <c r="C56" s="152" t="s">
        <v>1439</v>
      </c>
      <c r="D56" s="152" t="s">
        <v>1440</v>
      </c>
      <c r="E56" s="152"/>
    </row>
    <row r="57" customFormat="false" ht="31.5" hidden="false" customHeight="true" outlineLevel="0" collapsed="false">
      <c r="B57" s="15" t="s">
        <v>9987</v>
      </c>
      <c r="C57" s="15" t="s">
        <v>9988</v>
      </c>
      <c r="D57" s="15" t="s">
        <v>9989</v>
      </c>
      <c r="E57" s="15"/>
    </row>
    <row r="58" customFormat="false" ht="17.25" hidden="false" customHeight="true" outlineLevel="0" collapsed="false">
      <c r="B58" s="15" t="s">
        <v>9748</v>
      </c>
      <c r="C58" s="15" t="s">
        <v>9990</v>
      </c>
      <c r="D58" s="15" t="s">
        <v>9991</v>
      </c>
      <c r="E58" s="15"/>
    </row>
    <row r="59" customFormat="false" ht="17.25" hidden="false" customHeight="true" outlineLevel="0" collapsed="false">
      <c r="B59" s="15" t="s">
        <v>4079</v>
      </c>
      <c r="C59" s="15" t="s">
        <v>9992</v>
      </c>
      <c r="D59" s="15" t="s">
        <v>9993</v>
      </c>
      <c r="E59" s="15"/>
    </row>
    <row r="60" customFormat="false" ht="31.5" hidden="false" customHeight="true" outlineLevel="0" collapsed="false">
      <c r="B60" s="15" t="s">
        <v>1839</v>
      </c>
      <c r="C60" s="15" t="s">
        <v>6647</v>
      </c>
      <c r="D60" s="15" t="s">
        <v>9994</v>
      </c>
      <c r="E60" s="15"/>
    </row>
    <row r="62" customFormat="false" ht="15.75" hidden="false" customHeight="true" outlineLevel="0" collapsed="false">
      <c r="B62" s="103" t="s">
        <v>1454</v>
      </c>
      <c r="C62" s="8"/>
      <c r="D62" s="8"/>
      <c r="E62" s="8"/>
      <c r="F62" s="8"/>
      <c r="G62" s="8"/>
      <c r="H62" s="8"/>
      <c r="I62" s="8"/>
      <c r="J62" s="8"/>
      <c r="K62" s="8"/>
    </row>
    <row r="63" customFormat="false" ht="15.75" hidden="false" customHeight="true" outlineLevel="0" collapsed="false">
      <c r="B63" s="106" t="s">
        <v>9995</v>
      </c>
      <c r="C63" s="106"/>
      <c r="D63" s="106"/>
      <c r="E63" s="106"/>
    </row>
    <row r="64" customFormat="false" ht="15.75" hidden="false" customHeight="true" outlineLevel="0" collapsed="false">
      <c r="B64" s="106"/>
      <c r="C64" s="106"/>
      <c r="D64" s="106"/>
      <c r="E64" s="106"/>
    </row>
    <row r="65" customFormat="false" ht="15" hidden="false" customHeight="true" outlineLevel="0" collapsed="false">
      <c r="B65" s="112" t="s">
        <v>85</v>
      </c>
      <c r="C65" s="154" t="s">
        <v>86</v>
      </c>
    </row>
    <row r="67" customFormat="false" ht="15" hidden="false" customHeight="true" outlineLevel="0" collapsed="false">
      <c r="B67" s="105" t="s">
        <v>9996</v>
      </c>
    </row>
    <row r="68" customFormat="false" ht="16.5" hidden="false" customHeight="true" outlineLevel="0" collapsed="false">
      <c r="B68" s="152" t="s">
        <v>8249</v>
      </c>
      <c r="C68" s="152" t="s">
        <v>29</v>
      </c>
      <c r="D68" s="152" t="s">
        <v>8249</v>
      </c>
      <c r="E68" s="152" t="s">
        <v>29</v>
      </c>
    </row>
    <row r="69" customFormat="false" ht="16.5" hidden="false" customHeight="true" outlineLevel="0" collapsed="false">
      <c r="B69" s="15" t="s">
        <v>9997</v>
      </c>
      <c r="C69" s="177" t="s">
        <v>9998</v>
      </c>
      <c r="D69" s="15" t="s">
        <v>9999</v>
      </c>
      <c r="E69" s="177" t="s">
        <v>10000</v>
      </c>
    </row>
    <row r="70" customFormat="false" ht="16.5" hidden="false" customHeight="true" outlineLevel="0" collapsed="false">
      <c r="B70" s="15" t="s">
        <v>10001</v>
      </c>
      <c r="C70" s="177" t="s">
        <v>59</v>
      </c>
      <c r="D70" s="15" t="s">
        <v>10002</v>
      </c>
      <c r="E70" s="177" t="s">
        <v>9196</v>
      </c>
    </row>
    <row r="71" customFormat="false" ht="30.75" hidden="false" customHeight="true" outlineLevel="0" collapsed="false">
      <c r="B71" s="15" t="s">
        <v>10003</v>
      </c>
      <c r="C71" s="177" t="s">
        <v>6925</v>
      </c>
      <c r="D71" s="15" t="s">
        <v>10004</v>
      </c>
      <c r="E71" s="177" t="s">
        <v>10005</v>
      </c>
    </row>
    <row r="72" customFormat="false" ht="16.5" hidden="false" customHeight="true" outlineLevel="0" collapsed="false">
      <c r="B72" s="15" t="s">
        <v>10006</v>
      </c>
      <c r="C72" s="180" t="n">
        <v>46237</v>
      </c>
      <c r="D72" s="15" t="s">
        <v>10007</v>
      </c>
      <c r="E72" s="180" t="n">
        <v>46374</v>
      </c>
    </row>
    <row r="74" customFormat="false" ht="15" hidden="false" customHeight="true" outlineLevel="0" collapsed="false">
      <c r="B74" s="105" t="s">
        <v>10008</v>
      </c>
    </row>
    <row r="75" customFormat="false" ht="17.25" hidden="false" customHeight="true" outlineLevel="0" collapsed="false">
      <c r="B75" s="152" t="s">
        <v>10009</v>
      </c>
      <c r="C75" s="152" t="s">
        <v>29</v>
      </c>
      <c r="D75" s="152" t="s">
        <v>10010</v>
      </c>
      <c r="E75" s="152"/>
    </row>
    <row r="76" customFormat="false" ht="72" hidden="false" customHeight="true" outlineLevel="0" collapsed="false">
      <c r="B76" s="15" t="s">
        <v>10011</v>
      </c>
      <c r="C76" s="177" t="s">
        <v>10012</v>
      </c>
      <c r="D76" s="15" t="s">
        <v>10013</v>
      </c>
      <c r="E76" s="15"/>
    </row>
    <row r="77" customFormat="false" ht="58.5" hidden="false" customHeight="true" outlineLevel="0" collapsed="false">
      <c r="B77" s="15" t="s">
        <v>620</v>
      </c>
      <c r="C77" s="177" t="s">
        <v>10014</v>
      </c>
      <c r="D77" s="15" t="s">
        <v>10015</v>
      </c>
      <c r="E77" s="15"/>
    </row>
    <row r="78" customFormat="false" ht="44.25" hidden="false" customHeight="true" outlineLevel="0" collapsed="false">
      <c r="B78" s="15" t="s">
        <v>10016</v>
      </c>
      <c r="C78" s="177" t="s">
        <v>10017</v>
      </c>
      <c r="D78" s="15" t="s">
        <v>10018</v>
      </c>
      <c r="E78" s="15"/>
    </row>
    <row r="79" customFormat="false" ht="44.25" hidden="false" customHeight="true" outlineLevel="0" collapsed="false">
      <c r="B79" s="15" t="s">
        <v>10019</v>
      </c>
      <c r="C79" s="177" t="s">
        <v>10020</v>
      </c>
      <c r="D79" s="15" t="s">
        <v>10021</v>
      </c>
      <c r="E79" s="15"/>
    </row>
    <row r="81" customFormat="false" ht="17.25" hidden="false" customHeight="true" outlineLevel="0" collapsed="false">
      <c r="B81" s="107" t="s">
        <v>10022</v>
      </c>
      <c r="C81" s="107"/>
      <c r="D81" s="107"/>
      <c r="E81" s="107"/>
    </row>
    <row r="82" customFormat="false" ht="16.5" hidden="false" customHeight="true" outlineLevel="0" collapsed="false">
      <c r="B82" s="152" t="s">
        <v>1929</v>
      </c>
      <c r="C82" s="152" t="s">
        <v>8042</v>
      </c>
      <c r="D82" s="152" t="s">
        <v>8819</v>
      </c>
      <c r="E82" s="152" t="s">
        <v>9208</v>
      </c>
      <c r="F82" s="152" t="s">
        <v>6575</v>
      </c>
      <c r="G82" s="152" t="s">
        <v>10023</v>
      </c>
      <c r="H82" s="152" t="s">
        <v>10024</v>
      </c>
    </row>
    <row r="83" customFormat="false" ht="16.5" hidden="false" customHeight="true" outlineLevel="0" collapsed="false">
      <c r="B83" s="15" t="s">
        <v>10025</v>
      </c>
      <c r="C83" s="157" t="n">
        <v>503.1</v>
      </c>
      <c r="D83" s="157" t="n">
        <v>500.8</v>
      </c>
      <c r="E83" s="157" t="n">
        <v>500.3</v>
      </c>
      <c r="F83" s="15" t="s">
        <v>10026</v>
      </c>
      <c r="G83" s="158" t="n">
        <f aca="false">C83-D83</f>
        <v>2.30000000000001</v>
      </c>
      <c r="H83" s="158" t="n">
        <f aca="false">C83-E83</f>
        <v>2.80000000000001</v>
      </c>
    </row>
    <row r="84" customFormat="false" ht="16.5" hidden="false" customHeight="true" outlineLevel="0" collapsed="false">
      <c r="B84" s="15" t="s">
        <v>1477</v>
      </c>
      <c r="C84" s="157" t="n">
        <v>1.9</v>
      </c>
      <c r="D84" s="157" t="n">
        <v>1.2</v>
      </c>
      <c r="E84" s="157" t="n">
        <v>0.8</v>
      </c>
      <c r="F84" s="15" t="s">
        <v>10026</v>
      </c>
      <c r="G84" s="158" t="n">
        <f aca="false">C84-D84</f>
        <v>0.7</v>
      </c>
      <c r="H84" s="158" t="n">
        <f aca="false">C84-E84</f>
        <v>1.1</v>
      </c>
    </row>
    <row r="85" customFormat="false" ht="16.5" hidden="false" customHeight="true" outlineLevel="0" collapsed="false">
      <c r="B85" s="15" t="s">
        <v>10027</v>
      </c>
      <c r="C85" s="157" t="n">
        <v>3.1</v>
      </c>
      <c r="D85" s="157" t="n">
        <v>0.8</v>
      </c>
      <c r="E85" s="157" t="n">
        <v>0.3</v>
      </c>
      <c r="F85" s="15" t="s">
        <v>10026</v>
      </c>
      <c r="G85" s="158" t="n">
        <f aca="false">C85-D85</f>
        <v>2.3</v>
      </c>
      <c r="H85" s="158" t="n">
        <f aca="false">C85-E85</f>
        <v>2.8</v>
      </c>
    </row>
    <row r="86" customFormat="false" ht="16.5" hidden="false" customHeight="true" outlineLevel="0" collapsed="false">
      <c r="B86" s="15" t="s">
        <v>10028</v>
      </c>
      <c r="C86" s="191" t="n">
        <v>0.042</v>
      </c>
      <c r="D86" s="191" t="n">
        <v>0.01</v>
      </c>
      <c r="E86" s="191" t="n">
        <v>0.002</v>
      </c>
      <c r="F86" s="15"/>
      <c r="G86" s="160" t="n">
        <f aca="false">C86-D86</f>
        <v>0.032</v>
      </c>
      <c r="H86" s="160" t="n">
        <f aca="false">C86-E86</f>
        <v>0.04</v>
      </c>
    </row>
    <row r="88" customFormat="false" ht="15" hidden="false" customHeight="true" outlineLevel="0" collapsed="false">
      <c r="B88" s="105" t="s">
        <v>10029</v>
      </c>
    </row>
    <row r="89" customFormat="false" ht="16.5" hidden="false" customHeight="true" outlineLevel="0" collapsed="false">
      <c r="B89" s="152" t="s">
        <v>8423</v>
      </c>
      <c r="C89" s="152" t="s">
        <v>6654</v>
      </c>
      <c r="D89" s="152" t="s">
        <v>6575</v>
      </c>
      <c r="E89" s="152" t="s">
        <v>6655</v>
      </c>
    </row>
    <row r="90" customFormat="false" ht="16.5" hidden="false" customHeight="true" outlineLevel="0" collapsed="false">
      <c r="B90" s="15" t="s">
        <v>10030</v>
      </c>
      <c r="C90" s="173" t="n">
        <v>134000000</v>
      </c>
      <c r="D90" s="15" t="s">
        <v>6798</v>
      </c>
      <c r="E90" s="15" t="s">
        <v>10031</v>
      </c>
    </row>
    <row r="91" customFormat="false" ht="30.75" hidden="false" customHeight="true" outlineLevel="0" collapsed="false">
      <c r="B91" s="15" t="s">
        <v>10032</v>
      </c>
      <c r="C91" s="158" t="n">
        <f aca="false">G85</f>
        <v>2.3</v>
      </c>
      <c r="D91" s="15" t="s">
        <v>10026</v>
      </c>
      <c r="E91" s="15" t="s">
        <v>10033</v>
      </c>
    </row>
    <row r="92" customFormat="false" ht="30.75" hidden="false" customHeight="true" outlineLevel="0" collapsed="false">
      <c r="B92" s="15" t="s">
        <v>10034</v>
      </c>
      <c r="C92" s="159" t="n">
        <f aca="false">IFERROR(C90*C91/1000,0)</f>
        <v>308200</v>
      </c>
      <c r="D92" s="15" t="s">
        <v>10035</v>
      </c>
      <c r="E92" s="15" t="s">
        <v>10036</v>
      </c>
    </row>
    <row r="93" customFormat="false" ht="30.75" hidden="false" customHeight="true" outlineLevel="0" collapsed="false">
      <c r="B93" s="15" t="s">
        <v>10037</v>
      </c>
      <c r="C93" s="156" t="n">
        <v>0.42</v>
      </c>
      <c r="D93" s="15" t="s">
        <v>10038</v>
      </c>
      <c r="E93" s="15" t="s">
        <v>10039</v>
      </c>
    </row>
    <row r="94" customFormat="false" ht="30.75" hidden="false" customHeight="true" outlineLevel="0" collapsed="false">
      <c r="B94" s="15" t="s">
        <v>10040</v>
      </c>
      <c r="C94" s="159" t="n">
        <f aca="false">IFERROR(C92*C93,0)</f>
        <v>129444</v>
      </c>
      <c r="D94" s="15" t="s">
        <v>7171</v>
      </c>
      <c r="E94" s="15" t="s">
        <v>10041</v>
      </c>
    </row>
    <row r="95" customFormat="false" ht="30.75" hidden="false" customHeight="true" outlineLevel="0" collapsed="false">
      <c r="B95" s="15" t="s">
        <v>10042</v>
      </c>
      <c r="C95" s="173" t="n">
        <v>24000</v>
      </c>
      <c r="D95" s="15" t="s">
        <v>7171</v>
      </c>
      <c r="E95" s="15" t="s">
        <v>10043</v>
      </c>
    </row>
    <row r="96" customFormat="false" ht="16.5" hidden="false" customHeight="true" outlineLevel="0" collapsed="false">
      <c r="B96" s="15" t="s">
        <v>10044</v>
      </c>
      <c r="C96" s="159" t="n">
        <f aca="false">C94-C95</f>
        <v>105444</v>
      </c>
      <c r="D96" s="15" t="s">
        <v>7171</v>
      </c>
      <c r="E96" s="15"/>
    </row>
    <row r="97" customFormat="false" ht="30.75" hidden="false" customHeight="true" outlineLevel="0" collapsed="false">
      <c r="B97" s="15" t="s">
        <v>10045</v>
      </c>
      <c r="C97" s="158" t="n">
        <f aca="false">IFERROR(C95/C94*12,0)</f>
        <v>2.22490034300547</v>
      </c>
      <c r="D97" s="15" t="s">
        <v>10046</v>
      </c>
      <c r="E97" s="15" t="s">
        <v>10047</v>
      </c>
    </row>
    <row r="98" customFormat="false" ht="30.75" hidden="false" customHeight="true" outlineLevel="0" collapsed="false">
      <c r="B98" s="15" t="s">
        <v>10048</v>
      </c>
      <c r="C98" s="177" t="s">
        <v>10049</v>
      </c>
      <c r="D98" s="15"/>
      <c r="E98" s="15" t="s">
        <v>10050</v>
      </c>
    </row>
    <row r="100" customFormat="false" ht="15" hidden="false" customHeight="true" outlineLevel="0" collapsed="false">
      <c r="B100" s="105" t="s">
        <v>10051</v>
      </c>
    </row>
    <row r="101" customFormat="false" ht="16.5" hidden="false" customHeight="true" outlineLevel="0" collapsed="false">
      <c r="B101" s="152" t="s">
        <v>165</v>
      </c>
      <c r="C101" s="152" t="s">
        <v>10052</v>
      </c>
      <c r="D101" s="152" t="s">
        <v>10053</v>
      </c>
      <c r="E101" s="152" t="s">
        <v>10054</v>
      </c>
      <c r="F101" s="152" t="s">
        <v>10055</v>
      </c>
      <c r="G101" s="152" t="s">
        <v>6916</v>
      </c>
    </row>
    <row r="102" customFormat="false" ht="16.5" hidden="false" customHeight="true" outlineLevel="0" collapsed="false">
      <c r="B102" s="15" t="s">
        <v>10056</v>
      </c>
      <c r="C102" s="15" t="s">
        <v>10057</v>
      </c>
      <c r="D102" s="180" t="n">
        <v>46255</v>
      </c>
      <c r="E102" s="180" t="n">
        <v>46255</v>
      </c>
      <c r="F102" s="161" t="n">
        <f aca="false">IFERROR(E102-D102,"")</f>
        <v>0</v>
      </c>
      <c r="G102" s="167" t="str">
        <f aca="false">IF(E102="","Open","Closed")</f>
        <v>Closed</v>
      </c>
    </row>
    <row r="103" customFormat="false" ht="16.5" hidden="false" customHeight="true" outlineLevel="0" collapsed="false">
      <c r="B103" s="15" t="s">
        <v>9488</v>
      </c>
      <c r="C103" s="15" t="s">
        <v>10058</v>
      </c>
      <c r="D103" s="180" t="n">
        <v>46283</v>
      </c>
      <c r="E103" s="180" t="n">
        <v>46290</v>
      </c>
      <c r="F103" s="161" t="n">
        <f aca="false">IFERROR(E103-D103,"")</f>
        <v>7</v>
      </c>
      <c r="G103" s="167" t="str">
        <f aca="false">IF(E103="","Open","Closed")</f>
        <v>Closed</v>
      </c>
    </row>
    <row r="104" customFormat="false" ht="16.5" hidden="false" customHeight="true" outlineLevel="0" collapsed="false">
      <c r="B104" s="15" t="s">
        <v>10059</v>
      </c>
      <c r="C104" s="15" t="s">
        <v>10060</v>
      </c>
      <c r="D104" s="180" t="n">
        <v>46318</v>
      </c>
      <c r="E104" s="177"/>
      <c r="F104" s="161" t="n">
        <f aca="false">IFERROR(E104-D104,"")</f>
        <v>-46318</v>
      </c>
      <c r="G104" s="167" t="str">
        <f aca="false">IF(E104="","Open","Closed")</f>
        <v>Open</v>
      </c>
    </row>
    <row r="105" customFormat="false" ht="16.5" hidden="false" customHeight="true" outlineLevel="0" collapsed="false">
      <c r="B105" s="15" t="s">
        <v>10061</v>
      </c>
      <c r="C105" s="15" t="s">
        <v>10062</v>
      </c>
      <c r="D105" s="180" t="n">
        <v>46353</v>
      </c>
      <c r="E105" s="177"/>
      <c r="F105" s="161" t="n">
        <f aca="false">IFERROR(E105-D105,"")</f>
        <v>-46353</v>
      </c>
      <c r="G105" s="167" t="str">
        <f aca="false">IF(E105="","Open","Closed")</f>
        <v>Open</v>
      </c>
    </row>
    <row r="106" customFormat="false" ht="16.5" hidden="false" customHeight="true" outlineLevel="0" collapsed="false">
      <c r="B106" s="15" t="s">
        <v>10063</v>
      </c>
      <c r="C106" s="15" t="s">
        <v>10064</v>
      </c>
      <c r="D106" s="180" t="n">
        <v>46374</v>
      </c>
      <c r="E106" s="177"/>
      <c r="F106" s="161" t="n">
        <f aca="false">IFERROR(E106-D106,"")</f>
        <v>-46374</v>
      </c>
      <c r="G106" s="167" t="str">
        <f aca="false">IF(E106="","Open","Closed")</f>
        <v>Open</v>
      </c>
    </row>
    <row r="108" customFormat="false" ht="15" hidden="false" customHeight="true" outlineLevel="0" collapsed="false">
      <c r="B108" s="105" t="s">
        <v>10065</v>
      </c>
    </row>
    <row r="109" customFormat="false" ht="16.5" hidden="false" customHeight="true" outlineLevel="0" collapsed="false">
      <c r="B109" s="152" t="s">
        <v>1495</v>
      </c>
      <c r="C109" s="152" t="s">
        <v>7242</v>
      </c>
      <c r="D109" s="152" t="s">
        <v>10066</v>
      </c>
      <c r="E109" s="152" t="s">
        <v>10067</v>
      </c>
    </row>
    <row r="110" customFormat="false" ht="30.75" hidden="false" customHeight="true" outlineLevel="0" collapsed="false">
      <c r="B110" s="15" t="s">
        <v>10068</v>
      </c>
      <c r="C110" s="15" t="s">
        <v>10069</v>
      </c>
      <c r="D110" s="155" t="n">
        <v>1</v>
      </c>
      <c r="E110" s="177" t="s">
        <v>10070</v>
      </c>
    </row>
    <row r="111" customFormat="false" ht="30.75" hidden="false" customHeight="true" outlineLevel="0" collapsed="false">
      <c r="B111" s="15" t="s">
        <v>10071</v>
      </c>
      <c r="C111" s="15" t="s">
        <v>10072</v>
      </c>
      <c r="D111" s="155" t="n">
        <v>1</v>
      </c>
      <c r="E111" s="177" t="s">
        <v>10073</v>
      </c>
    </row>
    <row r="112" customFormat="false" ht="30.75" hidden="false" customHeight="true" outlineLevel="0" collapsed="false">
      <c r="B112" s="15" t="s">
        <v>10074</v>
      </c>
      <c r="C112" s="15" t="s">
        <v>10075</v>
      </c>
      <c r="D112" s="161" t="n">
        <f aca="false">IF(AND(D83&gt;=E83,D84&gt;=E84),1,0)</f>
        <v>1</v>
      </c>
      <c r="E112" s="177" t="s">
        <v>10076</v>
      </c>
    </row>
    <row r="113" customFormat="false" ht="30.75" hidden="false" customHeight="true" outlineLevel="0" collapsed="false">
      <c r="B113" s="15" t="s">
        <v>10077</v>
      </c>
      <c r="C113" s="15" t="s">
        <v>10078</v>
      </c>
      <c r="D113" s="155" t="n">
        <v>1</v>
      </c>
      <c r="E113" s="177" t="s">
        <v>10079</v>
      </c>
    </row>
    <row r="114" customFormat="false" ht="16.5" hidden="false" customHeight="true" outlineLevel="0" collapsed="false">
      <c r="B114" s="15" t="s">
        <v>10080</v>
      </c>
      <c r="C114" s="15" t="s">
        <v>10081</v>
      </c>
      <c r="D114" s="155" t="n">
        <v>1</v>
      </c>
      <c r="E114" s="177" t="s">
        <v>10082</v>
      </c>
    </row>
    <row r="116" customFormat="false" ht="17.25" hidden="false" customHeight="true" outlineLevel="0" collapsed="false">
      <c r="B116" s="162" t="s">
        <v>10083</v>
      </c>
      <c r="C116" s="185" t="n">
        <f aca="false">SUM(D110:D114)</f>
        <v>5</v>
      </c>
      <c r="D116" s="167" t="str">
        <f aca="false">IF(SUM(D110:D114)=5,"The goal statement is SMART","Fix the failing criteria before the charter is approved")</f>
        <v>The goal statement is SMART</v>
      </c>
      <c r="E116" s="167"/>
    </row>
    <row r="118" customFormat="false" ht="15.75" hidden="false" customHeight="true" outlineLevel="0" collapsed="false">
      <c r="B118" s="103" t="s">
        <v>1493</v>
      </c>
      <c r="C118" s="8"/>
      <c r="D118" s="8"/>
      <c r="E118" s="8"/>
      <c r="F118" s="8"/>
      <c r="G118" s="8"/>
      <c r="H118" s="8"/>
      <c r="I118" s="8"/>
      <c r="J118" s="8"/>
      <c r="K118" s="8"/>
    </row>
    <row r="119" customFormat="false" ht="49.5" hidden="false" customHeight="true" outlineLevel="0" collapsed="false">
      <c r="B119" s="105" t="s">
        <v>1494</v>
      </c>
      <c r="C119" s="168" t="str">
        <f aca="false">"Baseline "&amp;TEXT(C83,"0.0")&amp;" ml, target "&amp;TEXT(D83,"0.0")&amp;" ml, entitlement "&amp;TEXT(E83,"0.0")&amp;" ml. The target captures "&amp;TEXT(IFERROR((C83-D83)/(C83-E83),0),"0%")&amp;" of the available opportunity, worth "&amp;TEXT(C94,"#,##0")&amp;" USD a year with a payback of "&amp;TEXT(C97,"0.0")&amp;" months. "&amp;IF(SUM(D110:D114)&lt;5,"The goal statement is NOT yet SMART — fix the failing criteria before asking the Champion to sign.",IF(IFERROR((C83-D83)/(C83-E83),0)&lt;0.5,"The target captures less than half the entitlement: check with the Champion whether the project is worth chartering at this level of ambition.","The charter is signable: SMART goal, target well inside entitlement, and a validated financial case."))</f>
        <v>Baseline 503.1 ml, target 500.8 ml, entitlement 500.3 ml. The target captures 82% of the available opportunity, worth 129,444 USD a year with a payback of 2.2 months. The charter is signable: SMART goal, target well inside entitlement, and a validated financial case.</v>
      </c>
      <c r="D119" s="168"/>
      <c r="E119" s="168"/>
    </row>
    <row r="121" customFormat="false" ht="17.25" hidden="false" customHeight="true" outlineLevel="0" collapsed="false">
      <c r="B121" s="152" t="s">
        <v>1495</v>
      </c>
      <c r="C121" s="152" t="s">
        <v>1496</v>
      </c>
      <c r="D121" s="152" t="s">
        <v>1497</v>
      </c>
      <c r="E121" s="152"/>
    </row>
    <row r="122" customFormat="false" ht="31.5" hidden="false" customHeight="true" outlineLevel="0" collapsed="false">
      <c r="B122" s="15" t="s">
        <v>10083</v>
      </c>
      <c r="C122" s="15" t="s">
        <v>10084</v>
      </c>
      <c r="D122" s="15" t="s">
        <v>10085</v>
      </c>
      <c r="E122" s="15"/>
    </row>
    <row r="123" customFormat="false" ht="31.5" hidden="false" customHeight="true" outlineLevel="0" collapsed="false">
      <c r="B123" s="15" t="s">
        <v>10086</v>
      </c>
      <c r="C123" s="15" t="s">
        <v>10087</v>
      </c>
      <c r="D123" s="15" t="s">
        <v>10088</v>
      </c>
      <c r="E123" s="15"/>
    </row>
    <row r="124" customFormat="false" ht="17.25" hidden="false" customHeight="true" outlineLevel="0" collapsed="false">
      <c r="B124" s="15" t="s">
        <v>10089</v>
      </c>
      <c r="C124" s="15" t="s">
        <v>10090</v>
      </c>
      <c r="D124" s="15" t="s">
        <v>10091</v>
      </c>
      <c r="E124" s="15"/>
    </row>
    <row r="125" customFormat="false" ht="17.25" hidden="false" customHeight="true" outlineLevel="0" collapsed="false">
      <c r="B125" s="15" t="s">
        <v>10092</v>
      </c>
      <c r="C125" s="15" t="s">
        <v>10093</v>
      </c>
      <c r="D125" s="15" t="s">
        <v>10094</v>
      </c>
      <c r="E125" s="15"/>
    </row>
    <row r="126" customFormat="false" ht="17.25" hidden="false" customHeight="true" outlineLevel="0" collapsed="false">
      <c r="B126" s="15" t="s">
        <v>10095</v>
      </c>
      <c r="C126" s="15" t="s">
        <v>10096</v>
      </c>
      <c r="D126" s="15" t="s">
        <v>10097</v>
      </c>
      <c r="E126" s="15"/>
    </row>
    <row r="128" customFormat="false" ht="15" hidden="false" customHeight="true" outlineLevel="0" collapsed="false">
      <c r="B128" s="105" t="s">
        <v>1507</v>
      </c>
    </row>
    <row r="129" customFormat="false" ht="17.25" hidden="false" customHeight="true" outlineLevel="0" collapsed="false">
      <c r="B129" s="106" t="s">
        <v>10098</v>
      </c>
      <c r="C129" s="106"/>
      <c r="D129" s="106"/>
      <c r="E129" s="106"/>
    </row>
    <row r="130" customFormat="false" ht="17.25" hidden="false" customHeight="true" outlineLevel="0" collapsed="false">
      <c r="B130" s="106" t="s">
        <v>10099</v>
      </c>
      <c r="C130" s="106"/>
      <c r="D130" s="106"/>
      <c r="E130" s="106"/>
    </row>
    <row r="131" customFormat="false" ht="17.25" hidden="false" customHeight="true" outlineLevel="0" collapsed="false">
      <c r="B131" s="106" t="s">
        <v>10100</v>
      </c>
      <c r="C131" s="106"/>
      <c r="D131" s="106"/>
      <c r="E131" s="106"/>
    </row>
    <row r="132" customFormat="false" ht="17.25" hidden="false" customHeight="true" outlineLevel="0" collapsed="false">
      <c r="B132" s="106" t="s">
        <v>10101</v>
      </c>
      <c r="C132" s="106"/>
      <c r="D132" s="106"/>
      <c r="E132" s="106"/>
    </row>
    <row r="133" customFormat="false" ht="17.25" hidden="false" customHeight="true" outlineLevel="0" collapsed="false">
      <c r="B133" s="106" t="s">
        <v>10102</v>
      </c>
      <c r="C133" s="106"/>
      <c r="D133" s="106"/>
      <c r="E133" s="106"/>
    </row>
    <row r="135" customFormat="false" ht="15.75" hidden="false" customHeight="true" outlineLevel="0" collapsed="false">
      <c r="B135" s="103" t="s">
        <v>1513</v>
      </c>
      <c r="C135" s="8"/>
      <c r="D135" s="8"/>
      <c r="E135" s="8"/>
      <c r="F135" s="8"/>
      <c r="G135" s="8"/>
      <c r="H135" s="8"/>
      <c r="I135" s="8"/>
      <c r="J135" s="8"/>
      <c r="K135" s="8"/>
    </row>
    <row r="136" customFormat="false" ht="17.25" hidden="false" customHeight="true" outlineLevel="0" collapsed="false">
      <c r="B136" s="106" t="s">
        <v>6712</v>
      </c>
      <c r="C136" s="106"/>
      <c r="D136" s="106"/>
      <c r="N136" s="169" t="s">
        <v>1515</v>
      </c>
    </row>
    <row r="137" customFormat="false" ht="44.25" hidden="false" customHeight="true" outlineLevel="0" collapsed="false">
      <c r="B137" s="106" t="s">
        <v>10103</v>
      </c>
      <c r="C137" s="106"/>
      <c r="D137" s="106"/>
      <c r="N137" s="120" t="s">
        <v>10104</v>
      </c>
    </row>
    <row r="138" customFormat="false" ht="30.75" hidden="false" customHeight="true" outlineLevel="0" collapsed="false">
      <c r="B138" s="106" t="s">
        <v>10105</v>
      </c>
      <c r="C138" s="106"/>
      <c r="D138" s="106"/>
      <c r="N138" s="120" t="s">
        <v>10106</v>
      </c>
    </row>
    <row r="139" customFormat="false" ht="44.25" hidden="false" customHeight="true" outlineLevel="0" collapsed="false">
      <c r="B139" s="106" t="s">
        <v>10107</v>
      </c>
      <c r="C139" s="106"/>
      <c r="D139" s="106"/>
      <c r="N139" s="120" t="s">
        <v>10108</v>
      </c>
    </row>
    <row r="141" customFormat="false" ht="15.75" hidden="false" customHeight="true" outlineLevel="0" collapsed="false">
      <c r="B141" s="103" t="s">
        <v>1522</v>
      </c>
      <c r="C141" s="8"/>
      <c r="D141" s="8"/>
      <c r="E141" s="8"/>
      <c r="F141" s="8"/>
      <c r="G141" s="8"/>
      <c r="H141" s="8"/>
      <c r="I141" s="8"/>
      <c r="J141" s="8"/>
      <c r="K141" s="8"/>
    </row>
    <row r="142" customFormat="false" ht="17.25" hidden="false" customHeight="true" outlineLevel="0" collapsed="false">
      <c r="B142" s="152" t="s">
        <v>1523</v>
      </c>
      <c r="C142" s="152" t="s">
        <v>1524</v>
      </c>
      <c r="D142" s="152" t="s">
        <v>6719</v>
      </c>
      <c r="E142" s="152"/>
    </row>
    <row r="143" customFormat="false" ht="17.25" hidden="false" customHeight="true" outlineLevel="0" collapsed="false">
      <c r="B143" s="170" t="s">
        <v>9286</v>
      </c>
      <c r="C143" s="170" t="s">
        <v>1023</v>
      </c>
      <c r="D143" s="171" t="s">
        <v>6628</v>
      </c>
      <c r="E143" s="171"/>
    </row>
  </sheetData>
  <mergeCells count="53">
    <mergeCell ref="B2:J2"/>
    <mergeCell ref="D3:E3"/>
    <mergeCell ref="B11:E14"/>
    <mergeCell ref="B15:E18"/>
    <mergeCell ref="B19:E21"/>
    <mergeCell ref="B22:E24"/>
    <mergeCell ref="B25:E26"/>
    <mergeCell ref="B29:C29"/>
    <mergeCell ref="E29:F29"/>
    <mergeCell ref="B30:C30"/>
    <mergeCell ref="E30:F30"/>
    <mergeCell ref="B31:C31"/>
    <mergeCell ref="E31:F31"/>
    <mergeCell ref="B32:C32"/>
    <mergeCell ref="E32:F32"/>
    <mergeCell ref="B33:E33"/>
    <mergeCell ref="B42:E42"/>
    <mergeCell ref="B43:E43"/>
    <mergeCell ref="B44:E44"/>
    <mergeCell ref="B47:E49"/>
    <mergeCell ref="B51:E51"/>
    <mergeCell ref="B53:E53"/>
    <mergeCell ref="D56:E56"/>
    <mergeCell ref="D57:E57"/>
    <mergeCell ref="D58:E58"/>
    <mergeCell ref="D59:E59"/>
    <mergeCell ref="D60:E60"/>
    <mergeCell ref="B63:E64"/>
    <mergeCell ref="D75:E75"/>
    <mergeCell ref="D76:E76"/>
    <mergeCell ref="D77:E77"/>
    <mergeCell ref="D78:E78"/>
    <mergeCell ref="D79:E79"/>
    <mergeCell ref="B81:E81"/>
    <mergeCell ref="D116:E116"/>
    <mergeCell ref="C119:E119"/>
    <mergeCell ref="D121:E121"/>
    <mergeCell ref="D122:E122"/>
    <mergeCell ref="D123:E123"/>
    <mergeCell ref="D124:E124"/>
    <mergeCell ref="D125:E125"/>
    <mergeCell ref="D126:E126"/>
    <mergeCell ref="B129:E129"/>
    <mergeCell ref="B130:E130"/>
    <mergeCell ref="B131:E131"/>
    <mergeCell ref="B132:E132"/>
    <mergeCell ref="B133:E133"/>
    <mergeCell ref="B136:D136"/>
    <mergeCell ref="B137:D137"/>
    <mergeCell ref="B138:D138"/>
    <mergeCell ref="B139:D139"/>
    <mergeCell ref="D142:E142"/>
    <mergeCell ref="D143:E143"/>
  </mergeCells>
  <hyperlinks>
    <hyperlink ref="B3" location="'N-03 Index DMAIC'!A1" display="← Back to Index"/>
    <hyperlink ref="E36" location="'E-06 Data Collection Plan'!A1" display="E-06  Data Collection Plan"/>
    <hyperlink ref="E37" location="'E-59 Gage R and R'!A1" display="E-59  Gage R and R"/>
    <hyperlink ref="E38" location="'G-09 Benefit Validation'!A1" display="G-09  Benefit Validation"/>
    <hyperlink ref="E39" location="'H-10 Ishikawa'!A1" display="H-10  Ishikawa / Fishbone"/>
    <hyperlink ref="B143" location="'N-08 Fast Track Routes'!A1" display="N-08  Fast Track Routes"/>
    <hyperlink ref="C143" location="'H-02 SIPOC'!A1" display="H-02  SIPOC"/>
    <hyperlink ref="D143" location="'G-02 Business Case COPQ'!A1" display="G-02  Business Case and COPQ"/>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N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3" min="2" style="1" width="34"/>
    <col collapsed="false" customWidth="true" hidden="false" outlineLevel="0" max="4" min="4" style="1" width="40"/>
    <col collapsed="false" customWidth="true" hidden="false" outlineLevel="0" max="5" min="5" style="1" width="30"/>
    <col collapsed="false" customWidth="true" hidden="false" outlineLevel="0" max="6" min="6" style="1" width="26"/>
    <col collapsed="false" customWidth="true" hidden="false" outlineLevel="0" max="7" min="7" style="1" width="14"/>
    <col collapsed="false" customWidth="true" hidden="false" outlineLevel="0" max="8" min="8" style="1" width="30"/>
    <col collapsed="false" customWidth="true" hidden="false" outlineLevel="0" max="10" min="9"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10109</v>
      </c>
      <c r="C2" s="148"/>
      <c r="D2" s="148"/>
      <c r="E2" s="148"/>
      <c r="F2" s="148"/>
      <c r="G2" s="148"/>
      <c r="H2" s="148"/>
      <c r="I2" s="148"/>
      <c r="J2" s="148"/>
      <c r="K2" s="195" t="s">
        <v>9949</v>
      </c>
    </row>
    <row r="3" customFormat="false" ht="54.75" hidden="false" customHeight="true" outlineLevel="0" collapsed="false">
      <c r="B3" s="150" t="s">
        <v>3</v>
      </c>
      <c r="D3" s="151" t="s">
        <v>10110</v>
      </c>
      <c r="E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10111</v>
      </c>
      <c r="D6" s="106"/>
    </row>
    <row r="7" customFormat="false" ht="31.5" hidden="false" customHeight="true" outlineLevel="0" collapsed="false">
      <c r="B7" s="105" t="s">
        <v>1394</v>
      </c>
      <c r="C7" s="106" t="s">
        <v>10112</v>
      </c>
      <c r="D7" s="106"/>
    </row>
    <row r="8" customFormat="false" ht="31.5" hidden="false" customHeight="true" outlineLevel="0" collapsed="false">
      <c r="B8" s="105" t="s">
        <v>1396</v>
      </c>
      <c r="C8" s="106" t="s">
        <v>10113</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10114</v>
      </c>
      <c r="C11" s="106"/>
      <c r="D11" s="106"/>
      <c r="E11" s="106"/>
    </row>
    <row r="12" customFormat="false" ht="10.5" hidden="false" customHeight="true" outlineLevel="0" collapsed="false">
      <c r="B12" s="106"/>
      <c r="C12" s="106"/>
      <c r="D12" s="106"/>
      <c r="E12" s="106"/>
    </row>
    <row r="13" customFormat="false" ht="10.5" hidden="false" customHeight="true" outlineLevel="0" collapsed="false">
      <c r="B13" s="106"/>
      <c r="C13" s="106"/>
      <c r="D13" s="106"/>
      <c r="E13" s="106"/>
    </row>
    <row r="14" customFormat="false" ht="10.5" hidden="false" customHeight="true" outlineLevel="0" collapsed="false">
      <c r="B14" s="106" t="s">
        <v>10115</v>
      </c>
      <c r="C14" s="106"/>
      <c r="D14" s="106"/>
      <c r="E14" s="106"/>
    </row>
    <row r="15" customFormat="false" ht="10.5" hidden="false" customHeight="true" outlineLevel="0" collapsed="false">
      <c r="B15" s="106"/>
      <c r="C15" s="106"/>
      <c r="D15" s="106"/>
      <c r="E15" s="106"/>
    </row>
    <row r="16" customFormat="false" ht="10.5" hidden="false" customHeight="true" outlineLevel="0" collapsed="false">
      <c r="B16" s="106"/>
      <c r="C16" s="106"/>
      <c r="D16" s="106"/>
      <c r="E16" s="106"/>
    </row>
    <row r="17" customFormat="false" ht="10.5" hidden="false" customHeight="true" outlineLevel="0" collapsed="false">
      <c r="B17" s="106" t="s">
        <v>10116</v>
      </c>
      <c r="C17" s="106"/>
      <c r="D17" s="106"/>
      <c r="E17" s="106"/>
    </row>
    <row r="18" customFormat="false" ht="10.5" hidden="false" customHeight="true" outlineLevel="0" collapsed="false">
      <c r="B18" s="106"/>
      <c r="C18" s="106"/>
      <c r="D18" s="106"/>
      <c r="E18" s="106"/>
    </row>
    <row r="19" customFormat="false" ht="10.5" hidden="false" customHeight="true" outlineLevel="0" collapsed="false">
      <c r="B19" s="106"/>
      <c r="C19" s="106"/>
      <c r="D19" s="106"/>
      <c r="E19" s="106"/>
    </row>
    <row r="20" customFormat="false" ht="10.5" hidden="false" customHeight="true" outlineLevel="0" collapsed="false">
      <c r="B20" s="106" t="s">
        <v>10117</v>
      </c>
      <c r="C20" s="106"/>
      <c r="D20" s="106"/>
      <c r="E20" s="106"/>
    </row>
    <row r="21" customFormat="false" ht="10.5" hidden="false" customHeight="true" outlineLevel="0" collapsed="false">
      <c r="B21" s="106"/>
      <c r="C21" s="106"/>
      <c r="D21" s="106"/>
      <c r="E21" s="106"/>
    </row>
    <row r="22" customFormat="false" ht="10.5" hidden="false" customHeight="true" outlineLevel="0" collapsed="false">
      <c r="B22" s="106"/>
      <c r="C22" s="106"/>
      <c r="D22" s="106"/>
      <c r="E22" s="106"/>
    </row>
    <row r="23" customFormat="false" ht="15.75" hidden="false" customHeight="true" outlineLevel="0" collapsed="false">
      <c r="B23" s="106" t="s">
        <v>10118</v>
      </c>
      <c r="C23" s="106"/>
      <c r="D23" s="106"/>
      <c r="E23" s="106"/>
    </row>
    <row r="24" customFormat="false" ht="15.75" hidden="false" customHeight="true" outlineLevel="0" collapsed="false">
      <c r="B24" s="106"/>
      <c r="C24" s="106"/>
      <c r="D24" s="106"/>
      <c r="E24" s="106"/>
    </row>
    <row r="26" customFormat="false" ht="15.75" hidden="false" customHeight="true" outlineLevel="0" collapsed="false">
      <c r="B26" s="103" t="s">
        <v>1406</v>
      </c>
      <c r="C26" s="8"/>
      <c r="D26" s="8"/>
      <c r="E26" s="8"/>
      <c r="F26" s="8"/>
      <c r="G26" s="8"/>
      <c r="H26" s="8"/>
      <c r="I26" s="8"/>
      <c r="J26" s="8"/>
      <c r="K26" s="8"/>
    </row>
    <row r="27" customFormat="false" ht="17.25" hidden="false" customHeight="true" outlineLevel="0" collapsed="false">
      <c r="B27" s="107" t="s">
        <v>1407</v>
      </c>
      <c r="C27" s="107"/>
      <c r="D27" s="107"/>
      <c r="E27" s="107" t="s">
        <v>1408</v>
      </c>
      <c r="F27" s="107"/>
    </row>
    <row r="28" customFormat="false" ht="31.5" hidden="false" customHeight="true" outlineLevel="0" collapsed="false">
      <c r="B28" s="106" t="s">
        <v>10119</v>
      </c>
      <c r="C28" s="106"/>
      <c r="D28" s="106"/>
      <c r="E28" s="106" t="s">
        <v>10120</v>
      </c>
      <c r="F28" s="106"/>
    </row>
    <row r="29" customFormat="false" ht="31.5" hidden="false" customHeight="true" outlineLevel="0" collapsed="false">
      <c r="B29" s="106" t="s">
        <v>10121</v>
      </c>
      <c r="C29" s="106"/>
      <c r="D29" s="106"/>
      <c r="E29" s="106" t="s">
        <v>10122</v>
      </c>
      <c r="F29" s="106"/>
    </row>
    <row r="30" customFormat="false" ht="31.5" hidden="false" customHeight="true" outlineLevel="0" collapsed="false">
      <c r="B30" s="106" t="s">
        <v>10123</v>
      </c>
      <c r="C30" s="106"/>
      <c r="D30" s="106"/>
      <c r="E30" s="106" t="s">
        <v>10124</v>
      </c>
      <c r="F30" s="106"/>
    </row>
    <row r="31" customFormat="false" ht="17.25" hidden="false" customHeight="true" outlineLevel="0" collapsed="false">
      <c r="B31" s="106" t="s">
        <v>10125</v>
      </c>
      <c r="C31" s="106"/>
      <c r="D31" s="106"/>
      <c r="E31" s="106"/>
    </row>
    <row r="33" customFormat="false" ht="16.5" hidden="false" customHeight="true" outlineLevel="0" collapsed="false">
      <c r="B33" s="152" t="s">
        <v>6621</v>
      </c>
      <c r="C33" s="152" t="s">
        <v>1417</v>
      </c>
      <c r="D33" s="152" t="s">
        <v>1418</v>
      </c>
      <c r="E33" s="152" t="s">
        <v>1419</v>
      </c>
    </row>
    <row r="34" customFormat="false" ht="30.75" hidden="false" customHeight="true" outlineLevel="0" collapsed="false">
      <c r="B34" s="15" t="s">
        <v>10126</v>
      </c>
      <c r="C34" s="15" t="s">
        <v>10127</v>
      </c>
      <c r="D34" s="15" t="s">
        <v>10128</v>
      </c>
      <c r="E34" s="153" t="s">
        <v>1250</v>
      </c>
    </row>
    <row r="35" customFormat="false" ht="30.75" hidden="false" customHeight="true" outlineLevel="0" collapsed="false">
      <c r="B35" s="15" t="s">
        <v>10129</v>
      </c>
      <c r="C35" s="15" t="s">
        <v>10130</v>
      </c>
      <c r="D35" s="15" t="s">
        <v>10131</v>
      </c>
      <c r="E35" s="153" t="s">
        <v>10132</v>
      </c>
    </row>
    <row r="36" customFormat="false" ht="30.75" hidden="false" customHeight="true" outlineLevel="0" collapsed="false">
      <c r="B36" s="15" t="s">
        <v>10133</v>
      </c>
      <c r="C36" s="15" t="s">
        <v>10134</v>
      </c>
      <c r="D36" s="15" t="s">
        <v>10135</v>
      </c>
      <c r="E36" s="153" t="s">
        <v>9969</v>
      </c>
    </row>
    <row r="37" customFormat="false" ht="30.75" hidden="false" customHeight="true" outlineLevel="0" collapsed="false">
      <c r="B37" s="15" t="s">
        <v>10136</v>
      </c>
      <c r="C37" s="15" t="s">
        <v>10137</v>
      </c>
      <c r="D37" s="15" t="s">
        <v>10138</v>
      </c>
      <c r="E37" s="153" t="s">
        <v>7332</v>
      </c>
    </row>
    <row r="39" customFormat="false" ht="15.75" hidden="false" customHeight="true" outlineLevel="0" collapsed="false">
      <c r="B39" s="103" t="s">
        <v>1429</v>
      </c>
      <c r="C39" s="8"/>
      <c r="D39" s="8"/>
      <c r="E39" s="8"/>
      <c r="F39" s="8"/>
      <c r="G39" s="8"/>
      <c r="H39" s="8"/>
      <c r="I39" s="8"/>
      <c r="J39" s="8"/>
      <c r="K39" s="8"/>
    </row>
    <row r="40" customFormat="false" ht="17.25" hidden="false" customHeight="true" outlineLevel="0" collapsed="false">
      <c r="B40" s="106" t="s">
        <v>10139</v>
      </c>
      <c r="C40" s="106"/>
      <c r="D40" s="106"/>
      <c r="E40" s="106"/>
    </row>
    <row r="41" customFormat="false" ht="15" hidden="false" customHeight="true" outlineLevel="0" collapsed="false">
      <c r="B41" s="122"/>
    </row>
    <row r="42" customFormat="false" ht="17.25" hidden="false" customHeight="true" outlineLevel="0" collapsed="false">
      <c r="B42" s="106" t="s">
        <v>10140</v>
      </c>
      <c r="C42" s="106"/>
      <c r="D42" s="106"/>
      <c r="E42" s="106"/>
    </row>
    <row r="43" customFormat="false" ht="17.25" hidden="false" customHeight="true" outlineLevel="0" collapsed="false">
      <c r="B43" s="106" t="s">
        <v>10141</v>
      </c>
      <c r="C43" s="106"/>
      <c r="D43" s="106"/>
      <c r="E43" s="106"/>
    </row>
    <row r="44" customFormat="false" ht="17.25" hidden="false" customHeight="true" outlineLevel="0" collapsed="false">
      <c r="B44" s="106" t="s">
        <v>10142</v>
      </c>
      <c r="C44" s="106"/>
      <c r="D44" s="106"/>
      <c r="E44" s="106"/>
    </row>
    <row r="45" customFormat="false" ht="17.25" hidden="false" customHeight="true" outlineLevel="0" collapsed="false">
      <c r="B45" s="106" t="s">
        <v>10143</v>
      </c>
      <c r="C45" s="106"/>
      <c r="D45" s="106"/>
      <c r="E45" s="106"/>
    </row>
    <row r="46" customFormat="false" ht="17.25" hidden="false" customHeight="true" outlineLevel="0" collapsed="false">
      <c r="B46" s="106" t="s">
        <v>10144</v>
      </c>
      <c r="C46" s="106"/>
      <c r="D46" s="106"/>
      <c r="E46" s="106"/>
    </row>
    <row r="47" customFormat="false" ht="15" hidden="false" customHeight="true" outlineLevel="0" collapsed="false">
      <c r="B47" s="122"/>
    </row>
    <row r="48" customFormat="false" ht="17.25" hidden="false" customHeight="true" outlineLevel="0" collapsed="false">
      <c r="B48" s="106" t="s">
        <v>10145</v>
      </c>
      <c r="C48" s="106"/>
      <c r="D48" s="106"/>
      <c r="E48" s="106"/>
    </row>
    <row r="49" customFormat="false" ht="17.25" hidden="false" customHeight="true" outlineLevel="0" collapsed="false">
      <c r="B49" s="106" t="s">
        <v>10146</v>
      </c>
      <c r="C49" s="106"/>
      <c r="D49" s="106"/>
      <c r="E49" s="106"/>
    </row>
    <row r="50" customFormat="false" ht="17.25" hidden="false" customHeight="true" outlineLevel="0" collapsed="false">
      <c r="B50" s="106" t="s">
        <v>10147</v>
      </c>
      <c r="C50" s="106"/>
      <c r="D50" s="106"/>
      <c r="E50" s="106"/>
    </row>
    <row r="52" customFormat="false" ht="15.75" hidden="false" customHeight="true" outlineLevel="0" collapsed="false">
      <c r="B52" s="103" t="s">
        <v>1437</v>
      </c>
      <c r="C52" s="8"/>
      <c r="D52" s="8"/>
      <c r="E52" s="8"/>
      <c r="F52" s="8"/>
      <c r="G52" s="8"/>
      <c r="H52" s="8"/>
      <c r="I52" s="8"/>
      <c r="J52" s="8"/>
      <c r="K52" s="8"/>
    </row>
    <row r="53" customFormat="false" ht="16.5" hidden="false" customHeight="true" outlineLevel="0" collapsed="false">
      <c r="B53" s="152" t="s">
        <v>1438</v>
      </c>
      <c r="C53" s="152" t="s">
        <v>1439</v>
      </c>
      <c r="D53" s="152" t="s">
        <v>1440</v>
      </c>
    </row>
    <row r="54" customFormat="false" ht="30.75" hidden="false" customHeight="true" outlineLevel="0" collapsed="false">
      <c r="B54" s="15" t="s">
        <v>1450</v>
      </c>
      <c r="C54" s="15" t="s">
        <v>1451</v>
      </c>
      <c r="D54" s="15" t="s">
        <v>10148</v>
      </c>
    </row>
    <row r="55" customFormat="false" ht="30.75" hidden="false" customHeight="true" outlineLevel="0" collapsed="false">
      <c r="B55" s="15" t="s">
        <v>1668</v>
      </c>
      <c r="C55" s="15" t="s">
        <v>10149</v>
      </c>
      <c r="D55" s="15" t="s">
        <v>10150</v>
      </c>
    </row>
    <row r="56" customFormat="false" ht="16.5" hidden="false" customHeight="true" outlineLevel="0" collapsed="false">
      <c r="B56" s="15" t="s">
        <v>9325</v>
      </c>
      <c r="C56" s="15" t="s">
        <v>10151</v>
      </c>
      <c r="D56" s="15" t="s">
        <v>10152</v>
      </c>
    </row>
    <row r="57" customFormat="false" ht="30.75" hidden="false" customHeight="true" outlineLevel="0" collapsed="false">
      <c r="B57" s="15" t="s">
        <v>10153</v>
      </c>
      <c r="C57" s="15" t="s">
        <v>10154</v>
      </c>
      <c r="D57" s="15" t="s">
        <v>10155</v>
      </c>
    </row>
    <row r="59" customFormat="false" ht="15.75" hidden="false" customHeight="true" outlineLevel="0" collapsed="false">
      <c r="B59" s="103" t="s">
        <v>1454</v>
      </c>
      <c r="C59" s="8"/>
      <c r="D59" s="8"/>
      <c r="E59" s="8"/>
      <c r="F59" s="8"/>
      <c r="G59" s="8"/>
      <c r="H59" s="8"/>
      <c r="I59" s="8"/>
      <c r="J59" s="8"/>
      <c r="K59" s="8"/>
    </row>
    <row r="60" customFormat="false" ht="15.75" hidden="false" customHeight="true" outlineLevel="0" collapsed="false">
      <c r="B60" s="106" t="s">
        <v>10156</v>
      </c>
      <c r="C60" s="106"/>
      <c r="D60" s="106"/>
      <c r="E60" s="106"/>
    </row>
    <row r="61" customFormat="false" ht="15.75" hidden="false" customHeight="true" outlineLevel="0" collapsed="false">
      <c r="B61" s="106"/>
      <c r="C61" s="106"/>
      <c r="D61" s="106"/>
      <c r="E61" s="106"/>
    </row>
    <row r="62" customFormat="false" ht="15" hidden="false" customHeight="true" outlineLevel="0" collapsed="false">
      <c r="B62" s="112" t="s">
        <v>85</v>
      </c>
      <c r="C62" s="154" t="s">
        <v>86</v>
      </c>
    </row>
    <row r="64" customFormat="false" ht="17.25" hidden="false" customHeight="true" outlineLevel="0" collapsed="false">
      <c r="B64" s="107" t="s">
        <v>10157</v>
      </c>
      <c r="C64" s="107"/>
      <c r="D64" s="107"/>
      <c r="E64" s="107"/>
    </row>
    <row r="65" customFormat="false" ht="16.5" hidden="false" customHeight="true" outlineLevel="0" collapsed="false">
      <c r="B65" s="152" t="s">
        <v>10158</v>
      </c>
      <c r="C65" s="152" t="s">
        <v>5198</v>
      </c>
      <c r="D65" s="152" t="s">
        <v>10159</v>
      </c>
    </row>
    <row r="66" customFormat="false" ht="30.75" hidden="false" customHeight="true" outlineLevel="0" collapsed="false">
      <c r="B66" s="15" t="s">
        <v>10160</v>
      </c>
      <c r="C66" s="177" t="s">
        <v>10161</v>
      </c>
      <c r="D66" s="15" t="s">
        <v>10162</v>
      </c>
    </row>
    <row r="67" customFormat="false" ht="30.75" hidden="false" customHeight="true" outlineLevel="0" collapsed="false">
      <c r="B67" s="15" t="s">
        <v>10163</v>
      </c>
      <c r="C67" s="177" t="s">
        <v>10164</v>
      </c>
      <c r="D67" s="15" t="s">
        <v>10165</v>
      </c>
    </row>
    <row r="68" customFormat="false" ht="30.75" hidden="false" customHeight="true" outlineLevel="0" collapsed="false">
      <c r="B68" s="15" t="s">
        <v>10166</v>
      </c>
      <c r="C68" s="177" t="s">
        <v>10167</v>
      </c>
      <c r="D68" s="15" t="s">
        <v>10168</v>
      </c>
    </row>
    <row r="70" customFormat="false" ht="15" hidden="false" customHeight="true" outlineLevel="0" collapsed="false">
      <c r="B70" s="105" t="s">
        <v>10169</v>
      </c>
    </row>
    <row r="71" customFormat="false" ht="16.5" hidden="false" customHeight="true" outlineLevel="0" collapsed="false">
      <c r="B71" s="152" t="s">
        <v>10170</v>
      </c>
      <c r="C71" s="152" t="s">
        <v>10171</v>
      </c>
      <c r="D71" s="152" t="s">
        <v>10172</v>
      </c>
      <c r="E71" s="152" t="s">
        <v>10173</v>
      </c>
      <c r="F71" s="152" t="s">
        <v>10174</v>
      </c>
    </row>
    <row r="72" customFormat="false" ht="30.75" hidden="false" customHeight="true" outlineLevel="0" collapsed="false">
      <c r="B72" s="177" t="s">
        <v>10175</v>
      </c>
      <c r="C72" s="177" t="s">
        <v>10176</v>
      </c>
      <c r="D72" s="177" t="s">
        <v>10177</v>
      </c>
      <c r="E72" s="177" t="s">
        <v>10178</v>
      </c>
      <c r="F72" s="177" t="s">
        <v>10179</v>
      </c>
    </row>
    <row r="73" customFormat="false" ht="30.75" hidden="false" customHeight="true" outlineLevel="0" collapsed="false">
      <c r="B73" s="177" t="s">
        <v>10180</v>
      </c>
      <c r="C73" s="177" t="s">
        <v>10181</v>
      </c>
      <c r="D73" s="177" t="s">
        <v>10182</v>
      </c>
      <c r="E73" s="177" t="s">
        <v>10183</v>
      </c>
      <c r="F73" s="177" t="s">
        <v>10184</v>
      </c>
    </row>
    <row r="74" customFormat="false" ht="30.75" hidden="false" customHeight="true" outlineLevel="0" collapsed="false">
      <c r="B74" s="177" t="s">
        <v>10185</v>
      </c>
      <c r="C74" s="177" t="s">
        <v>10186</v>
      </c>
      <c r="D74" s="177" t="s">
        <v>10187</v>
      </c>
      <c r="E74" s="177" t="s">
        <v>10188</v>
      </c>
      <c r="F74" s="177" t="s">
        <v>10184</v>
      </c>
    </row>
    <row r="75" customFormat="false" ht="16.5" hidden="false" customHeight="true" outlineLevel="0" collapsed="false">
      <c r="B75" s="177" t="s">
        <v>10189</v>
      </c>
      <c r="C75" s="177" t="s">
        <v>10190</v>
      </c>
      <c r="D75" s="177" t="s">
        <v>10191</v>
      </c>
      <c r="E75" s="177" t="s">
        <v>10192</v>
      </c>
      <c r="F75" s="177" t="s">
        <v>10193</v>
      </c>
    </row>
    <row r="76" customFormat="false" ht="30.75" hidden="false" customHeight="true" outlineLevel="0" collapsed="false">
      <c r="B76" s="177" t="s">
        <v>10194</v>
      </c>
      <c r="C76" s="177" t="s">
        <v>10195</v>
      </c>
      <c r="D76" s="177" t="s">
        <v>10196</v>
      </c>
      <c r="E76" s="177" t="s">
        <v>10197</v>
      </c>
      <c r="F76" s="177" t="s">
        <v>10198</v>
      </c>
    </row>
    <row r="77" customFormat="false" ht="30.75" hidden="false" customHeight="true" outlineLevel="0" collapsed="false">
      <c r="B77" s="177" t="s">
        <v>10198</v>
      </c>
      <c r="C77" s="177" t="s">
        <v>10199</v>
      </c>
      <c r="D77" s="177" t="s">
        <v>10200</v>
      </c>
      <c r="E77" s="177"/>
      <c r="F77" s="177"/>
    </row>
    <row r="78" customFormat="false" ht="16.5" hidden="false" customHeight="true" outlineLevel="0" collapsed="false">
      <c r="B78" s="177" t="s">
        <v>10201</v>
      </c>
      <c r="C78" s="177" t="s">
        <v>10202</v>
      </c>
      <c r="D78" s="177" t="s">
        <v>10203</v>
      </c>
      <c r="E78" s="177"/>
      <c r="F78" s="177"/>
    </row>
    <row r="80" customFormat="false" ht="17.25" hidden="false" customHeight="true" outlineLevel="0" collapsed="false">
      <c r="B80" s="107" t="s">
        <v>10204</v>
      </c>
      <c r="C80" s="107"/>
      <c r="D80" s="107"/>
      <c r="E80" s="107"/>
    </row>
    <row r="81" customFormat="false" ht="17.25" hidden="false" customHeight="true" outlineLevel="0" collapsed="false">
      <c r="B81" s="152" t="s">
        <v>7841</v>
      </c>
      <c r="C81" s="152" t="s">
        <v>10205</v>
      </c>
      <c r="D81" s="152" t="s">
        <v>10206</v>
      </c>
      <c r="E81" s="152" t="s">
        <v>10207</v>
      </c>
      <c r="F81" s="152" t="s">
        <v>10208</v>
      </c>
      <c r="G81" s="152" t="s">
        <v>10209</v>
      </c>
      <c r="H81" s="152"/>
    </row>
    <row r="82" customFormat="false" ht="17.25" hidden="false" customHeight="true" outlineLevel="0" collapsed="false">
      <c r="B82" s="15" t="s">
        <v>7376</v>
      </c>
      <c r="C82" s="177" t="s">
        <v>10210</v>
      </c>
      <c r="D82" s="177" t="s">
        <v>10211</v>
      </c>
      <c r="E82" s="177" t="s">
        <v>10212</v>
      </c>
      <c r="F82" s="155" t="n">
        <v>1</v>
      </c>
      <c r="G82" s="153" t="s">
        <v>7925</v>
      </c>
      <c r="H82" s="153"/>
    </row>
    <row r="83" customFormat="false" ht="17.25" hidden="false" customHeight="true" outlineLevel="0" collapsed="false">
      <c r="B83" s="15" t="s">
        <v>7376</v>
      </c>
      <c r="C83" s="177" t="s">
        <v>10213</v>
      </c>
      <c r="D83" s="177" t="s">
        <v>10214</v>
      </c>
      <c r="E83" s="177" t="s">
        <v>10215</v>
      </c>
      <c r="F83" s="155" t="n">
        <v>1</v>
      </c>
      <c r="G83" s="153" t="s">
        <v>10216</v>
      </c>
      <c r="H83" s="153"/>
    </row>
    <row r="84" customFormat="false" ht="17.25" hidden="false" customHeight="true" outlineLevel="0" collapsed="false">
      <c r="B84" s="15" t="s">
        <v>7376</v>
      </c>
      <c r="C84" s="177" t="s">
        <v>10217</v>
      </c>
      <c r="D84" s="177" t="s">
        <v>10218</v>
      </c>
      <c r="E84" s="177" t="s">
        <v>10212</v>
      </c>
      <c r="F84" s="155" t="n">
        <v>1</v>
      </c>
      <c r="G84" s="153" t="s">
        <v>1031</v>
      </c>
      <c r="H84" s="153"/>
    </row>
    <row r="85" customFormat="false" ht="17.25" hidden="false" customHeight="true" outlineLevel="0" collapsed="false">
      <c r="B85" s="15" t="s">
        <v>7376</v>
      </c>
      <c r="C85" s="177" t="s">
        <v>10219</v>
      </c>
      <c r="D85" s="177" t="s">
        <v>10220</v>
      </c>
      <c r="E85" s="177" t="s">
        <v>10221</v>
      </c>
      <c r="F85" s="155" t="n">
        <v>1</v>
      </c>
      <c r="G85" s="153" t="s">
        <v>7917</v>
      </c>
      <c r="H85" s="153"/>
    </row>
    <row r="86" customFormat="false" ht="17.25" hidden="false" customHeight="true" outlineLevel="0" collapsed="false">
      <c r="B86" s="15" t="s">
        <v>10222</v>
      </c>
      <c r="C86" s="177" t="s">
        <v>10223</v>
      </c>
      <c r="D86" s="177" t="s">
        <v>10224</v>
      </c>
      <c r="E86" s="177" t="s">
        <v>10225</v>
      </c>
      <c r="F86" s="155" t="n">
        <v>1</v>
      </c>
      <c r="G86" s="153" t="s">
        <v>10216</v>
      </c>
      <c r="H86" s="153"/>
    </row>
    <row r="87" customFormat="false" ht="17.25" hidden="false" customHeight="true" outlineLevel="0" collapsed="false">
      <c r="B87" s="15" t="s">
        <v>10222</v>
      </c>
      <c r="C87" s="177" t="s">
        <v>10226</v>
      </c>
      <c r="D87" s="177" t="s">
        <v>10227</v>
      </c>
      <c r="E87" s="177" t="s">
        <v>10225</v>
      </c>
      <c r="F87" s="155" t="n">
        <v>1</v>
      </c>
      <c r="G87" s="153" t="s">
        <v>1031</v>
      </c>
      <c r="H87" s="153"/>
    </row>
    <row r="88" customFormat="false" ht="17.25" hidden="false" customHeight="true" outlineLevel="0" collapsed="false">
      <c r="B88" s="15" t="s">
        <v>10222</v>
      </c>
      <c r="C88" s="177" t="s">
        <v>10228</v>
      </c>
      <c r="D88" s="177" t="s">
        <v>10229</v>
      </c>
      <c r="E88" s="177" t="s">
        <v>7029</v>
      </c>
      <c r="F88" s="155" t="n">
        <v>0</v>
      </c>
      <c r="G88" s="153" t="s">
        <v>1068</v>
      </c>
      <c r="H88" s="153"/>
    </row>
    <row r="90" customFormat="false" ht="16.5" hidden="false" customHeight="true" outlineLevel="0" collapsed="false">
      <c r="B90" s="152" t="s">
        <v>6689</v>
      </c>
      <c r="C90" s="152" t="s">
        <v>6654</v>
      </c>
      <c r="D90" s="152" t="s">
        <v>88</v>
      </c>
    </row>
    <row r="91" customFormat="false" ht="30.75" hidden="false" customHeight="true" outlineLevel="0" collapsed="false">
      <c r="B91" s="15" t="s">
        <v>10230</v>
      </c>
      <c r="C91" s="161" t="n">
        <f aca="false">COUNTA(D72:D78)</f>
        <v>7</v>
      </c>
      <c r="D91" s="15" t="s">
        <v>10231</v>
      </c>
    </row>
    <row r="92" customFormat="false" ht="16.5" hidden="false" customHeight="true" outlineLevel="0" collapsed="false">
      <c r="B92" s="15" t="s">
        <v>10232</v>
      </c>
      <c r="C92" s="161" t="n">
        <f aca="false">COUNTA(B72:B78)</f>
        <v>7</v>
      </c>
      <c r="D92" s="15" t="s">
        <v>10233</v>
      </c>
    </row>
    <row r="93" customFormat="false" ht="30.75" hidden="false" customHeight="true" outlineLevel="0" collapsed="false">
      <c r="B93" s="15" t="s">
        <v>10234</v>
      </c>
      <c r="C93" s="161" t="n">
        <f aca="false">COUNTA(F72:F78)</f>
        <v>5</v>
      </c>
      <c r="D93" s="15" t="s">
        <v>10235</v>
      </c>
    </row>
    <row r="94" customFormat="false" ht="16.5" hidden="false" customHeight="true" outlineLevel="0" collapsed="false">
      <c r="B94" s="15" t="s">
        <v>10236</v>
      </c>
      <c r="C94" s="161" t="n">
        <f aca="false">COUNTIFS(B82:B88,"Input",F82:F88,1)</f>
        <v>4</v>
      </c>
      <c r="D94" s="15" t="s">
        <v>10237</v>
      </c>
    </row>
    <row r="95" customFormat="false" ht="16.5" hidden="false" customHeight="true" outlineLevel="0" collapsed="false">
      <c r="B95" s="15" t="s">
        <v>10238</v>
      </c>
      <c r="C95" s="161" t="n">
        <f aca="false">COUNTIFS(B82:B88,"Output",F82:F88,1)</f>
        <v>2</v>
      </c>
      <c r="D95" s="15" t="s">
        <v>10239</v>
      </c>
    </row>
    <row r="96" customFormat="false" ht="30.75" hidden="false" customHeight="true" outlineLevel="0" collapsed="false">
      <c r="B96" s="15" t="s">
        <v>10240</v>
      </c>
      <c r="C96" s="161" t="n">
        <f aca="false">COUNTA(D82:D88)-COUNTA(E82:E88)</f>
        <v>0</v>
      </c>
      <c r="D96" s="15" t="s">
        <v>10241</v>
      </c>
    </row>
    <row r="98" customFormat="false" ht="15.75" hidden="false" customHeight="true" outlineLevel="0" collapsed="false">
      <c r="B98" s="103" t="s">
        <v>1493</v>
      </c>
      <c r="C98" s="8"/>
      <c r="D98" s="8"/>
      <c r="E98" s="8"/>
      <c r="F98" s="8"/>
      <c r="G98" s="8"/>
      <c r="H98" s="8"/>
      <c r="I98" s="8"/>
      <c r="J98" s="8"/>
      <c r="K98" s="8"/>
    </row>
    <row r="99" customFormat="false" ht="49.5" hidden="false" customHeight="true" outlineLevel="0" collapsed="false">
      <c r="B99" s="105" t="s">
        <v>1494</v>
      </c>
      <c r="C99" s="168" t="str">
        <f aca="false">"The SIPOC covers "&amp;TEXT(C91,"0")&amp;" high-level steps between the stated boundaries, with "&amp;TEXT(C94,"0")&amp;" critical inputs and "&amp;TEXT(C95,"0")&amp;" critical outputs identified. "&amp;IF(C91&gt;7,"More than seven steps: this is a process map, not a SIPOC. Raise the level or split the process.",IF(C91&lt;4,"Fewer than four steps: the process has been described too coarsely to identify inputs.","The level of detail is right."))&amp;" Take the critical inputs to the Cause and Effect matrix (H-12) and the critical outputs to the "&amp;"data collection plan (E-06)."</f>
        <v>The SIPOC covers 7 high-level steps between the stated boundaries, with 4 critical inputs and 2 critical outputs identified. The level of detail is right. Take the critical inputs to the Cause and Effect matrix (H-12) and the critical outputs to the data collection plan (E-06).</v>
      </c>
      <c r="D99" s="168"/>
      <c r="E99" s="168"/>
    </row>
    <row r="101" customFormat="false" ht="16.5" hidden="false" customHeight="true" outlineLevel="0" collapsed="false">
      <c r="B101" s="152" t="s">
        <v>1495</v>
      </c>
      <c r="C101" s="152" t="s">
        <v>1496</v>
      </c>
      <c r="D101" s="152" t="s">
        <v>1497</v>
      </c>
    </row>
    <row r="102" customFormat="false" ht="30.75" hidden="false" customHeight="true" outlineLevel="0" collapsed="false">
      <c r="B102" s="15" t="s">
        <v>10230</v>
      </c>
      <c r="C102" s="15" t="s">
        <v>10242</v>
      </c>
      <c r="D102" s="15" t="s">
        <v>10243</v>
      </c>
    </row>
    <row r="103" customFormat="false" ht="30.75" hidden="false" customHeight="true" outlineLevel="0" collapsed="false">
      <c r="B103" s="15" t="s">
        <v>10244</v>
      </c>
      <c r="C103" s="15" t="s">
        <v>10245</v>
      </c>
      <c r="D103" s="15" t="s">
        <v>10246</v>
      </c>
    </row>
    <row r="104" customFormat="false" ht="16.5" hidden="false" customHeight="true" outlineLevel="0" collapsed="false">
      <c r="B104" s="15" t="s">
        <v>10247</v>
      </c>
      <c r="C104" s="15" t="s">
        <v>1958</v>
      </c>
      <c r="D104" s="15" t="s">
        <v>10248</v>
      </c>
    </row>
    <row r="105" customFormat="false" ht="30.75" hidden="false" customHeight="true" outlineLevel="0" collapsed="false">
      <c r="B105" s="15" t="s">
        <v>10249</v>
      </c>
      <c r="C105" s="15" t="s">
        <v>10250</v>
      </c>
      <c r="D105" s="15" t="s">
        <v>10251</v>
      </c>
    </row>
    <row r="107" customFormat="false" ht="15" hidden="false" customHeight="true" outlineLevel="0" collapsed="false">
      <c r="B107" s="105" t="s">
        <v>1507</v>
      </c>
    </row>
    <row r="108" customFormat="false" ht="17.25" hidden="false" customHeight="true" outlineLevel="0" collapsed="false">
      <c r="B108" s="106" t="s">
        <v>10252</v>
      </c>
      <c r="C108" s="106"/>
      <c r="D108" s="106"/>
      <c r="E108" s="106"/>
    </row>
    <row r="109" customFormat="false" ht="17.25" hidden="false" customHeight="true" outlineLevel="0" collapsed="false">
      <c r="B109" s="106" t="s">
        <v>10253</v>
      </c>
      <c r="C109" s="106"/>
      <c r="D109" s="106"/>
      <c r="E109" s="106"/>
    </row>
    <row r="110" customFormat="false" ht="17.25" hidden="false" customHeight="true" outlineLevel="0" collapsed="false">
      <c r="B110" s="106" t="s">
        <v>10254</v>
      </c>
      <c r="C110" s="106"/>
      <c r="D110" s="106"/>
      <c r="E110" s="106"/>
    </row>
    <row r="111" customFormat="false" ht="17.25" hidden="false" customHeight="true" outlineLevel="0" collapsed="false">
      <c r="B111" s="106" t="s">
        <v>10255</v>
      </c>
      <c r="C111" s="106"/>
      <c r="D111" s="106"/>
      <c r="E111" s="106"/>
    </row>
    <row r="112" customFormat="false" ht="17.25" hidden="false" customHeight="true" outlineLevel="0" collapsed="false">
      <c r="B112" s="106" t="s">
        <v>10256</v>
      </c>
      <c r="C112" s="106"/>
      <c r="D112" s="106"/>
      <c r="E112" s="106"/>
    </row>
    <row r="114" customFormat="false" ht="15.75" hidden="false" customHeight="true" outlineLevel="0" collapsed="false">
      <c r="B114" s="103" t="s">
        <v>1513</v>
      </c>
      <c r="C114" s="8"/>
      <c r="D114" s="8"/>
      <c r="E114" s="8"/>
      <c r="F114" s="8"/>
      <c r="G114" s="8"/>
      <c r="H114" s="8"/>
      <c r="I114" s="8"/>
      <c r="J114" s="8"/>
      <c r="K114" s="8"/>
    </row>
    <row r="115" customFormat="false" ht="17.25" hidden="false" customHeight="true" outlineLevel="0" collapsed="false">
      <c r="B115" s="106" t="s">
        <v>6712</v>
      </c>
      <c r="C115" s="106"/>
      <c r="D115" s="106"/>
      <c r="N115" s="169" t="s">
        <v>1515</v>
      </c>
    </row>
    <row r="116" customFormat="false" ht="44.25" hidden="false" customHeight="true" outlineLevel="0" collapsed="false">
      <c r="B116" s="106" t="s">
        <v>10257</v>
      </c>
      <c r="C116" s="106"/>
      <c r="D116" s="106"/>
      <c r="N116" s="120" t="s">
        <v>10258</v>
      </c>
    </row>
    <row r="117" customFormat="false" ht="44.25" hidden="false" customHeight="true" outlineLevel="0" collapsed="false">
      <c r="B117" s="106" t="s">
        <v>10259</v>
      </c>
      <c r="C117" s="106"/>
      <c r="D117" s="106"/>
      <c r="N117" s="120" t="s">
        <v>10260</v>
      </c>
    </row>
    <row r="118" customFormat="false" ht="44.25" hidden="false" customHeight="true" outlineLevel="0" collapsed="false">
      <c r="B118" s="106" t="s">
        <v>10261</v>
      </c>
      <c r="C118" s="106"/>
      <c r="D118" s="106"/>
      <c r="N118" s="120" t="s">
        <v>10262</v>
      </c>
    </row>
    <row r="120" customFormat="false" ht="15.75" hidden="false" customHeight="true" outlineLevel="0" collapsed="false">
      <c r="B120" s="103" t="s">
        <v>1522</v>
      </c>
      <c r="C120" s="8"/>
      <c r="D120" s="8"/>
      <c r="E120" s="8"/>
      <c r="F120" s="8"/>
      <c r="G120" s="8"/>
      <c r="H120" s="8"/>
      <c r="I120" s="8"/>
      <c r="J120" s="8"/>
      <c r="K120" s="8"/>
    </row>
    <row r="121" customFormat="false" ht="30.75" hidden="false" customHeight="true" outlineLevel="0" collapsed="false">
      <c r="B121" s="152" t="s">
        <v>1523</v>
      </c>
      <c r="C121" s="152" t="s">
        <v>1524</v>
      </c>
      <c r="D121" s="152" t="s">
        <v>6719</v>
      </c>
    </row>
    <row r="122" customFormat="false" ht="16.5" hidden="false" customHeight="true" outlineLevel="0" collapsed="false">
      <c r="B122" s="170" t="s">
        <v>1250</v>
      </c>
      <c r="C122" s="170" t="s">
        <v>10132</v>
      </c>
      <c r="D122" s="170" t="s">
        <v>9811</v>
      </c>
    </row>
  </sheetData>
  <mergeCells count="49">
    <mergeCell ref="B2:J2"/>
    <mergeCell ref="D3:E3"/>
    <mergeCell ref="C6:D6"/>
    <mergeCell ref="C7:D7"/>
    <mergeCell ref="C8:D8"/>
    <mergeCell ref="B11:E13"/>
    <mergeCell ref="B14:E16"/>
    <mergeCell ref="B17:E19"/>
    <mergeCell ref="B20:E22"/>
    <mergeCell ref="B23:E24"/>
    <mergeCell ref="B27:D27"/>
    <mergeCell ref="E27:F27"/>
    <mergeCell ref="B28:D28"/>
    <mergeCell ref="E28:F28"/>
    <mergeCell ref="B29:D29"/>
    <mergeCell ref="E29:F29"/>
    <mergeCell ref="B30:D30"/>
    <mergeCell ref="E30:F30"/>
    <mergeCell ref="B31:E31"/>
    <mergeCell ref="B40:E40"/>
    <mergeCell ref="B42:E42"/>
    <mergeCell ref="B43:E43"/>
    <mergeCell ref="B44:E44"/>
    <mergeCell ref="B45:E45"/>
    <mergeCell ref="B46:E46"/>
    <mergeCell ref="B48:E48"/>
    <mergeCell ref="B49:E49"/>
    <mergeCell ref="B50:E50"/>
    <mergeCell ref="B60:E61"/>
    <mergeCell ref="B64:E64"/>
    <mergeCell ref="B80:E80"/>
    <mergeCell ref="G81:H81"/>
    <mergeCell ref="G82:H82"/>
    <mergeCell ref="G83:H83"/>
    <mergeCell ref="G84:H84"/>
    <mergeCell ref="G85:H85"/>
    <mergeCell ref="G86:H86"/>
    <mergeCell ref="G87:H87"/>
    <mergeCell ref="G88:H88"/>
    <mergeCell ref="C99:E99"/>
    <mergeCell ref="B108:E108"/>
    <mergeCell ref="B109:E109"/>
    <mergeCell ref="B110:E110"/>
    <mergeCell ref="B111:E111"/>
    <mergeCell ref="B112:E112"/>
    <mergeCell ref="B115:D115"/>
    <mergeCell ref="B116:D116"/>
    <mergeCell ref="B117:D117"/>
    <mergeCell ref="B118:D118"/>
  </mergeCells>
  <hyperlinks>
    <hyperlink ref="B3" location="'N-03 Index DMAIC'!A1" display="← Back to Index"/>
    <hyperlink ref="E34" location="'H-01 Project Charter'!A1" display="H-01  Project Charter"/>
    <hyperlink ref="E35" location="'H-03 VOC and CTQ Tree'!A1" display="H-03  VOC and CTQ Tree"/>
    <hyperlink ref="E36" location="'E-06 Data Collection Plan'!A1" display="E-06  Data Collection Plan"/>
    <hyperlink ref="E37" location="'L-04 Process Mapping'!A1" display="L-04  Process Mapping"/>
    <hyperlink ref="G82" location="'E-49 I-MR Chart'!A1" display="E-49  I-MR Chart"/>
    <hyperlink ref="G83" location="'E-57 Process Capability'!A1" display="E-57  Process Capability"/>
    <hyperlink ref="G84" location="'E-50 Xbar-R Chart'!A1" display="E-50  Xbar-R Chart"/>
    <hyperlink ref="G85" location="'L-17 Poka-Yoke'!A1" display="L-17  Poka-Yoke"/>
    <hyperlink ref="G86" location="'E-57 Process Capability'!A1" display="E-57  Process Capability"/>
    <hyperlink ref="G87" location="'E-50 Xbar-R Chart'!A1" display="E-50  Xbar-R Chart"/>
    <hyperlink ref="G88" location="'H-06 Pareto Analysis'!A1" display="H-06  Pareto Analysis"/>
    <hyperlink ref="B122" location="'H-01 Project Charter'!A1" display="H-01  Project Charter"/>
    <hyperlink ref="C122" location="'H-03 VOC and CTQ Tree'!A1" display="H-03  VOC and CTQ Tree"/>
    <hyperlink ref="D122" location="'H-12 Cause Effect Matrix'!A1" display="H-12  Cause and Effect Matri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N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40"/>
    <col collapsed="false" customWidth="true" hidden="false" outlineLevel="0" max="5" min="5" style="1" width="22"/>
    <col collapsed="false" customWidth="true" hidden="false" outlineLevel="0" max="6" min="6" style="1" width="30"/>
    <col collapsed="false" customWidth="true" hidden="false" outlineLevel="0" max="7" min="7" style="1" width="16"/>
    <col collapsed="false" customWidth="true" hidden="false" outlineLevel="0" max="8" min="8" style="1" width="12"/>
    <col collapsed="false" customWidth="true" hidden="false" outlineLevel="0" max="9" min="9" style="1" width="18"/>
    <col collapsed="false" customWidth="true" hidden="false" outlineLevel="0" max="10" min="10" style="1" width="16"/>
    <col collapsed="false" customWidth="true" hidden="false" outlineLevel="0" max="12" min="11" style="1" width="14"/>
    <col collapsed="false" customWidth="true" hidden="false" outlineLevel="0" max="14" min="13" style="1" width="13"/>
  </cols>
  <sheetData>
    <row r="1" customFormat="false" ht="15" hidden="false" customHeight="true" outlineLevel="0" collapsed="false">
      <c r="A1" s="147" t="s">
        <v>0</v>
      </c>
    </row>
    <row r="2" customFormat="false" ht="22.5" hidden="false" customHeight="true" outlineLevel="0" collapsed="false">
      <c r="B2" s="148" t="s">
        <v>10263</v>
      </c>
      <c r="C2" s="148"/>
      <c r="D2" s="148"/>
      <c r="E2" s="148"/>
      <c r="F2" s="148"/>
      <c r="G2" s="148"/>
      <c r="H2" s="148"/>
      <c r="I2" s="148"/>
      <c r="J2" s="148"/>
      <c r="K2" s="195" t="s">
        <v>9949</v>
      </c>
    </row>
    <row r="3" customFormat="false" ht="42" hidden="false" customHeight="true" outlineLevel="0" collapsed="false">
      <c r="B3" s="150" t="s">
        <v>3</v>
      </c>
      <c r="D3" s="151" t="s">
        <v>10264</v>
      </c>
      <c r="E3" s="151"/>
      <c r="F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10265</v>
      </c>
      <c r="D6" s="106"/>
    </row>
    <row r="7" customFormat="false" ht="31.5" hidden="false" customHeight="true" outlineLevel="0" collapsed="false">
      <c r="B7" s="105" t="s">
        <v>1394</v>
      </c>
      <c r="C7" s="106" t="s">
        <v>10266</v>
      </c>
      <c r="D7" s="106"/>
    </row>
    <row r="8" customFormat="false" ht="31.5" hidden="false" customHeight="true" outlineLevel="0" collapsed="false">
      <c r="B8" s="105" t="s">
        <v>1396</v>
      </c>
      <c r="C8" s="106" t="s">
        <v>10267</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10268</v>
      </c>
      <c r="C11" s="106"/>
      <c r="D11" s="106"/>
      <c r="E11" s="106"/>
      <c r="F11" s="106"/>
    </row>
    <row r="12" customFormat="false" ht="10.5" hidden="false" customHeight="true" outlineLevel="0" collapsed="false">
      <c r="B12" s="106"/>
      <c r="C12" s="106"/>
      <c r="D12" s="106"/>
      <c r="E12" s="106"/>
      <c r="F12" s="106"/>
    </row>
    <row r="13" customFormat="false" ht="10.5" hidden="false" customHeight="true" outlineLevel="0" collapsed="false">
      <c r="B13" s="106"/>
      <c r="C13" s="106"/>
      <c r="D13" s="106"/>
      <c r="E13" s="106"/>
      <c r="F13" s="106"/>
    </row>
    <row r="14" customFormat="false" ht="10.5" hidden="false" customHeight="true" outlineLevel="0" collapsed="false">
      <c r="B14" s="106" t="s">
        <v>10269</v>
      </c>
      <c r="C14" s="106"/>
      <c r="D14" s="106"/>
      <c r="E14" s="106"/>
      <c r="F14" s="106"/>
    </row>
    <row r="15" customFormat="false" ht="10.5" hidden="false" customHeight="true" outlineLevel="0" collapsed="false">
      <c r="B15" s="106"/>
      <c r="C15" s="106"/>
      <c r="D15" s="106"/>
      <c r="E15" s="106"/>
      <c r="F15" s="106"/>
    </row>
    <row r="16" customFormat="false" ht="10.5" hidden="false" customHeight="true" outlineLevel="0" collapsed="false">
      <c r="B16" s="106"/>
      <c r="C16" s="106"/>
      <c r="D16" s="106"/>
      <c r="E16" s="106"/>
      <c r="F16" s="106"/>
    </row>
    <row r="17" customFormat="false" ht="11.25" hidden="false" customHeight="true" outlineLevel="0" collapsed="false">
      <c r="B17" s="106" t="s">
        <v>10270</v>
      </c>
      <c r="C17" s="106"/>
      <c r="D17" s="106"/>
      <c r="E17" s="106"/>
      <c r="F17" s="106"/>
    </row>
    <row r="18" customFormat="false" ht="11.25" hidden="false" customHeight="true" outlineLevel="0" collapsed="false">
      <c r="B18" s="106"/>
      <c r="C18" s="106"/>
      <c r="D18" s="106"/>
      <c r="E18" s="106"/>
      <c r="F18" s="106"/>
    </row>
    <row r="19" customFormat="false" ht="11.25" hidden="false" customHeight="true" outlineLevel="0" collapsed="false">
      <c r="B19" s="106"/>
      <c r="C19" s="106"/>
      <c r="D19" s="106"/>
      <c r="E19" s="106"/>
      <c r="F19" s="106"/>
    </row>
    <row r="20" customFormat="false" ht="11.25" hidden="false" customHeight="true" outlineLevel="0" collapsed="false">
      <c r="B20" s="106"/>
      <c r="C20" s="106"/>
      <c r="D20" s="106"/>
      <c r="E20" s="106"/>
      <c r="F20" s="106"/>
    </row>
    <row r="21" customFormat="false" ht="10.5" hidden="false" customHeight="true" outlineLevel="0" collapsed="false">
      <c r="B21" s="106" t="s">
        <v>10271</v>
      </c>
      <c r="C21" s="106"/>
      <c r="D21" s="106"/>
      <c r="E21" s="106"/>
      <c r="F21" s="106"/>
    </row>
    <row r="22" customFormat="false" ht="10.5" hidden="false" customHeight="true" outlineLevel="0" collapsed="false">
      <c r="B22" s="106"/>
      <c r="C22" s="106"/>
      <c r="D22" s="106"/>
      <c r="E22" s="106"/>
      <c r="F22" s="106"/>
    </row>
    <row r="23" customFormat="false" ht="10.5" hidden="false" customHeight="true" outlineLevel="0" collapsed="false">
      <c r="B23" s="106"/>
      <c r="C23" s="106"/>
      <c r="D23" s="106"/>
      <c r="E23" s="106"/>
      <c r="F23" s="106"/>
    </row>
    <row r="24" customFormat="false" ht="15.75" hidden="false" customHeight="true" outlineLevel="0" collapsed="false">
      <c r="B24" s="106" t="s">
        <v>10272</v>
      </c>
      <c r="C24" s="106"/>
      <c r="D24" s="106"/>
      <c r="E24" s="106"/>
      <c r="F24" s="106"/>
    </row>
    <row r="25" customFormat="false" ht="15.75" hidden="false" customHeight="true" outlineLevel="0" collapsed="false">
      <c r="B25" s="106"/>
      <c r="C25" s="106"/>
      <c r="D25" s="106"/>
      <c r="E25" s="106"/>
      <c r="F25" s="106"/>
    </row>
    <row r="27" customFormat="false" ht="15.75" hidden="false" customHeight="true" outlineLevel="0" collapsed="false">
      <c r="B27" s="103" t="s">
        <v>1406</v>
      </c>
      <c r="C27" s="8"/>
      <c r="D27" s="8"/>
      <c r="E27" s="8"/>
      <c r="F27" s="8"/>
      <c r="G27" s="8"/>
      <c r="H27" s="8"/>
      <c r="I27" s="8"/>
      <c r="J27" s="8"/>
      <c r="K27" s="8"/>
    </row>
    <row r="28" customFormat="false" ht="17.25" hidden="false" customHeight="true" outlineLevel="0" collapsed="false">
      <c r="B28" s="107" t="s">
        <v>1407</v>
      </c>
      <c r="C28" s="107"/>
      <c r="E28" s="107" t="s">
        <v>1408</v>
      </c>
      <c r="F28" s="107"/>
    </row>
    <row r="29" customFormat="false" ht="31.5" hidden="false" customHeight="true" outlineLevel="0" collapsed="false">
      <c r="B29" s="106" t="s">
        <v>10273</v>
      </c>
      <c r="C29" s="106"/>
      <c r="E29" s="106" t="s">
        <v>10274</v>
      </c>
      <c r="F29" s="106"/>
    </row>
    <row r="30" customFormat="false" ht="31.5" hidden="false" customHeight="true" outlineLevel="0" collapsed="false">
      <c r="B30" s="106" t="s">
        <v>10275</v>
      </c>
      <c r="C30" s="106"/>
      <c r="E30" s="106" t="s">
        <v>10276</v>
      </c>
      <c r="F30" s="106"/>
    </row>
    <row r="31" customFormat="false" ht="31.5" hidden="false" customHeight="true" outlineLevel="0" collapsed="false">
      <c r="B31" s="106" t="s">
        <v>10277</v>
      </c>
      <c r="C31" s="106"/>
      <c r="E31" s="106" t="s">
        <v>10278</v>
      </c>
      <c r="F31" s="106"/>
    </row>
    <row r="32" customFormat="false" ht="17.25" hidden="false" customHeight="true" outlineLevel="0" collapsed="false">
      <c r="B32" s="106" t="s">
        <v>10279</v>
      </c>
      <c r="C32" s="106"/>
      <c r="D32" s="106"/>
      <c r="E32" s="106"/>
      <c r="F32" s="106"/>
    </row>
    <row r="34" customFormat="false" ht="16.5" hidden="false" customHeight="true" outlineLevel="0" collapsed="false">
      <c r="B34" s="152" t="s">
        <v>6621</v>
      </c>
      <c r="C34" s="152" t="s">
        <v>1417</v>
      </c>
      <c r="D34" s="152" t="s">
        <v>1418</v>
      </c>
      <c r="E34" s="152" t="s">
        <v>1419</v>
      </c>
    </row>
    <row r="35" customFormat="false" ht="44.25" hidden="false" customHeight="true" outlineLevel="0" collapsed="false">
      <c r="B35" s="15" t="s">
        <v>10280</v>
      </c>
      <c r="C35" s="15" t="s">
        <v>10281</v>
      </c>
      <c r="D35" s="15" t="s">
        <v>10282</v>
      </c>
      <c r="E35" s="153" t="s">
        <v>10283</v>
      </c>
    </row>
    <row r="36" customFormat="false" ht="30.75" hidden="false" customHeight="true" outlineLevel="0" collapsed="false">
      <c r="B36" s="15" t="s">
        <v>10284</v>
      </c>
      <c r="C36" s="15" t="s">
        <v>10285</v>
      </c>
      <c r="D36" s="15" t="s">
        <v>10286</v>
      </c>
      <c r="E36" s="153" t="s">
        <v>9973</v>
      </c>
    </row>
    <row r="37" customFormat="false" ht="44.25" hidden="false" customHeight="true" outlineLevel="0" collapsed="false">
      <c r="B37" s="15" t="s">
        <v>10287</v>
      </c>
      <c r="C37" s="15" t="s">
        <v>10288</v>
      </c>
      <c r="D37" s="15" t="s">
        <v>10289</v>
      </c>
      <c r="E37" s="153" t="s">
        <v>10216</v>
      </c>
    </row>
    <row r="38" customFormat="false" ht="30.75" hidden="false" customHeight="true" outlineLevel="0" collapsed="false">
      <c r="B38" s="15" t="s">
        <v>10290</v>
      </c>
      <c r="C38" s="15" t="s">
        <v>10291</v>
      </c>
      <c r="D38" s="15" t="s">
        <v>10292</v>
      </c>
      <c r="E38" s="153" t="s">
        <v>1023</v>
      </c>
    </row>
    <row r="40" customFormat="false" ht="15.75" hidden="false" customHeight="true" outlineLevel="0" collapsed="false">
      <c r="B40" s="103" t="s">
        <v>1429</v>
      </c>
      <c r="C40" s="8"/>
      <c r="D40" s="8"/>
      <c r="E40" s="8"/>
      <c r="F40" s="8"/>
      <c r="G40" s="8"/>
      <c r="H40" s="8"/>
      <c r="I40" s="8"/>
      <c r="J40" s="8"/>
      <c r="K40" s="8"/>
    </row>
    <row r="41" customFormat="false" ht="16.5" hidden="false" customHeight="true" outlineLevel="0" collapsed="false">
      <c r="B41" s="122" t="s">
        <v>10293</v>
      </c>
    </row>
    <row r="42" customFormat="false" ht="17.25" hidden="false" customHeight="true" outlineLevel="0" collapsed="false">
      <c r="B42" s="106" t="s">
        <v>10294</v>
      </c>
      <c r="C42" s="106"/>
      <c r="D42" s="106"/>
      <c r="E42" s="106"/>
      <c r="F42" s="106"/>
    </row>
    <row r="43" customFormat="false" ht="17.25" hidden="false" customHeight="true" outlineLevel="0" collapsed="false">
      <c r="B43" s="106" t="s">
        <v>10295</v>
      </c>
      <c r="C43" s="106"/>
      <c r="D43" s="106"/>
      <c r="E43" s="106"/>
      <c r="F43" s="106"/>
    </row>
    <row r="44" customFormat="false" ht="8.25" hidden="false" customHeight="true" outlineLevel="0" collapsed="false">
      <c r="B44" s="106" t="s">
        <v>10296</v>
      </c>
      <c r="C44" s="106"/>
      <c r="D44" s="106"/>
      <c r="E44" s="106"/>
      <c r="F44" s="106"/>
    </row>
    <row r="45" customFormat="false" ht="8.25" hidden="false" customHeight="true" outlineLevel="0" collapsed="false">
      <c r="B45" s="106"/>
      <c r="C45" s="106"/>
      <c r="D45" s="106"/>
      <c r="E45" s="106"/>
      <c r="F45" s="106"/>
    </row>
    <row r="46" customFormat="false" ht="15" hidden="false" customHeight="true" outlineLevel="0" collapsed="false">
      <c r="B46" s="122"/>
    </row>
    <row r="47" customFormat="false" ht="17.25" hidden="false" customHeight="true" outlineLevel="0" collapsed="false">
      <c r="B47" s="106" t="s">
        <v>10297</v>
      </c>
      <c r="C47" s="106"/>
      <c r="D47" s="106"/>
      <c r="E47" s="106"/>
      <c r="F47" s="106"/>
    </row>
    <row r="48" customFormat="false" ht="17.25" hidden="false" customHeight="true" outlineLevel="0" collapsed="false">
      <c r="B48" s="106" t="s">
        <v>10298</v>
      </c>
      <c r="C48" s="106"/>
      <c r="D48" s="106"/>
      <c r="E48" s="106"/>
      <c r="F48" s="106"/>
    </row>
    <row r="49" customFormat="false" ht="15" hidden="false" customHeight="true" outlineLevel="0" collapsed="false">
      <c r="B49" s="122"/>
    </row>
    <row r="50" customFormat="false" ht="17.25" hidden="false" customHeight="true" outlineLevel="0" collapsed="false">
      <c r="B50" s="106" t="s">
        <v>10299</v>
      </c>
      <c r="C50" s="106"/>
      <c r="D50" s="106"/>
      <c r="E50" s="106"/>
      <c r="F50" s="106"/>
    </row>
    <row r="51" customFormat="false" ht="17.25" hidden="false" customHeight="true" outlineLevel="0" collapsed="false">
      <c r="B51" s="106" t="s">
        <v>10300</v>
      </c>
      <c r="C51" s="106"/>
      <c r="D51" s="106"/>
      <c r="E51" s="106"/>
      <c r="F51" s="106"/>
    </row>
    <row r="53" customFormat="false" ht="15.75" hidden="false" customHeight="true" outlineLevel="0" collapsed="false">
      <c r="B53" s="103" t="s">
        <v>1437</v>
      </c>
      <c r="C53" s="8"/>
      <c r="D53" s="8"/>
      <c r="E53" s="8"/>
      <c r="F53" s="8"/>
      <c r="G53" s="8"/>
      <c r="H53" s="8"/>
      <c r="I53" s="8"/>
      <c r="J53" s="8"/>
      <c r="K53" s="8"/>
    </row>
    <row r="54" customFormat="false" ht="16.5" hidden="false" customHeight="true" outlineLevel="0" collapsed="false">
      <c r="B54" s="152" t="s">
        <v>1438</v>
      </c>
      <c r="C54" s="152" t="s">
        <v>1439</v>
      </c>
      <c r="D54" s="152" t="s">
        <v>1440</v>
      </c>
    </row>
    <row r="55" customFormat="false" ht="30.75" hidden="false" customHeight="true" outlineLevel="0" collapsed="false">
      <c r="B55" s="15" t="s">
        <v>6757</v>
      </c>
      <c r="C55" s="15" t="s">
        <v>10301</v>
      </c>
      <c r="D55" s="15" t="s">
        <v>10302</v>
      </c>
    </row>
    <row r="56" customFormat="false" ht="30.75" hidden="false" customHeight="true" outlineLevel="0" collapsed="false">
      <c r="B56" s="15" t="s">
        <v>10303</v>
      </c>
      <c r="C56" s="15" t="s">
        <v>10304</v>
      </c>
      <c r="D56" s="15" t="s">
        <v>10305</v>
      </c>
    </row>
    <row r="57" customFormat="false" ht="16.5" hidden="false" customHeight="true" outlineLevel="0" collapsed="false">
      <c r="B57" s="15" t="s">
        <v>7487</v>
      </c>
      <c r="C57" s="15" t="s">
        <v>10306</v>
      </c>
      <c r="D57" s="15" t="s">
        <v>10307</v>
      </c>
    </row>
    <row r="58" customFormat="false" ht="30.75" hidden="false" customHeight="true" outlineLevel="0" collapsed="false">
      <c r="B58" s="15" t="s">
        <v>10308</v>
      </c>
      <c r="C58" s="15" t="s">
        <v>10309</v>
      </c>
      <c r="D58" s="15" t="s">
        <v>10310</v>
      </c>
    </row>
    <row r="60" customFormat="false" ht="15.75" hidden="false" customHeight="true" outlineLevel="0" collapsed="false">
      <c r="B60" s="103" t="s">
        <v>1454</v>
      </c>
      <c r="C60" s="8"/>
      <c r="D60" s="8"/>
      <c r="E60" s="8"/>
      <c r="F60" s="8"/>
      <c r="G60" s="8"/>
      <c r="H60" s="8"/>
      <c r="I60" s="8"/>
      <c r="J60" s="8"/>
      <c r="K60" s="8"/>
    </row>
    <row r="61" customFormat="false" ht="15.75" hidden="false" customHeight="true" outlineLevel="0" collapsed="false">
      <c r="B61" s="106" t="s">
        <v>10311</v>
      </c>
      <c r="C61" s="106"/>
      <c r="D61" s="106"/>
      <c r="E61" s="106"/>
      <c r="F61" s="106"/>
    </row>
    <row r="62" customFormat="false" ht="15.75" hidden="false" customHeight="true" outlineLevel="0" collapsed="false">
      <c r="B62" s="106"/>
      <c r="C62" s="106"/>
      <c r="D62" s="106"/>
      <c r="E62" s="106"/>
      <c r="F62" s="106"/>
    </row>
    <row r="63" customFormat="false" ht="15" hidden="false" customHeight="true" outlineLevel="0" collapsed="false">
      <c r="B63" s="112" t="s">
        <v>85</v>
      </c>
      <c r="C63" s="154" t="s">
        <v>86</v>
      </c>
    </row>
    <row r="65" customFormat="false" ht="17.25" hidden="false" customHeight="true" outlineLevel="0" collapsed="false">
      <c r="B65" s="107" t="s">
        <v>10312</v>
      </c>
      <c r="C65" s="107"/>
      <c r="D65" s="107"/>
      <c r="E65" s="107"/>
      <c r="F65" s="107"/>
    </row>
    <row r="66" customFormat="false" ht="17.25" hidden="false" customHeight="true" outlineLevel="0" collapsed="false">
      <c r="B66" s="152" t="s">
        <v>10313</v>
      </c>
      <c r="C66" s="152" t="s">
        <v>10314</v>
      </c>
      <c r="D66" s="152" t="s">
        <v>10315</v>
      </c>
      <c r="E66" s="152" t="s">
        <v>10316</v>
      </c>
      <c r="F66" s="152" t="s">
        <v>9754</v>
      </c>
      <c r="G66" s="152" t="s">
        <v>6655</v>
      </c>
      <c r="H66" s="152"/>
      <c r="I66" s="152"/>
    </row>
    <row r="67" customFormat="false" ht="17.25" hidden="false" customHeight="true" outlineLevel="0" collapsed="false">
      <c r="B67" s="177" t="s">
        <v>10317</v>
      </c>
      <c r="C67" s="177" t="s">
        <v>10318</v>
      </c>
      <c r="D67" s="155" t="n">
        <v>37</v>
      </c>
      <c r="E67" s="177" t="s">
        <v>10319</v>
      </c>
      <c r="F67" s="155" t="n">
        <v>5</v>
      </c>
      <c r="G67" s="15" t="s">
        <v>10320</v>
      </c>
      <c r="H67" s="15"/>
      <c r="I67" s="15"/>
    </row>
    <row r="68" customFormat="false" ht="17.25" hidden="false" customHeight="true" outlineLevel="0" collapsed="false">
      <c r="B68" s="177" t="s">
        <v>10321</v>
      </c>
      <c r="C68" s="177" t="s">
        <v>10318</v>
      </c>
      <c r="D68" s="155" t="n">
        <v>12</v>
      </c>
      <c r="E68" s="177" t="s">
        <v>10319</v>
      </c>
      <c r="F68" s="155" t="n">
        <v>5</v>
      </c>
      <c r="G68" s="15" t="s">
        <v>10322</v>
      </c>
      <c r="H68" s="15"/>
      <c r="I68" s="15"/>
    </row>
    <row r="69" customFormat="false" ht="17.25" hidden="false" customHeight="true" outlineLevel="0" collapsed="false">
      <c r="B69" s="177" t="s">
        <v>10323</v>
      </c>
      <c r="C69" s="177" t="s">
        <v>10318</v>
      </c>
      <c r="D69" s="155" t="n">
        <v>9</v>
      </c>
      <c r="E69" s="177" t="s">
        <v>10324</v>
      </c>
      <c r="F69" s="155" t="n">
        <v>4</v>
      </c>
      <c r="G69" s="15" t="s">
        <v>10325</v>
      </c>
      <c r="H69" s="15"/>
      <c r="I69" s="15"/>
    </row>
    <row r="70" customFormat="false" ht="17.25" hidden="false" customHeight="true" outlineLevel="0" collapsed="false">
      <c r="B70" s="177" t="s">
        <v>10326</v>
      </c>
      <c r="C70" s="177" t="s">
        <v>10327</v>
      </c>
      <c r="D70" s="155" t="n">
        <v>6</v>
      </c>
      <c r="E70" s="177" t="s">
        <v>10328</v>
      </c>
      <c r="F70" s="155" t="n">
        <v>3</v>
      </c>
      <c r="G70" s="15" t="s">
        <v>10329</v>
      </c>
      <c r="H70" s="15"/>
      <c r="I70" s="15"/>
    </row>
    <row r="71" customFormat="false" ht="31.5" hidden="false" customHeight="true" outlineLevel="0" collapsed="false">
      <c r="B71" s="177" t="s">
        <v>10330</v>
      </c>
      <c r="C71" s="177" t="s">
        <v>10327</v>
      </c>
      <c r="D71" s="155" t="n">
        <v>84</v>
      </c>
      <c r="E71" s="177" t="s">
        <v>10331</v>
      </c>
      <c r="F71" s="155" t="n">
        <v>4</v>
      </c>
      <c r="G71" s="15" t="s">
        <v>10332</v>
      </c>
      <c r="H71" s="15"/>
      <c r="I71" s="15"/>
    </row>
    <row r="72" customFormat="false" ht="31.5" hidden="false" customHeight="true" outlineLevel="0" collapsed="false">
      <c r="B72" s="177" t="s">
        <v>10333</v>
      </c>
      <c r="C72" s="177" t="s">
        <v>10327</v>
      </c>
      <c r="D72" s="155" t="n">
        <v>15</v>
      </c>
      <c r="E72" s="177" t="s">
        <v>1935</v>
      </c>
      <c r="F72" s="155" t="n">
        <v>3</v>
      </c>
      <c r="G72" s="15" t="s">
        <v>10334</v>
      </c>
      <c r="H72" s="15"/>
      <c r="I72" s="15"/>
    </row>
    <row r="74" customFormat="false" ht="17.25" hidden="false" customHeight="true" outlineLevel="0" collapsed="false">
      <c r="B74" s="107" t="s">
        <v>10335</v>
      </c>
      <c r="C74" s="107"/>
      <c r="D74" s="107"/>
      <c r="E74" s="107"/>
      <c r="F74" s="107"/>
    </row>
    <row r="75" customFormat="false" ht="30.75" hidden="false" customHeight="true" outlineLevel="0" collapsed="false">
      <c r="B75" s="152" t="s">
        <v>10336</v>
      </c>
      <c r="C75" s="152" t="s">
        <v>10337</v>
      </c>
      <c r="D75" s="152" t="s">
        <v>10338</v>
      </c>
      <c r="E75" s="152" t="s">
        <v>10339</v>
      </c>
      <c r="F75" s="152" t="s">
        <v>6575</v>
      </c>
      <c r="G75" s="152" t="s">
        <v>8819</v>
      </c>
      <c r="H75" s="152" t="s">
        <v>10340</v>
      </c>
      <c r="I75" s="152" t="s">
        <v>10341</v>
      </c>
      <c r="J75" s="152" t="s">
        <v>10023</v>
      </c>
      <c r="K75" s="152" t="s">
        <v>10342</v>
      </c>
    </row>
    <row r="76" customFormat="false" ht="30.75" hidden="false" customHeight="true" outlineLevel="0" collapsed="false">
      <c r="B76" s="177" t="s">
        <v>10343</v>
      </c>
      <c r="C76" s="177" t="s">
        <v>10344</v>
      </c>
      <c r="D76" s="177" t="s">
        <v>10345</v>
      </c>
      <c r="E76" s="177" t="s">
        <v>10346</v>
      </c>
      <c r="F76" s="177" t="s">
        <v>10347</v>
      </c>
      <c r="G76" s="156" t="n">
        <v>0.8</v>
      </c>
      <c r="H76" s="177" t="s">
        <v>10348</v>
      </c>
      <c r="I76" s="181" t="n">
        <v>1.82</v>
      </c>
      <c r="J76" s="176" t="n">
        <f aca="false">I76-G76</f>
        <v>1.02</v>
      </c>
      <c r="K76" s="160" t="n">
        <f aca="false">IFERROR(ABS(I76-G76)/IF(G76=0,1,ABS(G76)),0)</f>
        <v>1.275</v>
      </c>
    </row>
    <row r="77" customFormat="false" ht="16.5" hidden="false" customHeight="true" outlineLevel="0" collapsed="false">
      <c r="B77" s="177" t="s">
        <v>10349</v>
      </c>
      <c r="C77" s="177" t="s">
        <v>10350</v>
      </c>
      <c r="D77" s="177" t="s">
        <v>10351</v>
      </c>
      <c r="E77" s="177" t="s">
        <v>10352</v>
      </c>
      <c r="F77" s="177" t="s">
        <v>10353</v>
      </c>
      <c r="G77" s="156" t="n">
        <v>1.5</v>
      </c>
      <c r="H77" s="177" t="s">
        <v>10354</v>
      </c>
      <c r="I77" s="181" t="n">
        <v>2.1</v>
      </c>
      <c r="J77" s="176" t="n">
        <f aca="false">I77-G77</f>
        <v>0.6</v>
      </c>
      <c r="K77" s="160" t="n">
        <f aca="false">IFERROR(ABS(I77-G77)/IF(G77=0,1,ABS(G77)),0)</f>
        <v>0.4</v>
      </c>
    </row>
    <row r="78" customFormat="false" ht="30.75" hidden="false" customHeight="true" outlineLevel="0" collapsed="false">
      <c r="B78" s="177" t="s">
        <v>10355</v>
      </c>
      <c r="C78" s="177" t="s">
        <v>10356</v>
      </c>
      <c r="D78" s="177" t="s">
        <v>10357</v>
      </c>
      <c r="E78" s="177" t="s">
        <v>10223</v>
      </c>
      <c r="F78" s="177" t="s">
        <v>10026</v>
      </c>
      <c r="G78" s="156" t="n">
        <v>500</v>
      </c>
      <c r="H78" s="177" t="s">
        <v>10358</v>
      </c>
      <c r="I78" s="181" t="n">
        <v>503.1</v>
      </c>
      <c r="J78" s="176" t="n">
        <f aca="false">I78-G78</f>
        <v>3.10000000000002</v>
      </c>
      <c r="K78" s="160" t="n">
        <f aca="false">IFERROR(ABS(I78-G78)/IF(G78=0,1,ABS(G78)),0)</f>
        <v>0.00620000000000005</v>
      </c>
    </row>
    <row r="79" customFormat="false" ht="30.75" hidden="false" customHeight="true" outlineLevel="0" collapsed="false">
      <c r="B79" s="177" t="s">
        <v>10359</v>
      </c>
      <c r="C79" s="177" t="s">
        <v>10360</v>
      </c>
      <c r="D79" s="177" t="s">
        <v>10361</v>
      </c>
      <c r="E79" s="177" t="s">
        <v>10362</v>
      </c>
      <c r="F79" s="177" t="s">
        <v>10363</v>
      </c>
      <c r="G79" s="156" t="n">
        <v>1</v>
      </c>
      <c r="H79" s="177" t="s">
        <v>10364</v>
      </c>
      <c r="I79" s="181" t="n">
        <v>0.972</v>
      </c>
      <c r="J79" s="176" t="n">
        <f aca="false">I79-G79</f>
        <v>-0.028</v>
      </c>
      <c r="K79" s="160" t="n">
        <f aca="false">IFERROR(ABS(I79-G79)/IF(G79=0,1,ABS(G79)),0)</f>
        <v>0.028</v>
      </c>
    </row>
    <row r="80" customFormat="false" ht="16.5" hidden="false" customHeight="true" outlineLevel="0" collapsed="false">
      <c r="B80" s="177" t="s">
        <v>10365</v>
      </c>
      <c r="C80" s="177" t="s">
        <v>10366</v>
      </c>
      <c r="D80" s="177" t="s">
        <v>10367</v>
      </c>
      <c r="E80" s="177" t="s">
        <v>10368</v>
      </c>
      <c r="F80" s="177" t="s">
        <v>10369</v>
      </c>
      <c r="G80" s="156" t="n">
        <v>1</v>
      </c>
      <c r="H80" s="177" t="s">
        <v>10370</v>
      </c>
      <c r="I80" s="181" t="n">
        <v>0.943</v>
      </c>
      <c r="J80" s="176" t="n">
        <f aca="false">I80-G80</f>
        <v>-0.0570000000000001</v>
      </c>
      <c r="K80" s="160" t="n">
        <f aca="false">IFERROR(ABS(I80-G80)/IF(G80=0,1,ABS(G80)),0)</f>
        <v>0.0570000000000001</v>
      </c>
    </row>
    <row r="82" customFormat="false" ht="16.5" hidden="false" customHeight="true" outlineLevel="0" collapsed="false">
      <c r="B82" s="152" t="s">
        <v>6689</v>
      </c>
      <c r="C82" s="152" t="s">
        <v>6654</v>
      </c>
      <c r="D82" s="152" t="s">
        <v>88</v>
      </c>
    </row>
    <row r="83" customFormat="false" ht="16.5" hidden="false" customHeight="true" outlineLevel="0" collapsed="false">
      <c r="B83" s="15" t="s">
        <v>10371</v>
      </c>
      <c r="C83" s="161" t="n">
        <f aca="false">SUM(D67:D72)</f>
        <v>163</v>
      </c>
      <c r="D83" s="15" t="s">
        <v>10372</v>
      </c>
    </row>
    <row r="84" customFormat="false" ht="30.75" hidden="false" customHeight="true" outlineLevel="0" collapsed="false">
      <c r="B84" s="15" t="s">
        <v>10373</v>
      </c>
      <c r="C84" s="184" t="n">
        <f aca="false">IFERROR(SUMIF(C67:C72,"Proactive",D67:D72)/SUM(D67:D72),0)</f>
        <v>0.644171779141104</v>
      </c>
      <c r="D84" s="15" t="s">
        <v>10374</v>
      </c>
    </row>
    <row r="85" customFormat="false" ht="30.75" hidden="false" customHeight="true" outlineLevel="0" collapsed="false">
      <c r="B85" s="15" t="s">
        <v>10375</v>
      </c>
      <c r="C85" s="161" t="n">
        <f aca="false">COUNTA(E76:E80)</f>
        <v>5</v>
      </c>
      <c r="D85" s="15" t="s">
        <v>10376</v>
      </c>
    </row>
    <row r="86" customFormat="false" ht="16.5" hidden="false" customHeight="true" outlineLevel="0" collapsed="false">
      <c r="B86" s="15" t="s">
        <v>10377</v>
      </c>
      <c r="C86" s="161" t="n">
        <f aca="false">COUNTIF(K76:K80,"&gt;0.02")</f>
        <v>4</v>
      </c>
      <c r="D86" s="15" t="s">
        <v>10378</v>
      </c>
    </row>
    <row r="87" customFormat="false" ht="30.75" hidden="false" customHeight="true" outlineLevel="0" collapsed="false">
      <c r="B87" s="15" t="s">
        <v>10379</v>
      </c>
      <c r="C87" s="160" t="n">
        <f aca="false">MAX(K76:K80)</f>
        <v>1.275</v>
      </c>
      <c r="D87" s="15" t="s">
        <v>10380</v>
      </c>
    </row>
    <row r="88" customFormat="false" ht="16.5" hidden="false" customHeight="true" outlineLevel="0" collapsed="false">
      <c r="B88" s="15" t="s">
        <v>10381</v>
      </c>
      <c r="C88" s="167" t="str">
        <f aca="false">INDEX(E76:E80,MATCH(MAX(K76:K80),K76:K80,0))</f>
        <v>Label placement deviation</v>
      </c>
      <c r="D88" s="15" t="s">
        <v>10382</v>
      </c>
    </row>
    <row r="90" customFormat="false" ht="15.75" hidden="false" customHeight="true" outlineLevel="0" collapsed="false">
      <c r="B90" s="103" t="s">
        <v>1493</v>
      </c>
      <c r="C90" s="8"/>
      <c r="D90" s="8"/>
      <c r="E90" s="8"/>
      <c r="F90" s="8"/>
      <c r="G90" s="8"/>
      <c r="H90" s="8"/>
      <c r="I90" s="8"/>
      <c r="J90" s="8"/>
      <c r="K90" s="8"/>
    </row>
    <row r="91" customFormat="false" ht="33.75" hidden="false" customHeight="true" outlineLevel="0" collapsed="false">
      <c r="B91" s="105" t="s">
        <v>1494</v>
      </c>
      <c r="C91" s="168" t="str">
        <f aca="false">"Five CTQs derived from "&amp;TEXT(C83,"0")&amp;" voice items, "&amp;TEXT(C84,"0%")&amp;" of them from proactive sources. The largest relative gap is "&amp;INDEX(E76:E80,MATCH(MAX(K76:K80),K76:K80,0))&amp;" at "&amp;TEXT(MAX(K76:K80),"0.0%")&amp;" from target. "&amp;IF(C84&lt;0.5,"Fewer than half the voice items come from proactive sources, so this CTQ set reflects the customers who complain rather than the customers you have. Add a structured survey or interviews before fixing the priorities.","The VOC base is balanced between reactive and proactive sources.")</f>
        <v>Five CTQs derived from 163 voice items, 64% of them from proactive sources. The largest relative gap is Label placement deviation at 127.5% from target. The VOC base is balanced between reactive and proactive sources.</v>
      </c>
      <c r="D91" s="168"/>
      <c r="E91" s="168"/>
      <c r="F91" s="168"/>
    </row>
    <row r="93" customFormat="false" ht="16.5" hidden="false" customHeight="true" outlineLevel="0" collapsed="false">
      <c r="B93" s="152" t="s">
        <v>1495</v>
      </c>
      <c r="C93" s="152" t="s">
        <v>1496</v>
      </c>
      <c r="D93" s="152" t="s">
        <v>1497</v>
      </c>
    </row>
    <row r="94" customFormat="false" ht="44.25" hidden="false" customHeight="true" outlineLevel="0" collapsed="false">
      <c r="B94" s="15" t="s">
        <v>10373</v>
      </c>
      <c r="C94" s="15" t="s">
        <v>10087</v>
      </c>
      <c r="D94" s="15" t="s">
        <v>10383</v>
      </c>
    </row>
    <row r="95" customFormat="false" ht="30.75" hidden="false" customHeight="true" outlineLevel="0" collapsed="false">
      <c r="B95" s="15" t="s">
        <v>10384</v>
      </c>
      <c r="C95" s="15" t="s">
        <v>10385</v>
      </c>
      <c r="D95" s="15" t="s">
        <v>10386</v>
      </c>
    </row>
    <row r="96" customFormat="false" ht="30.75" hidden="false" customHeight="true" outlineLevel="0" collapsed="false">
      <c r="B96" s="15" t="s">
        <v>10387</v>
      </c>
      <c r="C96" s="15" t="s">
        <v>10388</v>
      </c>
      <c r="D96" s="15" t="s">
        <v>10389</v>
      </c>
    </row>
    <row r="97" customFormat="false" ht="30.75" hidden="false" customHeight="true" outlineLevel="0" collapsed="false">
      <c r="B97" s="15" t="s">
        <v>10342</v>
      </c>
      <c r="C97" s="15" t="s">
        <v>10390</v>
      </c>
      <c r="D97" s="15" t="s">
        <v>10391</v>
      </c>
    </row>
    <row r="99" customFormat="false" ht="15" hidden="false" customHeight="true" outlineLevel="0" collapsed="false">
      <c r="B99" s="105" t="s">
        <v>1507</v>
      </c>
    </row>
    <row r="100" customFormat="false" ht="17.25" hidden="false" customHeight="true" outlineLevel="0" collapsed="false">
      <c r="B100" s="106" t="s">
        <v>10392</v>
      </c>
      <c r="C100" s="106"/>
      <c r="D100" s="106"/>
      <c r="E100" s="106"/>
      <c r="F100" s="106"/>
    </row>
    <row r="101" customFormat="false" ht="17.25" hidden="false" customHeight="true" outlineLevel="0" collapsed="false">
      <c r="B101" s="106" t="s">
        <v>10393</v>
      </c>
      <c r="C101" s="106"/>
      <c r="D101" s="106"/>
      <c r="E101" s="106"/>
      <c r="F101" s="106"/>
    </row>
    <row r="102" customFormat="false" ht="17.25" hidden="false" customHeight="true" outlineLevel="0" collapsed="false">
      <c r="B102" s="106" t="s">
        <v>10394</v>
      </c>
      <c r="C102" s="106"/>
      <c r="D102" s="106"/>
      <c r="E102" s="106"/>
      <c r="F102" s="106"/>
    </row>
    <row r="103" customFormat="false" ht="17.25" hidden="false" customHeight="true" outlineLevel="0" collapsed="false">
      <c r="B103" s="106" t="s">
        <v>10395</v>
      </c>
      <c r="C103" s="106"/>
      <c r="D103" s="106"/>
      <c r="E103" s="106"/>
      <c r="F103" s="106"/>
    </row>
    <row r="104" customFormat="false" ht="17.25" hidden="false" customHeight="true" outlineLevel="0" collapsed="false">
      <c r="B104" s="106" t="s">
        <v>10396</v>
      </c>
      <c r="C104" s="106"/>
      <c r="D104" s="106"/>
      <c r="E104" s="106"/>
      <c r="F104" s="106"/>
    </row>
    <row r="106" customFormat="false" ht="15.75" hidden="false" customHeight="true" outlineLevel="0" collapsed="false">
      <c r="B106" s="103" t="s">
        <v>1513</v>
      </c>
      <c r="C106" s="8"/>
      <c r="D106" s="8"/>
      <c r="E106" s="8"/>
      <c r="F106" s="8"/>
      <c r="G106" s="8"/>
      <c r="H106" s="8"/>
      <c r="I106" s="8"/>
      <c r="J106" s="8"/>
      <c r="K106" s="8"/>
    </row>
    <row r="107" customFormat="false" ht="17.25" hidden="false" customHeight="true" outlineLevel="0" collapsed="false">
      <c r="B107" s="106" t="s">
        <v>6712</v>
      </c>
      <c r="C107" s="106"/>
      <c r="D107" s="106"/>
      <c r="E107" s="106"/>
      <c r="N107" s="169" t="s">
        <v>1515</v>
      </c>
    </row>
    <row r="108" customFormat="false" ht="44.25" hidden="false" customHeight="true" outlineLevel="0" collapsed="false">
      <c r="B108" s="106" t="s">
        <v>10397</v>
      </c>
      <c r="C108" s="106"/>
      <c r="D108" s="106"/>
      <c r="E108" s="106"/>
      <c r="N108" s="120" t="s">
        <v>10398</v>
      </c>
    </row>
    <row r="109" customFormat="false" ht="44.25" hidden="false" customHeight="true" outlineLevel="0" collapsed="false">
      <c r="B109" s="106" t="s">
        <v>10399</v>
      </c>
      <c r="C109" s="106"/>
      <c r="D109" s="106"/>
      <c r="E109" s="106"/>
      <c r="N109" s="120" t="s">
        <v>10400</v>
      </c>
    </row>
    <row r="110" customFormat="false" ht="44.25" hidden="false" customHeight="true" outlineLevel="0" collapsed="false">
      <c r="B110" s="106" t="s">
        <v>10401</v>
      </c>
      <c r="C110" s="106"/>
      <c r="D110" s="106"/>
      <c r="E110" s="106"/>
      <c r="N110" s="120" t="s">
        <v>10402</v>
      </c>
    </row>
    <row r="112" customFormat="false" ht="15.75" hidden="false" customHeight="true" outlineLevel="0" collapsed="false">
      <c r="B112" s="103" t="s">
        <v>1522</v>
      </c>
      <c r="C112" s="8"/>
      <c r="D112" s="8"/>
      <c r="E112" s="8"/>
      <c r="F112" s="8"/>
      <c r="G112" s="8"/>
      <c r="H112" s="8"/>
      <c r="I112" s="8"/>
      <c r="J112" s="8"/>
      <c r="K112" s="8"/>
    </row>
    <row r="113" customFormat="false" ht="30.75" hidden="false" customHeight="true" outlineLevel="0" collapsed="false">
      <c r="B113" s="152" t="s">
        <v>1523</v>
      </c>
      <c r="C113" s="152" t="s">
        <v>1524</v>
      </c>
      <c r="D113" s="152" t="s">
        <v>6719</v>
      </c>
    </row>
    <row r="114" customFormat="false" ht="16.5" hidden="false" customHeight="true" outlineLevel="0" collapsed="false">
      <c r="B114" s="170" t="s">
        <v>1023</v>
      </c>
      <c r="C114" s="170" t="s">
        <v>10283</v>
      </c>
      <c r="D114" s="170" t="s">
        <v>9969</v>
      </c>
    </row>
  </sheetData>
  <mergeCells count="46">
    <mergeCell ref="B2:J2"/>
    <mergeCell ref="D3:F3"/>
    <mergeCell ref="C6:D6"/>
    <mergeCell ref="C7:D7"/>
    <mergeCell ref="C8:D8"/>
    <mergeCell ref="B11:F13"/>
    <mergeCell ref="B14:F16"/>
    <mergeCell ref="B17:F20"/>
    <mergeCell ref="B21:F23"/>
    <mergeCell ref="B24:F25"/>
    <mergeCell ref="B28:C28"/>
    <mergeCell ref="E28:F28"/>
    <mergeCell ref="B29:C29"/>
    <mergeCell ref="E29:F29"/>
    <mergeCell ref="B30:C30"/>
    <mergeCell ref="E30:F30"/>
    <mergeCell ref="B31:C31"/>
    <mergeCell ref="E31:F31"/>
    <mergeCell ref="B32:F32"/>
    <mergeCell ref="B42:F42"/>
    <mergeCell ref="B43:F43"/>
    <mergeCell ref="B44:F45"/>
    <mergeCell ref="B47:F47"/>
    <mergeCell ref="B48:F48"/>
    <mergeCell ref="B50:F50"/>
    <mergeCell ref="B51:F51"/>
    <mergeCell ref="B61:F62"/>
    <mergeCell ref="B65:F65"/>
    <mergeCell ref="G66:I66"/>
    <mergeCell ref="G67:I67"/>
    <mergeCell ref="G68:I68"/>
    <mergeCell ref="G69:I69"/>
    <mergeCell ref="G70:I70"/>
    <mergeCell ref="G71:I71"/>
    <mergeCell ref="G72:I72"/>
    <mergeCell ref="B74:F74"/>
    <mergeCell ref="C91:F91"/>
    <mergeCell ref="B100:F100"/>
    <mergeCell ref="B101:F101"/>
    <mergeCell ref="B102:F102"/>
    <mergeCell ref="B103:F103"/>
    <mergeCell ref="B104:F104"/>
    <mergeCell ref="B107:E107"/>
    <mergeCell ref="B108:E108"/>
    <mergeCell ref="B109:E109"/>
    <mergeCell ref="B110:E110"/>
  </mergeCells>
  <hyperlinks>
    <hyperlink ref="B3" location="'N-03 Index DMAIC'!A1" display="← Back to Index"/>
    <hyperlink ref="E35" location="'H-04 Kano Model'!A1" display="H-04  Kano Model"/>
    <hyperlink ref="E36" location="'E-59 Gage R and R'!A1" display="E-59  Gage R and R"/>
    <hyperlink ref="E37" location="'E-57 Process Capability'!A1" display="E-57  Process Capability"/>
    <hyperlink ref="E38" location="'H-02 SIPOC'!A1" display="H-02  SIPOC"/>
    <hyperlink ref="B114" location="'H-02 SIPOC'!A1" display="H-02  SIPOC"/>
    <hyperlink ref="C114" location="'H-04 Kano Model'!A1" display="H-04  Kano Model"/>
    <hyperlink ref="D114" location="'E-06 Data Collection Plan'!A1" display="E-06  Data Collection Pl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N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4"/>
    <col collapsed="false" customWidth="true" hidden="false" outlineLevel="0" max="4" min="4" style="1" width="18"/>
    <col collapsed="false" customWidth="true" hidden="false" outlineLevel="0" max="5" min="5" style="1" width="20"/>
    <col collapsed="false" customWidth="true" hidden="false" outlineLevel="0" max="6" min="6" style="1" width="24"/>
    <col collapsed="false" customWidth="true" hidden="false" outlineLevel="0" max="10" min="7" style="1" width="11"/>
    <col collapsed="false" customWidth="true" hidden="false" outlineLevel="0" max="12" min="11" style="1" width="15"/>
    <col collapsed="false" customWidth="true" hidden="false" outlineLevel="0" max="14" min="13" style="1" width="13"/>
  </cols>
  <sheetData>
    <row r="1" customFormat="false" ht="15" hidden="false" customHeight="true" outlineLevel="0" collapsed="false">
      <c r="A1" s="147" t="s">
        <v>0</v>
      </c>
    </row>
    <row r="2" customFormat="false" ht="22.5" hidden="false" customHeight="true" outlineLevel="0" collapsed="false">
      <c r="B2" s="148" t="s">
        <v>10403</v>
      </c>
      <c r="C2" s="148"/>
      <c r="D2" s="148"/>
      <c r="E2" s="148"/>
      <c r="F2" s="148"/>
      <c r="G2" s="148"/>
      <c r="H2" s="148"/>
      <c r="I2" s="148"/>
      <c r="J2" s="148"/>
      <c r="K2" s="195" t="s">
        <v>9949</v>
      </c>
    </row>
    <row r="3" customFormat="false" ht="67.5" hidden="false" customHeight="true" outlineLevel="0" collapsed="false">
      <c r="B3" s="150" t="s">
        <v>3</v>
      </c>
      <c r="D3" s="151" t="s">
        <v>10404</v>
      </c>
      <c r="E3" s="151"/>
      <c r="F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10405</v>
      </c>
      <c r="D6" s="106"/>
    </row>
    <row r="7" customFormat="false" ht="31.5" hidden="false" customHeight="true" outlineLevel="0" collapsed="false">
      <c r="B7" s="105" t="s">
        <v>1394</v>
      </c>
      <c r="C7" s="106" t="s">
        <v>10406</v>
      </c>
      <c r="D7" s="106"/>
    </row>
    <row r="8" customFormat="false" ht="31.5" hidden="false" customHeight="true" outlineLevel="0" collapsed="false">
      <c r="B8" s="105" t="s">
        <v>1396</v>
      </c>
      <c r="C8" s="106" t="s">
        <v>10407</v>
      </c>
      <c r="D8" s="106"/>
    </row>
    <row r="10" customFormat="false" ht="15.75" hidden="false" customHeight="true" outlineLevel="0" collapsed="false">
      <c r="B10" s="103" t="s">
        <v>1398</v>
      </c>
      <c r="C10" s="8"/>
      <c r="D10" s="8"/>
      <c r="E10" s="8"/>
      <c r="F10" s="8"/>
      <c r="G10" s="8"/>
      <c r="H10" s="8"/>
      <c r="I10" s="8"/>
      <c r="J10" s="8"/>
      <c r="K10" s="8"/>
    </row>
    <row r="11" customFormat="false" ht="15" hidden="false" customHeight="true" outlineLevel="0" collapsed="false">
      <c r="B11" s="106" t="s">
        <v>10408</v>
      </c>
      <c r="C11" s="106"/>
      <c r="D11" s="106"/>
      <c r="E11" s="106"/>
      <c r="F11" s="106"/>
    </row>
    <row r="12" customFormat="false" ht="15" hidden="false" customHeight="true" outlineLevel="0" collapsed="false">
      <c r="B12" s="106"/>
      <c r="C12" s="106"/>
      <c r="D12" s="106"/>
      <c r="E12" s="106"/>
      <c r="F12" s="106"/>
    </row>
    <row r="13" customFormat="false" ht="15" hidden="false" customHeight="true" outlineLevel="0" collapsed="false">
      <c r="B13" s="106"/>
      <c r="C13" s="106"/>
      <c r="D13" s="106"/>
      <c r="E13" s="106"/>
      <c r="F13" s="106"/>
    </row>
    <row r="14" customFormat="false" ht="15.75" hidden="false" customHeight="true" outlineLevel="0" collapsed="false">
      <c r="B14" s="106" t="s">
        <v>10409</v>
      </c>
      <c r="C14" s="106"/>
      <c r="D14" s="106"/>
      <c r="E14" s="106"/>
      <c r="F14" s="106"/>
    </row>
    <row r="15" customFormat="false" ht="15.75" hidden="false" customHeight="true" outlineLevel="0" collapsed="false">
      <c r="B15" s="106"/>
      <c r="C15" s="106"/>
      <c r="D15" s="106"/>
      <c r="E15" s="106"/>
      <c r="F15" s="106"/>
    </row>
    <row r="16" customFormat="false" ht="17.25" hidden="false" customHeight="true" outlineLevel="0" collapsed="false">
      <c r="B16" s="106" t="s">
        <v>10410</v>
      </c>
      <c r="C16" s="106"/>
      <c r="D16" s="106"/>
      <c r="E16" s="106"/>
      <c r="F16" s="106"/>
    </row>
    <row r="17" customFormat="false" ht="15.75" hidden="false" customHeight="true" outlineLevel="0" collapsed="false">
      <c r="B17" s="106" t="s">
        <v>10411</v>
      </c>
      <c r="C17" s="106"/>
      <c r="D17" s="106"/>
      <c r="E17" s="106"/>
      <c r="F17" s="106"/>
    </row>
    <row r="18" customFormat="false" ht="15.75" hidden="false" customHeight="true" outlineLevel="0" collapsed="false">
      <c r="B18" s="106"/>
      <c r="C18" s="106"/>
      <c r="D18" s="106"/>
      <c r="E18" s="106"/>
      <c r="F18" s="106"/>
    </row>
    <row r="19" customFormat="false" ht="15" hidden="false" customHeight="true" outlineLevel="0" collapsed="false">
      <c r="B19" s="106" t="s">
        <v>10412</v>
      </c>
      <c r="C19" s="106"/>
      <c r="D19" s="106"/>
      <c r="E19" s="106"/>
      <c r="F19" s="106"/>
    </row>
    <row r="20" customFormat="false" ht="15" hidden="false" customHeight="true" outlineLevel="0" collapsed="false">
      <c r="B20" s="106"/>
      <c r="C20" s="106"/>
      <c r="D20" s="106"/>
      <c r="E20" s="106"/>
      <c r="F20" s="106"/>
    </row>
    <row r="21" customFormat="false" ht="15" hidden="false" customHeight="true" outlineLevel="0" collapsed="false">
      <c r="B21" s="106"/>
      <c r="C21" s="106"/>
      <c r="D21" s="106"/>
      <c r="E21" s="106"/>
      <c r="F21" s="106"/>
    </row>
    <row r="22" customFormat="false" ht="15" hidden="false" customHeight="true" outlineLevel="0" collapsed="false">
      <c r="B22" s="106" t="s">
        <v>10413</v>
      </c>
      <c r="C22" s="106"/>
      <c r="D22" s="106"/>
      <c r="E22" s="106"/>
      <c r="F22" s="106"/>
    </row>
    <row r="23" customFormat="false" ht="15" hidden="false" customHeight="true" outlineLevel="0" collapsed="false">
      <c r="B23" s="106"/>
      <c r="C23" s="106"/>
      <c r="D23" s="106"/>
      <c r="E23" s="106"/>
      <c r="F23" s="106"/>
    </row>
    <row r="24" customFormat="false" ht="15" hidden="false" customHeight="true" outlineLevel="0" collapsed="false">
      <c r="B24" s="106"/>
      <c r="C24" s="106"/>
      <c r="D24" s="106"/>
      <c r="E24" s="106"/>
      <c r="F24" s="106"/>
    </row>
    <row r="25" customFormat="false" ht="8.25" hidden="false" customHeight="true" outlineLevel="0" collapsed="false">
      <c r="B25" s="106" t="s">
        <v>10414</v>
      </c>
      <c r="C25" s="106"/>
      <c r="D25" s="106"/>
      <c r="E25" s="106"/>
      <c r="F25" s="106"/>
    </row>
    <row r="26" customFormat="false" ht="8.25" hidden="false" customHeight="true" outlineLevel="0" collapsed="false">
      <c r="B26" s="106"/>
      <c r="C26" s="106"/>
      <c r="D26" s="106"/>
      <c r="E26" s="106"/>
      <c r="F26" s="106"/>
    </row>
    <row r="28" customFormat="false" ht="15.75" hidden="false" customHeight="true" outlineLevel="0" collapsed="false">
      <c r="B28" s="103" t="s">
        <v>1406</v>
      </c>
      <c r="C28" s="8"/>
      <c r="D28" s="8"/>
      <c r="E28" s="8"/>
      <c r="F28" s="8"/>
      <c r="G28" s="8"/>
      <c r="H28" s="8"/>
      <c r="I28" s="8"/>
      <c r="J28" s="8"/>
      <c r="K28" s="8"/>
    </row>
    <row r="29" customFormat="false" ht="17.25" hidden="false" customHeight="true" outlineLevel="0" collapsed="false">
      <c r="B29" s="107" t="s">
        <v>1407</v>
      </c>
      <c r="C29" s="107"/>
      <c r="E29" s="107" t="s">
        <v>1408</v>
      </c>
      <c r="F29" s="107"/>
    </row>
    <row r="30" customFormat="false" ht="31.5" hidden="false" customHeight="true" outlineLevel="0" collapsed="false">
      <c r="B30" s="106" t="s">
        <v>10415</v>
      </c>
      <c r="C30" s="106"/>
      <c r="E30" s="106" t="s">
        <v>10416</v>
      </c>
      <c r="F30" s="106"/>
    </row>
    <row r="31" customFormat="false" ht="45.75" hidden="false" customHeight="true" outlineLevel="0" collapsed="false">
      <c r="B31" s="106" t="s">
        <v>10417</v>
      </c>
      <c r="C31" s="106"/>
      <c r="E31" s="106" t="s">
        <v>10418</v>
      </c>
      <c r="F31" s="106"/>
    </row>
    <row r="32" customFormat="false" ht="45.75" hidden="false" customHeight="true" outlineLevel="0" collapsed="false">
      <c r="B32" s="106" t="s">
        <v>10419</v>
      </c>
      <c r="C32" s="106"/>
      <c r="E32" s="106" t="s">
        <v>10420</v>
      </c>
      <c r="F32" s="106"/>
    </row>
    <row r="33" customFormat="false" ht="17.25" hidden="false" customHeight="true" outlineLevel="0" collapsed="false">
      <c r="B33" s="106" t="s">
        <v>10421</v>
      </c>
      <c r="C33" s="106"/>
      <c r="D33" s="106"/>
      <c r="E33" s="106"/>
      <c r="F33" s="106"/>
    </row>
    <row r="35" customFormat="false" ht="30.75" hidden="false" customHeight="true" outlineLevel="0" collapsed="false">
      <c r="B35" s="152" t="s">
        <v>6621</v>
      </c>
      <c r="C35" s="152" t="s">
        <v>1417</v>
      </c>
      <c r="D35" s="152" t="s">
        <v>1418</v>
      </c>
      <c r="E35" s="152" t="s">
        <v>1419</v>
      </c>
    </row>
    <row r="36" customFormat="false" ht="99.75" hidden="false" customHeight="true" outlineLevel="0" collapsed="false">
      <c r="B36" s="15" t="s">
        <v>10422</v>
      </c>
      <c r="C36" s="15" t="s">
        <v>10423</v>
      </c>
      <c r="D36" s="15" t="s">
        <v>10424</v>
      </c>
      <c r="E36" s="153" t="s">
        <v>9839</v>
      </c>
    </row>
    <row r="37" customFormat="false" ht="30.75" hidden="false" customHeight="true" outlineLevel="0" collapsed="false">
      <c r="B37" s="15" t="s">
        <v>10425</v>
      </c>
      <c r="C37" s="15" t="s">
        <v>10426</v>
      </c>
      <c r="D37" s="15" t="s">
        <v>10427</v>
      </c>
      <c r="E37" s="153" t="s">
        <v>10132</v>
      </c>
    </row>
    <row r="38" customFormat="false" ht="72" hidden="false" customHeight="true" outlineLevel="0" collapsed="false">
      <c r="B38" s="15" t="s">
        <v>10428</v>
      </c>
      <c r="C38" s="15" t="s">
        <v>10429</v>
      </c>
      <c r="D38" s="15" t="s">
        <v>10430</v>
      </c>
      <c r="E38" s="153" t="s">
        <v>6632</v>
      </c>
    </row>
    <row r="39" customFormat="false" ht="58.5" hidden="false" customHeight="true" outlineLevel="0" collapsed="false">
      <c r="B39" s="15" t="s">
        <v>10431</v>
      </c>
      <c r="C39" s="15" t="s">
        <v>10432</v>
      </c>
      <c r="D39" s="15" t="s">
        <v>10433</v>
      </c>
      <c r="E39" s="153" t="s">
        <v>10132</v>
      </c>
    </row>
    <row r="41" customFormat="false" ht="15.75" hidden="false" customHeight="true" outlineLevel="0" collapsed="false">
      <c r="B41" s="103" t="s">
        <v>1429</v>
      </c>
      <c r="C41" s="8"/>
      <c r="D41" s="8"/>
      <c r="E41" s="8"/>
      <c r="F41" s="8"/>
      <c r="G41" s="8"/>
      <c r="H41" s="8"/>
      <c r="I41" s="8"/>
      <c r="J41" s="8"/>
      <c r="K41" s="8"/>
    </row>
    <row r="42" customFormat="false" ht="17.25" hidden="false" customHeight="true" outlineLevel="0" collapsed="false">
      <c r="B42" s="106" t="s">
        <v>10434</v>
      </c>
      <c r="C42" s="106"/>
      <c r="D42" s="106"/>
      <c r="E42" s="106"/>
      <c r="F42" s="106"/>
    </row>
    <row r="43" customFormat="false" ht="17.25" hidden="false" customHeight="true" outlineLevel="0" collapsed="false">
      <c r="B43" s="106" t="s">
        <v>10435</v>
      </c>
      <c r="C43" s="106"/>
      <c r="D43" s="106"/>
      <c r="E43" s="106"/>
      <c r="F43" s="106"/>
    </row>
    <row r="44" customFormat="false" ht="17.25" hidden="false" customHeight="true" outlineLevel="0" collapsed="false">
      <c r="B44" s="106" t="s">
        <v>10436</v>
      </c>
      <c r="C44" s="106"/>
      <c r="D44" s="106"/>
      <c r="E44" s="106"/>
      <c r="F44" s="106"/>
    </row>
    <row r="45" customFormat="false" ht="17.25" hidden="false" customHeight="true" outlineLevel="0" collapsed="false">
      <c r="B45" s="106" t="s">
        <v>10437</v>
      </c>
      <c r="C45" s="106"/>
      <c r="D45" s="106"/>
      <c r="E45" s="106"/>
      <c r="F45" s="106"/>
    </row>
    <row r="46" customFormat="false" ht="15" hidden="false" customHeight="true" outlineLevel="0" collapsed="false">
      <c r="B46" s="122"/>
    </row>
    <row r="47" customFormat="false" ht="17.25" hidden="false" customHeight="true" outlineLevel="0" collapsed="false">
      <c r="B47" s="106" t="s">
        <v>10438</v>
      </c>
      <c r="C47" s="106"/>
      <c r="D47" s="106"/>
      <c r="E47" s="106"/>
      <c r="F47" s="106"/>
    </row>
    <row r="48" customFormat="false" ht="17.25" hidden="false" customHeight="true" outlineLevel="0" collapsed="false">
      <c r="B48" s="106" t="s">
        <v>10439</v>
      </c>
      <c r="C48" s="106"/>
      <c r="D48" s="106"/>
      <c r="E48" s="106"/>
      <c r="F48" s="106"/>
    </row>
    <row r="49" customFormat="false" ht="15" hidden="false" customHeight="true" outlineLevel="0" collapsed="false">
      <c r="B49" s="122"/>
    </row>
    <row r="50" customFormat="false" ht="16.5" hidden="false" customHeight="true" outlineLevel="0" collapsed="false">
      <c r="B50" s="122" t="s">
        <v>10440</v>
      </c>
    </row>
    <row r="51" customFormat="false" ht="15.75" hidden="false" customHeight="true" outlineLevel="0" collapsed="false">
      <c r="B51" s="106" t="s">
        <v>10441</v>
      </c>
      <c r="C51" s="106"/>
      <c r="D51" s="106"/>
      <c r="E51" s="106"/>
      <c r="F51" s="106"/>
    </row>
    <row r="52" customFormat="false" ht="15.75" hidden="false" customHeight="true" outlineLevel="0" collapsed="false">
      <c r="B52" s="106"/>
      <c r="C52" s="106"/>
      <c r="D52" s="106"/>
      <c r="E52" s="106"/>
      <c r="F52" s="106"/>
    </row>
    <row r="53" customFormat="false" ht="15" hidden="false" customHeight="true" outlineLevel="0" collapsed="false">
      <c r="B53" s="122"/>
    </row>
    <row r="54" customFormat="false" ht="15.75" hidden="false" customHeight="true" outlineLevel="0" collapsed="false">
      <c r="B54" s="106" t="s">
        <v>10442</v>
      </c>
      <c r="C54" s="106"/>
      <c r="D54" s="106"/>
      <c r="E54" s="106"/>
      <c r="F54" s="106"/>
    </row>
    <row r="55" customFormat="false" ht="15.75" hidden="false" customHeight="true" outlineLevel="0" collapsed="false">
      <c r="B55" s="106"/>
      <c r="C55" s="106"/>
      <c r="D55" s="106"/>
      <c r="E55" s="106"/>
      <c r="F55" s="106"/>
    </row>
    <row r="57" customFormat="false" ht="15.75" hidden="false" customHeight="true" outlineLevel="0" collapsed="false">
      <c r="B57" s="103" t="s">
        <v>1437</v>
      </c>
      <c r="C57" s="8"/>
      <c r="D57" s="8"/>
      <c r="E57" s="8"/>
      <c r="F57" s="8"/>
      <c r="G57" s="8"/>
      <c r="H57" s="8"/>
      <c r="I57" s="8"/>
      <c r="J57" s="8"/>
      <c r="K57" s="8"/>
    </row>
    <row r="58" customFormat="false" ht="17.25" hidden="false" customHeight="true" outlineLevel="0" collapsed="false">
      <c r="B58" s="152" t="s">
        <v>1438</v>
      </c>
      <c r="C58" s="152" t="s">
        <v>1439</v>
      </c>
      <c r="D58" s="152" t="s">
        <v>1440</v>
      </c>
      <c r="E58" s="152"/>
      <c r="F58" s="152"/>
    </row>
    <row r="59" customFormat="false" ht="31.5" hidden="false" customHeight="true" outlineLevel="0" collapsed="false">
      <c r="B59" s="15" t="s">
        <v>10443</v>
      </c>
      <c r="C59" s="15" t="s">
        <v>10444</v>
      </c>
      <c r="D59" s="15" t="s">
        <v>10445</v>
      </c>
      <c r="E59" s="15"/>
      <c r="F59" s="15"/>
    </row>
    <row r="60" customFormat="false" ht="17.25" hidden="false" customHeight="true" outlineLevel="0" collapsed="false">
      <c r="B60" s="15" t="s">
        <v>1920</v>
      </c>
      <c r="C60" s="15" t="s">
        <v>10446</v>
      </c>
      <c r="D60" s="15" t="s">
        <v>10447</v>
      </c>
      <c r="E60" s="15"/>
      <c r="F60" s="15"/>
    </row>
    <row r="61" customFormat="false" ht="31.5" hidden="false" customHeight="true" outlineLevel="0" collapsed="false">
      <c r="B61" s="15" t="s">
        <v>10448</v>
      </c>
      <c r="C61" s="15" t="s">
        <v>10449</v>
      </c>
      <c r="D61" s="15" t="s">
        <v>10450</v>
      </c>
      <c r="E61" s="15"/>
      <c r="F61" s="15"/>
    </row>
    <row r="62" customFormat="false" ht="17.25" hidden="false" customHeight="true" outlineLevel="0" collapsed="false">
      <c r="B62" s="15" t="s">
        <v>1839</v>
      </c>
      <c r="C62" s="15" t="s">
        <v>6647</v>
      </c>
      <c r="D62" s="15" t="s">
        <v>10451</v>
      </c>
      <c r="E62" s="15"/>
      <c r="F62" s="15"/>
    </row>
    <row r="64" customFormat="false" ht="15.75" hidden="false" customHeight="true" outlineLevel="0" collapsed="false">
      <c r="B64" s="103" t="s">
        <v>1454</v>
      </c>
      <c r="C64" s="8"/>
      <c r="D64" s="8"/>
      <c r="E64" s="8"/>
      <c r="F64" s="8"/>
      <c r="G64" s="8"/>
      <c r="H64" s="8"/>
      <c r="I64" s="8"/>
      <c r="J64" s="8"/>
      <c r="K64" s="8"/>
    </row>
    <row r="65" customFormat="false" ht="10.5" hidden="false" customHeight="true" outlineLevel="0" collapsed="false">
      <c r="B65" s="106" t="s">
        <v>10452</v>
      </c>
      <c r="C65" s="106"/>
      <c r="D65" s="106"/>
      <c r="E65" s="106"/>
      <c r="F65" s="106"/>
    </row>
    <row r="66" customFormat="false" ht="10.5" hidden="false" customHeight="true" outlineLevel="0" collapsed="false">
      <c r="B66" s="106"/>
      <c r="C66" s="106"/>
      <c r="D66" s="106"/>
      <c r="E66" s="106"/>
      <c r="F66" s="106"/>
    </row>
    <row r="67" customFormat="false" ht="10.5" hidden="false" customHeight="true" outlineLevel="0" collapsed="false">
      <c r="B67" s="106"/>
      <c r="C67" s="106"/>
      <c r="D67" s="106"/>
      <c r="E67" s="106"/>
      <c r="F67" s="106"/>
    </row>
    <row r="68" customFormat="false" ht="15" hidden="false" customHeight="true" outlineLevel="0" collapsed="false">
      <c r="B68" s="112" t="s">
        <v>85</v>
      </c>
      <c r="C68" s="154" t="s">
        <v>86</v>
      </c>
    </row>
    <row r="70" customFormat="false" ht="17.25" hidden="false" customHeight="true" outlineLevel="0" collapsed="false">
      <c r="B70" s="107" t="s">
        <v>10453</v>
      </c>
      <c r="C70" s="107"/>
      <c r="D70" s="107"/>
      <c r="E70" s="107"/>
      <c r="F70" s="107"/>
    </row>
    <row r="71" customFormat="false" ht="28.5" hidden="false" customHeight="true" outlineLevel="0" collapsed="false">
      <c r="B71" s="182" t="s">
        <v>10454</v>
      </c>
      <c r="C71" s="182"/>
      <c r="D71" s="182"/>
      <c r="E71" s="182"/>
      <c r="F71" s="182"/>
    </row>
    <row r="73" customFormat="false" ht="30.75" hidden="false" customHeight="true" outlineLevel="0" collapsed="false">
      <c r="B73" s="152" t="s">
        <v>10455</v>
      </c>
      <c r="C73" s="152" t="s">
        <v>10456</v>
      </c>
      <c r="D73" s="152" t="s">
        <v>10457</v>
      </c>
      <c r="E73" s="152" t="s">
        <v>10458</v>
      </c>
      <c r="F73" s="152" t="s">
        <v>10459</v>
      </c>
      <c r="G73" s="152" t="s">
        <v>10460</v>
      </c>
    </row>
    <row r="74" customFormat="false" ht="16.5" hidden="false" customHeight="true" outlineLevel="0" collapsed="false">
      <c r="B74" s="15" t="s">
        <v>10456</v>
      </c>
      <c r="C74" s="15" t="s">
        <v>10461</v>
      </c>
      <c r="D74" s="15" t="s">
        <v>378</v>
      </c>
      <c r="E74" s="15" t="s">
        <v>378</v>
      </c>
      <c r="F74" s="15" t="s">
        <v>378</v>
      </c>
      <c r="G74" s="15" t="s">
        <v>10462</v>
      </c>
    </row>
    <row r="75" customFormat="false" ht="16.5" hidden="false" customHeight="true" outlineLevel="0" collapsed="false">
      <c r="B75" s="15" t="s">
        <v>10457</v>
      </c>
      <c r="C75" s="15" t="s">
        <v>5868</v>
      </c>
      <c r="D75" s="15" t="s">
        <v>538</v>
      </c>
      <c r="E75" s="15" t="s">
        <v>538</v>
      </c>
      <c r="F75" s="15" t="s">
        <v>538</v>
      </c>
      <c r="G75" s="15" t="s">
        <v>224</v>
      </c>
    </row>
    <row r="76" customFormat="false" ht="16.5" hidden="false" customHeight="true" outlineLevel="0" collapsed="false">
      <c r="B76" s="15" t="s">
        <v>10458</v>
      </c>
      <c r="C76" s="15" t="s">
        <v>5868</v>
      </c>
      <c r="D76" s="15" t="s">
        <v>538</v>
      </c>
      <c r="E76" s="15" t="s">
        <v>538</v>
      </c>
      <c r="F76" s="15" t="s">
        <v>538</v>
      </c>
      <c r="G76" s="15" t="s">
        <v>224</v>
      </c>
    </row>
    <row r="77" customFormat="false" ht="16.5" hidden="false" customHeight="true" outlineLevel="0" collapsed="false">
      <c r="B77" s="15" t="s">
        <v>10459</v>
      </c>
      <c r="C77" s="15" t="s">
        <v>5868</v>
      </c>
      <c r="D77" s="15" t="s">
        <v>538</v>
      </c>
      <c r="E77" s="15" t="s">
        <v>538</v>
      </c>
      <c r="F77" s="15" t="s">
        <v>538</v>
      </c>
      <c r="G77" s="15" t="s">
        <v>224</v>
      </c>
    </row>
    <row r="78" customFormat="false" ht="16.5" hidden="false" customHeight="true" outlineLevel="0" collapsed="false">
      <c r="B78" s="15" t="s">
        <v>10460</v>
      </c>
      <c r="C78" s="15" t="s">
        <v>5868</v>
      </c>
      <c r="D78" s="15" t="s">
        <v>5868</v>
      </c>
      <c r="E78" s="15" t="s">
        <v>5868</v>
      </c>
      <c r="F78" s="15" t="s">
        <v>5868</v>
      </c>
      <c r="G78" s="15" t="s">
        <v>10461</v>
      </c>
    </row>
    <row r="80" customFormat="false" ht="17.25" hidden="false" customHeight="true" outlineLevel="0" collapsed="false">
      <c r="B80" s="152" t="s">
        <v>10463</v>
      </c>
      <c r="C80" s="152" t="s">
        <v>7297</v>
      </c>
      <c r="D80" s="152" t="s">
        <v>7998</v>
      </c>
      <c r="E80" s="152" t="s">
        <v>10464</v>
      </c>
      <c r="F80" s="152"/>
    </row>
    <row r="81" customFormat="false" ht="72" hidden="false" customHeight="true" outlineLevel="0" collapsed="false">
      <c r="B81" s="15" t="s">
        <v>224</v>
      </c>
      <c r="C81" s="15" t="s">
        <v>10465</v>
      </c>
      <c r="D81" s="15" t="s">
        <v>10466</v>
      </c>
      <c r="E81" s="15" t="s">
        <v>10467</v>
      </c>
      <c r="F81" s="15"/>
    </row>
    <row r="82" customFormat="false" ht="44.25" hidden="false" customHeight="true" outlineLevel="0" collapsed="false">
      <c r="B82" s="15" t="s">
        <v>10462</v>
      </c>
      <c r="C82" s="15" t="s">
        <v>10468</v>
      </c>
      <c r="D82" s="15" t="s">
        <v>10469</v>
      </c>
      <c r="E82" s="15" t="s">
        <v>10470</v>
      </c>
      <c r="F82" s="15"/>
    </row>
    <row r="83" customFormat="false" ht="44.25" hidden="false" customHeight="true" outlineLevel="0" collapsed="false">
      <c r="B83" s="15" t="s">
        <v>378</v>
      </c>
      <c r="C83" s="15" t="s">
        <v>10471</v>
      </c>
      <c r="D83" s="15" t="s">
        <v>10472</v>
      </c>
      <c r="E83" s="15" t="s">
        <v>10473</v>
      </c>
      <c r="F83" s="15"/>
    </row>
    <row r="84" customFormat="false" ht="30.75" hidden="false" customHeight="true" outlineLevel="0" collapsed="false">
      <c r="B84" s="15" t="s">
        <v>538</v>
      </c>
      <c r="C84" s="15" t="s">
        <v>10474</v>
      </c>
      <c r="D84" s="15" t="s">
        <v>10475</v>
      </c>
      <c r="E84" s="15" t="s">
        <v>10476</v>
      </c>
      <c r="F84" s="15"/>
    </row>
    <row r="85" customFormat="false" ht="44.25" hidden="false" customHeight="true" outlineLevel="0" collapsed="false">
      <c r="B85" s="15" t="s">
        <v>5868</v>
      </c>
      <c r="C85" s="15" t="s">
        <v>10477</v>
      </c>
      <c r="D85" s="15" t="s">
        <v>10478</v>
      </c>
      <c r="E85" s="15" t="s">
        <v>10479</v>
      </c>
      <c r="F85" s="15"/>
    </row>
    <row r="86" customFormat="false" ht="58.5" hidden="false" customHeight="true" outlineLevel="0" collapsed="false">
      <c r="B86" s="15" t="s">
        <v>10461</v>
      </c>
      <c r="C86" s="15" t="s">
        <v>10480</v>
      </c>
      <c r="D86" s="15" t="s">
        <v>10481</v>
      </c>
      <c r="E86" s="15" t="s">
        <v>10482</v>
      </c>
      <c r="F86" s="15"/>
    </row>
    <row r="88" customFormat="false" ht="15" hidden="false" customHeight="true" outlineLevel="0" collapsed="false">
      <c r="B88" s="105" t="s">
        <v>10483</v>
      </c>
    </row>
    <row r="89" customFormat="false" ht="30.75" hidden="false" customHeight="true" outlineLevel="0" collapsed="false">
      <c r="B89" s="152" t="s">
        <v>10484</v>
      </c>
      <c r="C89" s="152" t="s">
        <v>10485</v>
      </c>
      <c r="D89" s="152" t="s">
        <v>10486</v>
      </c>
      <c r="E89" s="152" t="s">
        <v>10487</v>
      </c>
      <c r="F89" s="152" t="s">
        <v>10488</v>
      </c>
      <c r="G89" s="152" t="s">
        <v>10489</v>
      </c>
      <c r="H89" s="152" t="s">
        <v>10490</v>
      </c>
      <c r="I89" s="152" t="s">
        <v>10491</v>
      </c>
      <c r="J89" s="152" t="s">
        <v>10492</v>
      </c>
      <c r="K89" s="152" t="s">
        <v>10493</v>
      </c>
    </row>
    <row r="90" customFormat="false" ht="30.75" hidden="false" customHeight="true" outlineLevel="0" collapsed="false">
      <c r="B90" s="15" t="s">
        <v>10494</v>
      </c>
      <c r="C90" s="155" t="n">
        <v>2</v>
      </c>
      <c r="D90" s="155" t="n">
        <v>5</v>
      </c>
      <c r="E90" s="167" t="str">
        <f aca="false">INDEX($C$74:$G$78,C90,D90)</f>
        <v>M</v>
      </c>
      <c r="F90" s="155" t="n">
        <v>4</v>
      </c>
      <c r="G90" s="155" t="n">
        <v>12</v>
      </c>
      <c r="H90" s="155" t="n">
        <v>62</v>
      </c>
      <c r="I90" s="155" t="n">
        <v>6</v>
      </c>
      <c r="J90" s="174" t="n">
        <f aca="false">IFERROR((F90+G90)/(F90+G90+H90+I90),0)</f>
        <v>0.19047619047619</v>
      </c>
      <c r="K90" s="174" t="n">
        <f aca="false">IFERROR(-(G90+H90)/(F90+G90+H90+I90),0)</f>
        <v>-0.880952380952381</v>
      </c>
    </row>
    <row r="91" customFormat="false" ht="16.5" hidden="false" customHeight="true" outlineLevel="0" collapsed="false">
      <c r="B91" s="15" t="s">
        <v>10495</v>
      </c>
      <c r="C91" s="155" t="n">
        <v>1</v>
      </c>
      <c r="D91" s="155" t="n">
        <v>5</v>
      </c>
      <c r="E91" s="167" t="str">
        <f aca="false">INDEX($C$74:$G$78,C91,D91)</f>
        <v>O</v>
      </c>
      <c r="F91" s="155" t="n">
        <v>10</v>
      </c>
      <c r="G91" s="155" t="n">
        <v>48</v>
      </c>
      <c r="H91" s="155" t="n">
        <v>20</v>
      </c>
      <c r="I91" s="155" t="n">
        <v>6</v>
      </c>
      <c r="J91" s="174" t="n">
        <f aca="false">IFERROR((F91+G91)/(F91+G91+H91+I91),0)</f>
        <v>0.690476190476191</v>
      </c>
      <c r="K91" s="174" t="n">
        <f aca="false">IFERROR(-(G91+H91)/(F91+G91+H91+I91),0)</f>
        <v>-0.80952380952381</v>
      </c>
    </row>
    <row r="92" customFormat="false" ht="16.5" hidden="false" customHeight="true" outlineLevel="0" collapsed="false">
      <c r="B92" s="15" t="s">
        <v>10496</v>
      </c>
      <c r="C92" s="155" t="n">
        <v>2</v>
      </c>
      <c r="D92" s="155" t="n">
        <v>5</v>
      </c>
      <c r="E92" s="167" t="str">
        <f aca="false">INDEX($C$74:$G$78,C92,D92)</f>
        <v>M</v>
      </c>
      <c r="F92" s="155" t="n">
        <v>5</v>
      </c>
      <c r="G92" s="155" t="n">
        <v>14</v>
      </c>
      <c r="H92" s="155" t="n">
        <v>60</v>
      </c>
      <c r="I92" s="155" t="n">
        <v>5</v>
      </c>
      <c r="J92" s="174" t="n">
        <f aca="false">IFERROR((F92+G92)/(F92+G92+H92+I92),0)</f>
        <v>0.226190476190476</v>
      </c>
      <c r="K92" s="174" t="n">
        <f aca="false">IFERROR(-(G92+H92)/(F92+G92+H92+I92),0)</f>
        <v>-0.880952380952381</v>
      </c>
    </row>
    <row r="93" customFormat="false" ht="16.5" hidden="false" customHeight="true" outlineLevel="0" collapsed="false">
      <c r="B93" s="15" t="s">
        <v>10497</v>
      </c>
      <c r="C93" s="155" t="n">
        <v>2</v>
      </c>
      <c r="D93" s="155" t="n">
        <v>5</v>
      </c>
      <c r="E93" s="167" t="str">
        <f aca="false">INDEX($C$74:$G$78,C93,D93)</f>
        <v>M</v>
      </c>
      <c r="F93" s="155" t="n">
        <v>3</v>
      </c>
      <c r="G93" s="155" t="n">
        <v>16</v>
      </c>
      <c r="H93" s="155" t="n">
        <v>63</v>
      </c>
      <c r="I93" s="155" t="n">
        <v>2</v>
      </c>
      <c r="J93" s="174" t="n">
        <f aca="false">IFERROR((F93+G93)/(F93+G93+H93+I93),0)</f>
        <v>0.226190476190476</v>
      </c>
      <c r="K93" s="174" t="n">
        <f aca="false">IFERROR(-(G93+H93)/(F93+G93+H93+I93),0)</f>
        <v>-0.940476190476191</v>
      </c>
    </row>
    <row r="94" customFormat="false" ht="16.5" hidden="false" customHeight="true" outlineLevel="0" collapsed="false">
      <c r="B94" s="15" t="s">
        <v>10498</v>
      </c>
      <c r="C94" s="155" t="n">
        <v>1</v>
      </c>
      <c r="D94" s="155" t="n">
        <v>5</v>
      </c>
      <c r="E94" s="167" t="str">
        <f aca="false">INDEX($C$74:$G$78,C94,D94)</f>
        <v>O</v>
      </c>
      <c r="F94" s="155" t="n">
        <v>8</v>
      </c>
      <c r="G94" s="155" t="n">
        <v>52</v>
      </c>
      <c r="H94" s="155" t="n">
        <v>18</v>
      </c>
      <c r="I94" s="155" t="n">
        <v>6</v>
      </c>
      <c r="J94" s="174" t="n">
        <f aca="false">IFERROR((F94+G94)/(F94+G94+H94+I94),0)</f>
        <v>0.714285714285714</v>
      </c>
      <c r="K94" s="174" t="n">
        <f aca="false">IFERROR(-(G94+H94)/(F94+G94+H94+I94),0)</f>
        <v>-0.833333333333333</v>
      </c>
    </row>
    <row r="95" customFormat="false" ht="30.75" hidden="false" customHeight="true" outlineLevel="0" collapsed="false">
      <c r="B95" s="15" t="s">
        <v>10499</v>
      </c>
      <c r="C95" s="155" t="n">
        <v>1</v>
      </c>
      <c r="D95" s="155" t="n">
        <v>3</v>
      </c>
      <c r="E95" s="167" t="str">
        <f aca="false">INDEX($C$74:$G$78,C95,D95)</f>
        <v>A</v>
      </c>
      <c r="F95" s="155" t="n">
        <v>46</v>
      </c>
      <c r="G95" s="155" t="n">
        <v>9</v>
      </c>
      <c r="H95" s="155" t="n">
        <v>2</v>
      </c>
      <c r="I95" s="155" t="n">
        <v>27</v>
      </c>
      <c r="J95" s="174" t="n">
        <f aca="false">IFERROR((F95+G95)/(F95+G95+H95+I95),0)</f>
        <v>0.654761904761905</v>
      </c>
      <c r="K95" s="174" t="n">
        <f aca="false">IFERROR(-(G95+H95)/(F95+G95+H95+I95),0)</f>
        <v>-0.130952380952381</v>
      </c>
    </row>
    <row r="96" customFormat="false" ht="16.5" hidden="false" customHeight="true" outlineLevel="0" collapsed="false">
      <c r="B96" s="15" t="s">
        <v>10500</v>
      </c>
      <c r="C96" s="155" t="n">
        <v>1</v>
      </c>
      <c r="D96" s="155" t="n">
        <v>3</v>
      </c>
      <c r="E96" s="167" t="str">
        <f aca="false">INDEX($C$74:$G$78,C96,D96)</f>
        <v>A</v>
      </c>
      <c r="F96" s="155" t="n">
        <v>41</v>
      </c>
      <c r="G96" s="155" t="n">
        <v>14</v>
      </c>
      <c r="H96" s="155" t="n">
        <v>4</v>
      </c>
      <c r="I96" s="155" t="n">
        <v>25</v>
      </c>
      <c r="J96" s="174" t="n">
        <f aca="false">IFERROR((F96+G96)/(F96+G96+H96+I96),0)</f>
        <v>0.654761904761905</v>
      </c>
      <c r="K96" s="174" t="n">
        <f aca="false">IFERROR(-(G96+H96)/(F96+G96+H96+I96),0)</f>
        <v>-0.214285714285714</v>
      </c>
    </row>
    <row r="97" customFormat="false" ht="16.5" hidden="false" customHeight="true" outlineLevel="0" collapsed="false">
      <c r="B97" s="15" t="s">
        <v>10501</v>
      </c>
      <c r="C97" s="155" t="n">
        <v>3</v>
      </c>
      <c r="D97" s="155" t="n">
        <v>3</v>
      </c>
      <c r="E97" s="167" t="str">
        <f aca="false">INDEX($C$74:$G$78,C97,D97)</f>
        <v>I</v>
      </c>
      <c r="F97" s="155" t="n">
        <v>12</v>
      </c>
      <c r="G97" s="155" t="n">
        <v>5</v>
      </c>
      <c r="H97" s="155" t="n">
        <v>2</v>
      </c>
      <c r="I97" s="155" t="n">
        <v>65</v>
      </c>
      <c r="J97" s="174" t="n">
        <f aca="false">IFERROR((F97+G97)/(F97+G97+H97+I97),0)</f>
        <v>0.202380952380952</v>
      </c>
      <c r="K97" s="174" t="n">
        <f aca="false">IFERROR(-(G97+H97)/(F97+G97+H97+I97),0)</f>
        <v>-0.0833333333333333</v>
      </c>
    </row>
    <row r="98" customFormat="false" ht="42" hidden="false" customHeight="true" outlineLevel="0" collapsed="false">
      <c r="B98" s="182" t="s">
        <v>10502</v>
      </c>
      <c r="C98" s="182"/>
      <c r="D98" s="182"/>
      <c r="E98" s="182"/>
      <c r="F98" s="182"/>
    </row>
    <row r="100" customFormat="false" ht="17.25" hidden="false" customHeight="true" outlineLevel="0" collapsed="false">
      <c r="B100" s="152" t="s">
        <v>6689</v>
      </c>
      <c r="C100" s="152" t="s">
        <v>6654</v>
      </c>
      <c r="D100" s="152" t="s">
        <v>88</v>
      </c>
      <c r="E100" s="152"/>
      <c r="F100" s="152"/>
    </row>
    <row r="101" customFormat="false" ht="31.5" hidden="false" customHeight="true" outlineLevel="0" collapsed="false">
      <c r="B101" s="15" t="s">
        <v>10503</v>
      </c>
      <c r="C101" s="161" t="n">
        <f aca="false">COUNTIF(E90:E97,"M")</f>
        <v>3</v>
      </c>
      <c r="D101" s="15" t="s">
        <v>10504</v>
      </c>
      <c r="E101" s="15"/>
      <c r="F101" s="15"/>
    </row>
    <row r="102" customFormat="false" ht="17.25" hidden="false" customHeight="true" outlineLevel="0" collapsed="false">
      <c r="B102" s="15" t="s">
        <v>10505</v>
      </c>
      <c r="C102" s="161" t="n">
        <f aca="false">COUNTIF(E90:E97,"O")</f>
        <v>2</v>
      </c>
      <c r="D102" s="15" t="s">
        <v>10506</v>
      </c>
      <c r="E102" s="15"/>
      <c r="F102" s="15"/>
    </row>
    <row r="103" customFormat="false" ht="17.25" hidden="false" customHeight="true" outlineLevel="0" collapsed="false">
      <c r="B103" s="15" t="s">
        <v>10507</v>
      </c>
      <c r="C103" s="161" t="n">
        <f aca="false">COUNTIF(E90:E97,"A")</f>
        <v>2</v>
      </c>
      <c r="D103" s="15" t="s">
        <v>10508</v>
      </c>
      <c r="E103" s="15"/>
      <c r="F103" s="15"/>
    </row>
    <row r="104" customFormat="false" ht="17.25" hidden="false" customHeight="true" outlineLevel="0" collapsed="false">
      <c r="B104" s="15" t="s">
        <v>10509</v>
      </c>
      <c r="C104" s="161" t="n">
        <f aca="false">COUNTIF(E90:E97,"I")</f>
        <v>1</v>
      </c>
      <c r="D104" s="15" t="s">
        <v>10510</v>
      </c>
      <c r="E104" s="15"/>
      <c r="F104" s="15"/>
    </row>
    <row r="105" customFormat="false" ht="17.25" hidden="false" customHeight="true" outlineLevel="0" collapsed="false">
      <c r="B105" s="15" t="s">
        <v>10511</v>
      </c>
      <c r="C105" s="167" t="str">
        <f aca="false">INDEX(B90:B97,MATCH(MAX(J90:J97),J90:J97,0))</f>
        <v>Delivery on time in full</v>
      </c>
      <c r="D105" s="15" t="s">
        <v>10512</v>
      </c>
      <c r="E105" s="15"/>
      <c r="F105" s="15"/>
    </row>
    <row r="106" customFormat="false" ht="17.25" hidden="false" customHeight="true" outlineLevel="0" collapsed="false">
      <c r="B106" s="15" t="s">
        <v>10513</v>
      </c>
      <c r="C106" s="167" t="str">
        <f aca="false">INDEX(B90:B97,MATCH(MIN(K90:K97),K90:K97,0))</f>
        <v>Pallet arrives intact and stable</v>
      </c>
      <c r="D106" s="15" t="s">
        <v>10514</v>
      </c>
      <c r="E106" s="15"/>
      <c r="F106" s="15"/>
    </row>
    <row r="108" customFormat="false" ht="15.75" hidden="false" customHeight="true" outlineLevel="0" collapsed="false">
      <c r="B108" s="103" t="s">
        <v>1493</v>
      </c>
      <c r="C108" s="8"/>
      <c r="D108" s="8"/>
      <c r="E108" s="8"/>
      <c r="F108" s="8"/>
      <c r="G108" s="8"/>
      <c r="H108" s="8"/>
      <c r="I108" s="8"/>
      <c r="J108" s="8"/>
      <c r="K108" s="8"/>
    </row>
    <row r="109" customFormat="false" ht="65.25" hidden="false" customHeight="true" outlineLevel="0" collapsed="false">
      <c r="B109" s="105" t="s">
        <v>1494</v>
      </c>
      <c r="C109" s="168" t="str">
        <f aca="false">"The survey classifies "&amp;TEXT(C101,"0")&amp;" must-be, "&amp;TEXT(C102,"0")&amp;" one-dimensional, "&amp;TEXT(C103,"0")&amp;" attractive and "&amp;TEXT(C104,"0")&amp;" indifferent features. "&amp;"Greatest dissatisfaction risk: "&amp;C106&amp;". Greatest satisfaction potential: "&amp;C105&amp;". "&amp;IF(C104&gt;0,"Note that "&amp;TEXT(C104,"0")&amp;" feature(s) are INDIFFERENT — the customer does not care, so any money currently spent on them should be redirected to the must-be and one-dimensional features.","Every feature surveyed matters to the customer in some direction.")</f>
        <v>The survey classifies 3 must-be, 2 one-dimensional, 2 attractive and 1 indifferent features. Greatest dissatisfaction risk: Pallet arrives intact and stable. Greatest satisfaction potential: Delivery on time in full. Note that 1 feature(s) are INDIFFERENT — the customer does not care, so any money currently spent on them should be redirected to the must-be and one-dimensional features.</v>
      </c>
      <c r="D109" s="168"/>
      <c r="E109" s="168"/>
      <c r="F109" s="168"/>
    </row>
    <row r="111" customFormat="false" ht="17.25" hidden="false" customHeight="true" outlineLevel="0" collapsed="false">
      <c r="B111" s="152" t="s">
        <v>1495</v>
      </c>
      <c r="C111" s="152" t="s">
        <v>1496</v>
      </c>
      <c r="D111" s="152" t="s">
        <v>1497</v>
      </c>
      <c r="E111" s="152"/>
      <c r="F111" s="152"/>
    </row>
    <row r="112" customFormat="false" ht="17.25" hidden="false" customHeight="true" outlineLevel="0" collapsed="false">
      <c r="B112" s="15" t="s">
        <v>10503</v>
      </c>
      <c r="C112" s="15" t="s">
        <v>10515</v>
      </c>
      <c r="D112" s="15" t="s">
        <v>10516</v>
      </c>
      <c r="E112" s="15"/>
      <c r="F112" s="15"/>
    </row>
    <row r="113" customFormat="false" ht="31.5" hidden="false" customHeight="true" outlineLevel="0" collapsed="false">
      <c r="B113" s="15" t="s">
        <v>10505</v>
      </c>
      <c r="C113" s="15" t="s">
        <v>10517</v>
      </c>
      <c r="D113" s="15" t="s">
        <v>10518</v>
      </c>
      <c r="E113" s="15"/>
      <c r="F113" s="15"/>
    </row>
    <row r="114" customFormat="false" ht="17.25" hidden="false" customHeight="true" outlineLevel="0" collapsed="false">
      <c r="B114" s="15" t="s">
        <v>10507</v>
      </c>
      <c r="C114" s="15" t="s">
        <v>10519</v>
      </c>
      <c r="D114" s="15" t="s">
        <v>10520</v>
      </c>
      <c r="E114" s="15"/>
      <c r="F114" s="15"/>
    </row>
    <row r="115" customFormat="false" ht="17.25" hidden="false" customHeight="true" outlineLevel="0" collapsed="false">
      <c r="B115" s="15" t="s">
        <v>10509</v>
      </c>
      <c r="C115" s="15" t="s">
        <v>10521</v>
      </c>
      <c r="D115" s="15" t="s">
        <v>10522</v>
      </c>
      <c r="E115" s="15"/>
      <c r="F115" s="15"/>
    </row>
    <row r="116" customFormat="false" ht="17.25" hidden="false" customHeight="true" outlineLevel="0" collapsed="false">
      <c r="B116" s="15" t="s">
        <v>10523</v>
      </c>
      <c r="C116" s="15" t="s">
        <v>8316</v>
      </c>
      <c r="D116" s="15" t="s">
        <v>10524</v>
      </c>
      <c r="E116" s="15"/>
      <c r="F116" s="15"/>
    </row>
    <row r="118" customFormat="false" ht="15" hidden="false" customHeight="true" outlineLevel="0" collapsed="false">
      <c r="B118" s="105" t="s">
        <v>1507</v>
      </c>
    </row>
    <row r="119" customFormat="false" ht="17.25" hidden="false" customHeight="true" outlineLevel="0" collapsed="false">
      <c r="B119" s="106" t="s">
        <v>10525</v>
      </c>
      <c r="C119" s="106"/>
      <c r="D119" s="106"/>
      <c r="E119" s="106"/>
      <c r="F119" s="106"/>
    </row>
    <row r="120" customFormat="false" ht="17.25" hidden="false" customHeight="true" outlineLevel="0" collapsed="false">
      <c r="B120" s="106" t="s">
        <v>10526</v>
      </c>
      <c r="C120" s="106"/>
      <c r="D120" s="106"/>
      <c r="E120" s="106"/>
      <c r="F120" s="106"/>
    </row>
    <row r="121" customFormat="false" ht="17.25" hidden="false" customHeight="true" outlineLevel="0" collapsed="false">
      <c r="B121" s="106" t="s">
        <v>10527</v>
      </c>
      <c r="C121" s="106"/>
      <c r="D121" s="106"/>
      <c r="E121" s="106"/>
      <c r="F121" s="106"/>
    </row>
    <row r="122" customFormat="false" ht="17.25" hidden="false" customHeight="true" outlineLevel="0" collapsed="false">
      <c r="B122" s="106" t="s">
        <v>10528</v>
      </c>
      <c r="C122" s="106"/>
      <c r="D122" s="106"/>
      <c r="E122" s="106"/>
      <c r="F122" s="106"/>
    </row>
    <row r="123" customFormat="false" ht="17.25" hidden="false" customHeight="true" outlineLevel="0" collapsed="false">
      <c r="B123" s="106" t="s">
        <v>10529</v>
      </c>
      <c r="C123" s="106"/>
      <c r="D123" s="106"/>
      <c r="E123" s="106"/>
      <c r="F123" s="106"/>
    </row>
    <row r="125" customFormat="false" ht="15.75" hidden="false" customHeight="true" outlineLevel="0" collapsed="false">
      <c r="B125" s="103" t="s">
        <v>1513</v>
      </c>
      <c r="C125" s="8"/>
      <c r="D125" s="8"/>
      <c r="E125" s="8"/>
      <c r="F125" s="8"/>
      <c r="G125" s="8"/>
      <c r="H125" s="8"/>
      <c r="I125" s="8"/>
      <c r="J125" s="8"/>
      <c r="K125" s="8"/>
    </row>
    <row r="126" customFormat="false" ht="17.25" hidden="false" customHeight="true" outlineLevel="0" collapsed="false">
      <c r="B126" s="106" t="s">
        <v>6712</v>
      </c>
      <c r="C126" s="106"/>
      <c r="D126" s="106"/>
      <c r="E126" s="106"/>
      <c r="F126" s="106"/>
      <c r="N126" s="169" t="s">
        <v>1515</v>
      </c>
    </row>
    <row r="127" customFormat="false" ht="44.25" hidden="false" customHeight="true" outlineLevel="0" collapsed="false">
      <c r="B127" s="106" t="s">
        <v>10530</v>
      </c>
      <c r="C127" s="106"/>
      <c r="D127" s="106"/>
      <c r="E127" s="106"/>
      <c r="F127" s="106"/>
      <c r="N127" s="120" t="s">
        <v>10531</v>
      </c>
    </row>
    <row r="128" customFormat="false" ht="44.25" hidden="false" customHeight="true" outlineLevel="0" collapsed="false">
      <c r="B128" s="106" t="s">
        <v>10532</v>
      </c>
      <c r="C128" s="106"/>
      <c r="D128" s="106"/>
      <c r="E128" s="106"/>
      <c r="F128" s="106"/>
      <c r="N128" s="120" t="s">
        <v>10533</v>
      </c>
    </row>
    <row r="129" customFormat="false" ht="44.25" hidden="false" customHeight="true" outlineLevel="0" collapsed="false">
      <c r="B129" s="106" t="s">
        <v>10534</v>
      </c>
      <c r="C129" s="106"/>
      <c r="D129" s="106"/>
      <c r="E129" s="106"/>
      <c r="F129" s="106"/>
      <c r="N129" s="120" t="s">
        <v>10535</v>
      </c>
    </row>
    <row r="131" customFormat="false" ht="15.75" hidden="false" customHeight="true" outlineLevel="0" collapsed="false">
      <c r="B131" s="103" t="s">
        <v>1522</v>
      </c>
      <c r="C131" s="8"/>
      <c r="D131" s="8"/>
      <c r="E131" s="8"/>
      <c r="F131" s="8"/>
      <c r="G131" s="8"/>
      <c r="H131" s="8"/>
      <c r="I131" s="8"/>
      <c r="J131" s="8"/>
      <c r="K131" s="8"/>
    </row>
    <row r="132" customFormat="false" ht="17.25" hidden="false" customHeight="true" outlineLevel="0" collapsed="false">
      <c r="B132" s="152" t="s">
        <v>1523</v>
      </c>
      <c r="C132" s="152" t="s">
        <v>1524</v>
      </c>
      <c r="D132" s="152" t="s">
        <v>6719</v>
      </c>
      <c r="E132" s="152"/>
      <c r="F132" s="152"/>
    </row>
    <row r="133" customFormat="false" ht="17.25" hidden="false" customHeight="true" outlineLevel="0" collapsed="false">
      <c r="B133" s="170" t="s">
        <v>10132</v>
      </c>
      <c r="C133" s="170" t="s">
        <v>9811</v>
      </c>
      <c r="D133" s="171" t="s">
        <v>1250</v>
      </c>
      <c r="E133" s="171"/>
      <c r="F133" s="171"/>
    </row>
  </sheetData>
  <mergeCells count="70">
    <mergeCell ref="B2:J2"/>
    <mergeCell ref="D3:F3"/>
    <mergeCell ref="C6:D6"/>
    <mergeCell ref="C7:D7"/>
    <mergeCell ref="C8:D8"/>
    <mergeCell ref="B11:F13"/>
    <mergeCell ref="B14:F15"/>
    <mergeCell ref="B16:F16"/>
    <mergeCell ref="B17:F18"/>
    <mergeCell ref="B19:F21"/>
    <mergeCell ref="B22:F24"/>
    <mergeCell ref="B25:F26"/>
    <mergeCell ref="B29:C29"/>
    <mergeCell ref="E29:F29"/>
    <mergeCell ref="B30:C30"/>
    <mergeCell ref="E30:F30"/>
    <mergeCell ref="B31:C31"/>
    <mergeCell ref="E31:F31"/>
    <mergeCell ref="B32:C32"/>
    <mergeCell ref="E32:F32"/>
    <mergeCell ref="B33:F33"/>
    <mergeCell ref="B42:F42"/>
    <mergeCell ref="B43:F43"/>
    <mergeCell ref="B44:F44"/>
    <mergeCell ref="B45:F45"/>
    <mergeCell ref="B47:F47"/>
    <mergeCell ref="B48:F48"/>
    <mergeCell ref="B51:F52"/>
    <mergeCell ref="B54:F55"/>
    <mergeCell ref="D58:F58"/>
    <mergeCell ref="D59:F59"/>
    <mergeCell ref="D60:F60"/>
    <mergeCell ref="D61:F61"/>
    <mergeCell ref="D62:F62"/>
    <mergeCell ref="B65:F67"/>
    <mergeCell ref="B70:F70"/>
    <mergeCell ref="B71:F71"/>
    <mergeCell ref="E80:F80"/>
    <mergeCell ref="E81:F81"/>
    <mergeCell ref="E82:F82"/>
    <mergeCell ref="E83:F83"/>
    <mergeCell ref="E84:F84"/>
    <mergeCell ref="E85:F85"/>
    <mergeCell ref="E86:F86"/>
    <mergeCell ref="B98:F98"/>
    <mergeCell ref="D100:F100"/>
    <mergeCell ref="D101:F101"/>
    <mergeCell ref="D102:F102"/>
    <mergeCell ref="D103:F103"/>
    <mergeCell ref="D104:F104"/>
    <mergeCell ref="D105:F105"/>
    <mergeCell ref="D106:F106"/>
    <mergeCell ref="C109:F109"/>
    <mergeCell ref="D111:F111"/>
    <mergeCell ref="D112:F112"/>
    <mergeCell ref="D113:F113"/>
    <mergeCell ref="D114:F114"/>
    <mergeCell ref="D115:F115"/>
    <mergeCell ref="D116:F116"/>
    <mergeCell ref="B119:F119"/>
    <mergeCell ref="B120:F120"/>
    <mergeCell ref="B121:F121"/>
    <mergeCell ref="B122:F122"/>
    <mergeCell ref="B123:F123"/>
    <mergeCell ref="B126:F126"/>
    <mergeCell ref="B127:F127"/>
    <mergeCell ref="B128:F128"/>
    <mergeCell ref="B129:F129"/>
    <mergeCell ref="D132:F132"/>
    <mergeCell ref="D133:F133"/>
  </mergeCells>
  <hyperlinks>
    <hyperlink ref="B3" location="'N-03 Index DMAIC'!A1" display="← Back to Index"/>
    <hyperlink ref="E36" location="'E-05 Sampling Subgroups'!A1" display="E-05  Sampling and Rational Subgrouping"/>
    <hyperlink ref="E37" location="'H-03 VOC and CTQ Tree'!A1" display="H-03  VOC and CTQ Tree"/>
    <hyperlink ref="E38" location="'H-05 Check Sheets'!A1" display="H-05  Check Sheets"/>
    <hyperlink ref="E39" location="'H-03 VOC and CTQ Tree'!A1" display="H-03  VOC and CTQ Tree"/>
    <hyperlink ref="B133" location="'H-03 VOC and CTQ Tree'!A1" display="H-03  VOC and CTQ Tree"/>
    <hyperlink ref="C133" location="'H-12 Cause Effect Matrix'!A1" display="H-12  Cause and Effect Matrix"/>
    <hyperlink ref="D133" location="'H-01 Project Charter'!A1" display="H-01  Project Chart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8"/>
    <col collapsed="false" customWidth="true" hidden="false" outlineLevel="0" max="5" min="4" style="1" width="30"/>
    <col collapsed="false" customWidth="true" hidden="false" outlineLevel="0" max="7" min="6" style="1" width="14"/>
    <col collapsed="false" customWidth="true" hidden="false" outlineLevel="0" max="8" min="8" style="1" width="16"/>
    <col collapsed="false" customWidth="true" hidden="false" outlineLevel="0" max="10" min="9" style="1" width="18"/>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10536</v>
      </c>
      <c r="C2" s="148"/>
      <c r="D2" s="148"/>
      <c r="E2" s="148"/>
      <c r="F2" s="148"/>
      <c r="G2" s="148"/>
      <c r="H2" s="148"/>
      <c r="I2" s="148"/>
      <c r="J2" s="148"/>
      <c r="K2" s="172" t="s">
        <v>1389</v>
      </c>
    </row>
    <row r="3" customFormat="false" ht="54.75" hidden="false" customHeight="true" outlineLevel="0" collapsed="false">
      <c r="B3" s="150" t="s">
        <v>3</v>
      </c>
      <c r="D3" s="151" t="s">
        <v>10537</v>
      </c>
      <c r="E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10538</v>
      </c>
      <c r="D6" s="106"/>
    </row>
    <row r="7" customFormat="false" ht="31.5" hidden="false" customHeight="true" outlineLevel="0" collapsed="false">
      <c r="B7" s="105" t="s">
        <v>1394</v>
      </c>
      <c r="C7" s="106" t="s">
        <v>10539</v>
      </c>
      <c r="D7" s="106"/>
    </row>
    <row r="8" customFormat="false" ht="31.5" hidden="false" customHeight="true" outlineLevel="0" collapsed="false">
      <c r="B8" s="105" t="s">
        <v>1396</v>
      </c>
      <c r="C8" s="106" t="s">
        <v>10540</v>
      </c>
      <c r="D8" s="106"/>
    </row>
    <row r="10" customFormat="false" ht="15.75" hidden="false" customHeight="true" outlineLevel="0" collapsed="false">
      <c r="B10" s="103" t="s">
        <v>1398</v>
      </c>
      <c r="C10" s="8"/>
      <c r="D10" s="8"/>
      <c r="E10" s="8"/>
      <c r="F10" s="8"/>
      <c r="G10" s="8"/>
      <c r="H10" s="8"/>
      <c r="I10" s="8"/>
      <c r="J10" s="8"/>
      <c r="K10" s="8"/>
    </row>
    <row r="11" customFormat="false" ht="15.75" hidden="false" customHeight="true" outlineLevel="0" collapsed="false">
      <c r="B11" s="106" t="s">
        <v>10541</v>
      </c>
      <c r="C11" s="106"/>
      <c r="D11" s="106"/>
      <c r="E11" s="106"/>
    </row>
    <row r="12" customFormat="false" ht="15.75" hidden="false" customHeight="true" outlineLevel="0" collapsed="false">
      <c r="B12" s="106"/>
      <c r="C12" s="106"/>
      <c r="D12" s="106"/>
      <c r="E12" s="106"/>
    </row>
    <row r="13" customFormat="false" ht="11.25" hidden="false" customHeight="true" outlineLevel="0" collapsed="false">
      <c r="B13" s="106" t="s">
        <v>10542</v>
      </c>
      <c r="C13" s="106"/>
      <c r="D13" s="106"/>
      <c r="E13" s="106"/>
    </row>
    <row r="14" customFormat="false" ht="11.25" hidden="false" customHeight="true" outlineLevel="0" collapsed="false">
      <c r="B14" s="106"/>
      <c r="C14" s="106"/>
      <c r="D14" s="106"/>
      <c r="E14" s="106"/>
    </row>
    <row r="15" customFormat="false" ht="11.25" hidden="false" customHeight="true" outlineLevel="0" collapsed="false">
      <c r="B15" s="106"/>
      <c r="C15" s="106"/>
      <c r="D15" s="106"/>
      <c r="E15" s="106"/>
    </row>
    <row r="16" customFormat="false" ht="11.25" hidden="false" customHeight="true" outlineLevel="0" collapsed="false">
      <c r="B16" s="106"/>
      <c r="C16" s="106"/>
      <c r="D16" s="106"/>
      <c r="E16" s="106"/>
    </row>
    <row r="17" customFormat="false" ht="10.5" hidden="false" customHeight="true" outlineLevel="0" collapsed="false">
      <c r="B17" s="106" t="s">
        <v>10543</v>
      </c>
      <c r="C17" s="106"/>
      <c r="D17" s="106"/>
      <c r="E17" s="106"/>
    </row>
    <row r="18" customFormat="false" ht="10.5" hidden="false" customHeight="true" outlineLevel="0" collapsed="false">
      <c r="B18" s="106"/>
      <c r="C18" s="106"/>
      <c r="D18" s="106"/>
      <c r="E18" s="106"/>
    </row>
    <row r="19" customFormat="false" ht="10.5" hidden="false" customHeight="true" outlineLevel="0" collapsed="false">
      <c r="B19" s="106"/>
      <c r="C19" s="106"/>
      <c r="D19" s="106"/>
      <c r="E19" s="106"/>
    </row>
    <row r="20" customFormat="false" ht="11.25" hidden="false" customHeight="true" outlineLevel="0" collapsed="false">
      <c r="B20" s="106" t="s">
        <v>10544</v>
      </c>
      <c r="C20" s="106"/>
      <c r="D20" s="106"/>
      <c r="E20" s="106"/>
    </row>
    <row r="21" customFormat="false" ht="11.25" hidden="false" customHeight="true" outlineLevel="0" collapsed="false">
      <c r="B21" s="106"/>
      <c r="C21" s="106"/>
      <c r="D21" s="106"/>
      <c r="E21" s="106"/>
    </row>
    <row r="22" customFormat="false" ht="11.25" hidden="false" customHeight="true" outlineLevel="0" collapsed="false">
      <c r="B22" s="106"/>
      <c r="C22" s="106"/>
      <c r="D22" s="106"/>
      <c r="E22" s="106"/>
    </row>
    <row r="23" customFormat="false" ht="11.25" hidden="false" customHeight="true" outlineLevel="0" collapsed="false">
      <c r="B23" s="106"/>
      <c r="C23" s="106"/>
      <c r="D23" s="106"/>
      <c r="E23" s="106"/>
    </row>
    <row r="24" customFormat="false" ht="15.75" hidden="false" customHeight="true" outlineLevel="0" collapsed="false">
      <c r="B24" s="106" t="s">
        <v>10545</v>
      </c>
      <c r="C24" s="106"/>
      <c r="D24" s="106"/>
      <c r="E24" s="106"/>
    </row>
    <row r="25" customFormat="false" ht="15.75" hidden="false" customHeight="true" outlineLevel="0" collapsed="false">
      <c r="B25" s="106"/>
      <c r="C25" s="106"/>
      <c r="D25" s="106"/>
      <c r="E25" s="106"/>
    </row>
    <row r="27" customFormat="false" ht="15.75" hidden="false" customHeight="true" outlineLevel="0" collapsed="false">
      <c r="B27" s="103" t="s">
        <v>1406</v>
      </c>
      <c r="C27" s="8"/>
      <c r="D27" s="8"/>
      <c r="E27" s="8"/>
      <c r="F27" s="8"/>
      <c r="G27" s="8"/>
      <c r="H27" s="8"/>
      <c r="I27" s="8"/>
      <c r="J27" s="8"/>
      <c r="K27" s="8"/>
    </row>
    <row r="28" customFormat="false" ht="17.25" hidden="false" customHeight="true" outlineLevel="0" collapsed="false">
      <c r="B28" s="107" t="s">
        <v>1407</v>
      </c>
      <c r="C28" s="107"/>
      <c r="E28" s="107" t="s">
        <v>1408</v>
      </c>
      <c r="F28" s="107"/>
    </row>
    <row r="29" customFormat="false" ht="31.5" hidden="false" customHeight="true" outlineLevel="0" collapsed="false">
      <c r="B29" s="106" t="s">
        <v>10546</v>
      </c>
      <c r="C29" s="106"/>
      <c r="E29" s="106" t="s">
        <v>10547</v>
      </c>
      <c r="F29" s="106"/>
    </row>
    <row r="30" customFormat="false" ht="31.5" hidden="false" customHeight="true" outlineLevel="0" collapsed="false">
      <c r="B30" s="106" t="s">
        <v>10548</v>
      </c>
      <c r="C30" s="106"/>
      <c r="E30" s="106" t="s">
        <v>10549</v>
      </c>
      <c r="F30" s="106"/>
    </row>
    <row r="31" customFormat="false" ht="31.5" hidden="false" customHeight="true" outlineLevel="0" collapsed="false">
      <c r="B31" s="106" t="s">
        <v>10550</v>
      </c>
      <c r="C31" s="106"/>
      <c r="E31" s="106" t="s">
        <v>10551</v>
      </c>
      <c r="F31" s="106"/>
    </row>
    <row r="32" customFormat="false" ht="17.25" hidden="false" customHeight="true" outlineLevel="0" collapsed="false">
      <c r="B32" s="106" t="s">
        <v>10552</v>
      </c>
      <c r="C32" s="106"/>
      <c r="D32" s="106"/>
      <c r="E32" s="106"/>
    </row>
    <row r="34" customFormat="false" ht="16.5" hidden="false" customHeight="true" outlineLevel="0" collapsed="false">
      <c r="B34" s="152" t="s">
        <v>6621</v>
      </c>
      <c r="C34" s="152" t="s">
        <v>1417</v>
      </c>
      <c r="D34" s="152" t="s">
        <v>1418</v>
      </c>
      <c r="E34" s="152" t="s">
        <v>1419</v>
      </c>
    </row>
    <row r="35" customFormat="false" ht="44.25" hidden="false" customHeight="true" outlineLevel="0" collapsed="false">
      <c r="B35" s="15" t="s">
        <v>10553</v>
      </c>
      <c r="C35" s="15" t="s">
        <v>10554</v>
      </c>
      <c r="D35" s="15" t="s">
        <v>10555</v>
      </c>
      <c r="E35" s="153" t="s">
        <v>10556</v>
      </c>
    </row>
    <row r="36" customFormat="false" ht="44.25" hidden="false" customHeight="true" outlineLevel="0" collapsed="false">
      <c r="B36" s="15" t="s">
        <v>10557</v>
      </c>
      <c r="C36" s="15" t="s">
        <v>10558</v>
      </c>
      <c r="D36" s="15" t="s">
        <v>10559</v>
      </c>
      <c r="E36" s="153" t="s">
        <v>1223</v>
      </c>
    </row>
    <row r="37" customFormat="false" ht="30.75" hidden="false" customHeight="true" outlineLevel="0" collapsed="false">
      <c r="B37" s="15" t="s">
        <v>1426</v>
      </c>
      <c r="C37" s="15" t="s">
        <v>10560</v>
      </c>
      <c r="D37" s="15" t="s">
        <v>10561</v>
      </c>
      <c r="E37" s="153" t="s">
        <v>1068</v>
      </c>
    </row>
    <row r="38" customFormat="false" ht="44.25" hidden="false" customHeight="true" outlineLevel="0" collapsed="false">
      <c r="B38" s="15" t="s">
        <v>10562</v>
      </c>
      <c r="C38" s="15" t="s">
        <v>10563</v>
      </c>
      <c r="D38" s="15" t="s">
        <v>10564</v>
      </c>
      <c r="E38" s="153" t="s">
        <v>9839</v>
      </c>
    </row>
    <row r="40" customFormat="false" ht="15.75" hidden="false" customHeight="true" outlineLevel="0" collapsed="false">
      <c r="B40" s="103" t="s">
        <v>1429</v>
      </c>
      <c r="C40" s="8"/>
      <c r="D40" s="8"/>
      <c r="E40" s="8"/>
      <c r="F40" s="8"/>
      <c r="G40" s="8"/>
      <c r="H40" s="8"/>
      <c r="I40" s="8"/>
      <c r="J40" s="8"/>
      <c r="K40" s="8"/>
    </row>
    <row r="41" customFormat="false" ht="17.25" hidden="false" customHeight="true" outlineLevel="0" collapsed="false">
      <c r="B41" s="106" t="s">
        <v>10565</v>
      </c>
      <c r="C41" s="106"/>
      <c r="D41" s="106"/>
      <c r="E41" s="106"/>
    </row>
    <row r="42" customFormat="false" ht="15" hidden="false" customHeight="true" outlineLevel="0" collapsed="false">
      <c r="B42" s="122"/>
    </row>
    <row r="43" customFormat="false" ht="8.25" hidden="false" customHeight="true" outlineLevel="0" collapsed="false">
      <c r="B43" s="106" t="s">
        <v>10566</v>
      </c>
      <c r="C43" s="106"/>
      <c r="D43" s="106"/>
      <c r="E43" s="106"/>
    </row>
    <row r="44" customFormat="false" ht="8.25" hidden="false" customHeight="true" outlineLevel="0" collapsed="false">
      <c r="B44" s="106"/>
      <c r="C44" s="106"/>
      <c r="D44" s="106"/>
      <c r="E44" s="106"/>
    </row>
    <row r="45" customFormat="false" ht="17.25" hidden="false" customHeight="true" outlineLevel="0" collapsed="false">
      <c r="B45" s="106" t="s">
        <v>10567</v>
      </c>
      <c r="C45" s="106"/>
      <c r="D45" s="106"/>
      <c r="E45" s="106"/>
    </row>
    <row r="46" customFormat="false" ht="15" hidden="false" customHeight="true" outlineLevel="0" collapsed="false">
      <c r="B46" s="122"/>
    </row>
    <row r="47" customFormat="false" ht="17.25" hidden="false" customHeight="true" outlineLevel="0" collapsed="false">
      <c r="B47" s="106" t="s">
        <v>10568</v>
      </c>
      <c r="C47" s="106"/>
      <c r="D47" s="106"/>
      <c r="E47" s="106"/>
    </row>
    <row r="48" customFormat="false" ht="17.25" hidden="false" customHeight="true" outlineLevel="0" collapsed="false">
      <c r="B48" s="106" t="s">
        <v>10569</v>
      </c>
      <c r="C48" s="106"/>
      <c r="D48" s="106"/>
      <c r="E48" s="106"/>
    </row>
    <row r="49" customFormat="false" ht="17.25" hidden="false" customHeight="true" outlineLevel="0" collapsed="false">
      <c r="B49" s="106" t="s">
        <v>10570</v>
      </c>
      <c r="C49" s="106"/>
      <c r="D49" s="106"/>
      <c r="E49" s="106"/>
    </row>
    <row r="50" customFormat="false" ht="17.25" hidden="false" customHeight="true" outlineLevel="0" collapsed="false">
      <c r="B50" s="106" t="s">
        <v>10571</v>
      </c>
      <c r="C50" s="106"/>
      <c r="D50" s="106"/>
      <c r="E50" s="106"/>
    </row>
    <row r="51" customFormat="false" ht="15" hidden="false" customHeight="true" outlineLevel="0" collapsed="false">
      <c r="B51" s="122"/>
    </row>
    <row r="52" customFormat="false" ht="17.25" hidden="false" customHeight="true" outlineLevel="0" collapsed="false">
      <c r="B52" s="106" t="s">
        <v>10572</v>
      </c>
      <c r="C52" s="106"/>
      <c r="D52" s="106"/>
      <c r="E52" s="106"/>
    </row>
    <row r="53" customFormat="false" ht="17.25" hidden="false" customHeight="true" outlineLevel="0" collapsed="false">
      <c r="B53" s="106" t="s">
        <v>10573</v>
      </c>
      <c r="C53" s="106"/>
      <c r="D53" s="106"/>
      <c r="E53" s="106"/>
    </row>
    <row r="55" customFormat="false" ht="15.75" hidden="false" customHeight="true" outlineLevel="0" collapsed="false">
      <c r="B55" s="103" t="s">
        <v>1437</v>
      </c>
      <c r="C55" s="8"/>
      <c r="D55" s="8"/>
      <c r="E55" s="8"/>
      <c r="F55" s="8"/>
      <c r="G55" s="8"/>
      <c r="H55" s="8"/>
      <c r="I55" s="8"/>
      <c r="J55" s="8"/>
      <c r="K55" s="8"/>
    </row>
    <row r="56" customFormat="false" ht="17.25" hidden="false" customHeight="true" outlineLevel="0" collapsed="false">
      <c r="B56" s="152" t="s">
        <v>1438</v>
      </c>
      <c r="C56" s="152" t="s">
        <v>1439</v>
      </c>
      <c r="D56" s="152" t="s">
        <v>1440</v>
      </c>
      <c r="E56" s="152"/>
    </row>
    <row r="57" customFormat="false" ht="17.25" hidden="false" customHeight="true" outlineLevel="0" collapsed="false">
      <c r="B57" s="15" t="s">
        <v>10574</v>
      </c>
      <c r="C57" s="15" t="s">
        <v>10575</v>
      </c>
      <c r="D57" s="15" t="s">
        <v>10576</v>
      </c>
      <c r="E57" s="15"/>
    </row>
    <row r="58" customFormat="false" ht="17.25" hidden="false" customHeight="true" outlineLevel="0" collapsed="false">
      <c r="B58" s="15" t="s">
        <v>10577</v>
      </c>
      <c r="C58" s="15" t="s">
        <v>10578</v>
      </c>
      <c r="D58" s="15" t="s">
        <v>10579</v>
      </c>
      <c r="E58" s="15"/>
    </row>
    <row r="59" customFormat="false" ht="17.25" hidden="false" customHeight="true" outlineLevel="0" collapsed="false">
      <c r="B59" s="15" t="s">
        <v>10580</v>
      </c>
      <c r="C59" s="15" t="s">
        <v>10581</v>
      </c>
      <c r="D59" s="15" t="s">
        <v>10582</v>
      </c>
      <c r="E59" s="15"/>
    </row>
    <row r="60" customFormat="false" ht="17.25" hidden="false" customHeight="true" outlineLevel="0" collapsed="false">
      <c r="B60" s="15" t="s">
        <v>10583</v>
      </c>
      <c r="C60" s="15" t="s">
        <v>10584</v>
      </c>
      <c r="D60" s="15" t="s">
        <v>10585</v>
      </c>
      <c r="E60" s="15"/>
    </row>
    <row r="62" customFormat="false" ht="15.75" hidden="false" customHeight="true" outlineLevel="0" collapsed="false">
      <c r="B62" s="103" t="s">
        <v>1454</v>
      </c>
      <c r="C62" s="8"/>
      <c r="D62" s="8"/>
      <c r="E62" s="8"/>
      <c r="F62" s="8"/>
      <c r="G62" s="8"/>
      <c r="H62" s="8"/>
      <c r="I62" s="8"/>
      <c r="J62" s="8"/>
      <c r="K62" s="8"/>
    </row>
    <row r="63" customFormat="false" ht="15.75" hidden="false" customHeight="true" outlineLevel="0" collapsed="false">
      <c r="B63" s="106" t="s">
        <v>10586</v>
      </c>
      <c r="C63" s="106"/>
      <c r="D63" s="106"/>
      <c r="E63" s="106"/>
    </row>
    <row r="64" customFormat="false" ht="15.75" hidden="false" customHeight="true" outlineLevel="0" collapsed="false">
      <c r="B64" s="106"/>
      <c r="C64" s="106"/>
      <c r="D64" s="106"/>
      <c r="E64" s="106"/>
    </row>
    <row r="65" customFormat="false" ht="15" hidden="false" customHeight="true" outlineLevel="0" collapsed="false">
      <c r="B65" s="112" t="s">
        <v>85</v>
      </c>
      <c r="C65" s="154" t="s">
        <v>86</v>
      </c>
    </row>
    <row r="67" customFormat="false" ht="17.25" hidden="false" customHeight="true" outlineLevel="0" collapsed="false">
      <c r="B67" s="107" t="s">
        <v>10587</v>
      </c>
      <c r="C67" s="107"/>
      <c r="D67" s="107"/>
      <c r="E67" s="107"/>
    </row>
    <row r="68" customFormat="false" ht="16.5" hidden="false" customHeight="true" outlineLevel="0" collapsed="false">
      <c r="B68" s="152" t="s">
        <v>7242</v>
      </c>
      <c r="C68" s="152" t="s">
        <v>1375</v>
      </c>
      <c r="D68" s="152" t="s">
        <v>8303</v>
      </c>
    </row>
    <row r="69" customFormat="false" ht="30.75" hidden="false" customHeight="true" outlineLevel="0" collapsed="false">
      <c r="B69" s="15" t="s">
        <v>10588</v>
      </c>
      <c r="C69" s="177" t="s">
        <v>10589</v>
      </c>
      <c r="D69" s="15" t="s">
        <v>10590</v>
      </c>
    </row>
    <row r="70" customFormat="false" ht="30.75" hidden="false" customHeight="true" outlineLevel="0" collapsed="false">
      <c r="B70" s="15" t="s">
        <v>10591</v>
      </c>
      <c r="C70" s="177" t="s">
        <v>10592</v>
      </c>
      <c r="D70" s="15" t="s">
        <v>10593</v>
      </c>
    </row>
    <row r="71" customFormat="false" ht="30.75" hidden="false" customHeight="true" outlineLevel="0" collapsed="false">
      <c r="B71" s="15" t="s">
        <v>10594</v>
      </c>
      <c r="C71" s="177" t="s">
        <v>10595</v>
      </c>
      <c r="D71" s="15" t="s">
        <v>10596</v>
      </c>
    </row>
    <row r="72" customFormat="false" ht="30.75" hidden="false" customHeight="true" outlineLevel="0" collapsed="false">
      <c r="B72" s="15" t="s">
        <v>10597</v>
      </c>
      <c r="C72" s="177" t="s">
        <v>10598</v>
      </c>
      <c r="D72" s="15" t="s">
        <v>10599</v>
      </c>
    </row>
    <row r="73" customFormat="false" ht="30.75" hidden="false" customHeight="true" outlineLevel="0" collapsed="false">
      <c r="B73" s="15" t="s">
        <v>10600</v>
      </c>
      <c r="C73" s="177" t="s">
        <v>10601</v>
      </c>
      <c r="D73" s="15" t="s">
        <v>10602</v>
      </c>
    </row>
    <row r="74" customFormat="false" ht="30.75" hidden="false" customHeight="true" outlineLevel="0" collapsed="false">
      <c r="B74" s="15" t="s">
        <v>10603</v>
      </c>
      <c r="C74" s="177" t="s">
        <v>10604</v>
      </c>
      <c r="D74" s="15" t="s">
        <v>10605</v>
      </c>
    </row>
    <row r="75" customFormat="false" ht="30.75" hidden="false" customHeight="true" outlineLevel="0" collapsed="false">
      <c r="B75" s="15" t="s">
        <v>10606</v>
      </c>
      <c r="C75" s="177" t="s">
        <v>10607</v>
      </c>
      <c r="D75" s="15" t="s">
        <v>10608</v>
      </c>
    </row>
    <row r="77" customFormat="false" ht="17.25" hidden="false" customHeight="true" outlineLevel="0" collapsed="false">
      <c r="B77" s="107" t="s">
        <v>10609</v>
      </c>
      <c r="C77" s="107"/>
      <c r="D77" s="107"/>
      <c r="E77" s="107"/>
    </row>
    <row r="78" customFormat="false" ht="16.5" hidden="false" customHeight="true" outlineLevel="0" collapsed="false">
      <c r="B78" s="152" t="s">
        <v>4089</v>
      </c>
      <c r="C78" s="152" t="s">
        <v>10610</v>
      </c>
      <c r="D78" s="152" t="s">
        <v>10611</v>
      </c>
      <c r="E78" s="152" t="s">
        <v>10612</v>
      </c>
    </row>
    <row r="79" customFormat="false" ht="30.75" hidden="false" customHeight="true" outlineLevel="0" collapsed="false">
      <c r="B79" s="177" t="s">
        <v>10613</v>
      </c>
      <c r="C79" s="177" t="s">
        <v>10614</v>
      </c>
      <c r="D79" s="177" t="s">
        <v>10615</v>
      </c>
      <c r="E79" s="177" t="s">
        <v>10616</v>
      </c>
    </row>
    <row r="80" customFormat="false" ht="30.75" hidden="false" customHeight="true" outlineLevel="0" collapsed="false">
      <c r="B80" s="177" t="s">
        <v>10617</v>
      </c>
      <c r="C80" s="177" t="s">
        <v>10618</v>
      </c>
      <c r="D80" s="177" t="s">
        <v>10615</v>
      </c>
      <c r="E80" s="177" t="s">
        <v>10616</v>
      </c>
    </row>
    <row r="81" customFormat="false" ht="30.75" hidden="false" customHeight="true" outlineLevel="0" collapsed="false">
      <c r="B81" s="177" t="s">
        <v>10619</v>
      </c>
      <c r="C81" s="177" t="s">
        <v>10620</v>
      </c>
      <c r="D81" s="177" t="s">
        <v>10621</v>
      </c>
      <c r="E81" s="177" t="s">
        <v>10622</v>
      </c>
    </row>
    <row r="82" customFormat="false" ht="30.75" hidden="false" customHeight="true" outlineLevel="0" collapsed="false">
      <c r="B82" s="177" t="s">
        <v>10623</v>
      </c>
      <c r="C82" s="177" t="s">
        <v>10624</v>
      </c>
      <c r="D82" s="177" t="s">
        <v>10625</v>
      </c>
      <c r="E82" s="177" t="s">
        <v>10626</v>
      </c>
    </row>
    <row r="83" customFormat="false" ht="30.75" hidden="false" customHeight="true" outlineLevel="0" collapsed="false">
      <c r="B83" s="177" t="s">
        <v>10627</v>
      </c>
      <c r="C83" s="177" t="s">
        <v>10628</v>
      </c>
      <c r="D83" s="177" t="s">
        <v>10629</v>
      </c>
      <c r="E83" s="177" t="s">
        <v>10630</v>
      </c>
    </row>
    <row r="84" customFormat="false" ht="30.75" hidden="false" customHeight="true" outlineLevel="0" collapsed="false">
      <c r="B84" s="177" t="s">
        <v>10631</v>
      </c>
      <c r="C84" s="177" t="s">
        <v>10632</v>
      </c>
      <c r="D84" s="177" t="s">
        <v>10633</v>
      </c>
      <c r="E84" s="177" t="s">
        <v>10634</v>
      </c>
    </row>
    <row r="86" customFormat="false" ht="17.25" hidden="false" customHeight="true" outlineLevel="0" collapsed="false">
      <c r="B86" s="107" t="s">
        <v>10635</v>
      </c>
      <c r="C86" s="107"/>
      <c r="D86" s="107"/>
      <c r="E86" s="107"/>
    </row>
    <row r="87" customFormat="false" ht="17.25" hidden="false" customHeight="true" outlineLevel="0" collapsed="false">
      <c r="B87" s="152" t="s">
        <v>4089</v>
      </c>
      <c r="C87" s="152" t="s">
        <v>3693</v>
      </c>
      <c r="D87" s="152" t="s">
        <v>3694</v>
      </c>
      <c r="E87" s="152" t="s">
        <v>3695</v>
      </c>
      <c r="F87" s="152" t="s">
        <v>3696</v>
      </c>
      <c r="G87" s="152" t="s">
        <v>3709</v>
      </c>
      <c r="H87" s="152" t="s">
        <v>10636</v>
      </c>
      <c r="I87" s="152" t="s">
        <v>10637</v>
      </c>
      <c r="J87" s="152"/>
    </row>
    <row r="88" customFormat="false" ht="17.25" hidden="false" customHeight="true" outlineLevel="0" collapsed="false">
      <c r="B88" s="15" t="s">
        <v>10613</v>
      </c>
      <c r="C88" s="155" t="n">
        <v>41</v>
      </c>
      <c r="D88" s="155" t="n">
        <v>38</v>
      </c>
      <c r="E88" s="155" t="n">
        <v>62</v>
      </c>
      <c r="F88" s="155" t="n">
        <v>44</v>
      </c>
      <c r="G88" s="161" t="n">
        <f aca="false">SUM(C88:F88)</f>
        <v>185</v>
      </c>
      <c r="H88" s="160" t="n">
        <f aca="false">IFERROR(G88/SUM($G$88:$G$95),0)</f>
        <v>0.208098987626547</v>
      </c>
      <c r="I88" s="161" t="n">
        <f aca="false">IFERROR(MAX(C88:F88)-MIN(C88:F88),0)</f>
        <v>24</v>
      </c>
      <c r="J88" s="161"/>
    </row>
    <row r="89" customFormat="false" ht="17.25" hidden="false" customHeight="true" outlineLevel="0" collapsed="false">
      <c r="B89" s="15" t="s">
        <v>10617</v>
      </c>
      <c r="C89" s="155" t="n">
        <v>22</v>
      </c>
      <c r="D89" s="155" t="n">
        <v>19</v>
      </c>
      <c r="E89" s="155" t="n">
        <v>24</v>
      </c>
      <c r="F89" s="155" t="n">
        <v>21</v>
      </c>
      <c r="G89" s="161" t="n">
        <f aca="false">SUM(C89:F89)</f>
        <v>86</v>
      </c>
      <c r="H89" s="160" t="n">
        <f aca="false">IFERROR(G89/SUM($G$88:$G$95),0)</f>
        <v>0.0967379077615298</v>
      </c>
      <c r="I89" s="161" t="n">
        <f aca="false">IFERROR(MAX(C89:F89)-MIN(C89:F89),0)</f>
        <v>5</v>
      </c>
      <c r="J89" s="161"/>
    </row>
    <row r="90" customFormat="false" ht="17.25" hidden="false" customHeight="true" outlineLevel="0" collapsed="false">
      <c r="B90" s="15" t="s">
        <v>10619</v>
      </c>
      <c r="C90" s="155" t="n">
        <v>18</v>
      </c>
      <c r="D90" s="155" t="n">
        <v>31</v>
      </c>
      <c r="E90" s="155" t="n">
        <v>22</v>
      </c>
      <c r="F90" s="155" t="n">
        <v>19</v>
      </c>
      <c r="G90" s="161" t="n">
        <f aca="false">SUM(C90:F90)</f>
        <v>90</v>
      </c>
      <c r="H90" s="160" t="n">
        <f aca="false">IFERROR(G90/SUM($G$88:$G$95),0)</f>
        <v>0.101237345331834</v>
      </c>
      <c r="I90" s="161" t="n">
        <f aca="false">IFERROR(MAX(C90:F90)-MIN(C90:F90),0)</f>
        <v>13</v>
      </c>
      <c r="J90" s="161"/>
    </row>
    <row r="91" customFormat="false" ht="17.25" hidden="false" customHeight="true" outlineLevel="0" collapsed="false">
      <c r="B91" s="15" t="s">
        <v>10623</v>
      </c>
      <c r="C91" s="155" t="n">
        <v>96</v>
      </c>
      <c r="D91" s="155" t="n">
        <v>88</v>
      </c>
      <c r="E91" s="155" t="n">
        <v>143</v>
      </c>
      <c r="F91" s="155" t="n">
        <v>91</v>
      </c>
      <c r="G91" s="161" t="n">
        <f aca="false">SUM(C91:F91)</f>
        <v>418</v>
      </c>
      <c r="H91" s="160" t="n">
        <f aca="false">IFERROR(G91/SUM($G$88:$G$95),0)</f>
        <v>0.470191226096738</v>
      </c>
      <c r="I91" s="161" t="n">
        <f aca="false">IFERROR(MAX(C91:F91)-MIN(C91:F91),0)</f>
        <v>55</v>
      </c>
      <c r="J91" s="161"/>
    </row>
    <row r="92" customFormat="false" ht="17.25" hidden="false" customHeight="true" outlineLevel="0" collapsed="false">
      <c r="B92" s="15" t="s">
        <v>10627</v>
      </c>
      <c r="C92" s="155" t="n">
        <v>12</v>
      </c>
      <c r="D92" s="155" t="n">
        <v>9</v>
      </c>
      <c r="E92" s="155" t="n">
        <v>14</v>
      </c>
      <c r="F92" s="155" t="n">
        <v>11</v>
      </c>
      <c r="G92" s="161" t="n">
        <f aca="false">SUM(C92:F92)</f>
        <v>46</v>
      </c>
      <c r="H92" s="160" t="n">
        <f aca="false">IFERROR(G92/SUM($G$88:$G$95),0)</f>
        <v>0.0517435320584927</v>
      </c>
      <c r="I92" s="161" t="n">
        <f aca="false">IFERROR(MAX(C92:F92)-MIN(C92:F92),0)</f>
        <v>5</v>
      </c>
      <c r="J92" s="161"/>
    </row>
    <row r="93" customFormat="false" ht="17.25" hidden="false" customHeight="true" outlineLevel="0" collapsed="false">
      <c r="B93" s="15" t="s">
        <v>10631</v>
      </c>
      <c r="C93" s="155" t="n">
        <v>1</v>
      </c>
      <c r="D93" s="155" t="n">
        <v>0</v>
      </c>
      <c r="E93" s="155" t="n">
        <v>2</v>
      </c>
      <c r="F93" s="155" t="n">
        <v>1</v>
      </c>
      <c r="G93" s="161" t="n">
        <f aca="false">SUM(C93:F93)</f>
        <v>4</v>
      </c>
      <c r="H93" s="160" t="n">
        <f aca="false">IFERROR(G93/SUM($G$88:$G$95),0)</f>
        <v>0.00449943757030371</v>
      </c>
      <c r="I93" s="161" t="n">
        <f aca="false">IFERROR(MAX(C93:F93)-MIN(C93:F93),0)</f>
        <v>2</v>
      </c>
      <c r="J93" s="161"/>
    </row>
    <row r="94" customFormat="false" ht="17.25" hidden="false" customHeight="true" outlineLevel="0" collapsed="false">
      <c r="B94" s="15" t="s">
        <v>10638</v>
      </c>
      <c r="C94" s="155" t="n">
        <v>8</v>
      </c>
      <c r="D94" s="155" t="n">
        <v>11</v>
      </c>
      <c r="E94" s="155" t="n">
        <v>9</v>
      </c>
      <c r="F94" s="155" t="n">
        <v>7</v>
      </c>
      <c r="G94" s="161" t="n">
        <f aca="false">SUM(C94:F94)</f>
        <v>35</v>
      </c>
      <c r="H94" s="160" t="n">
        <f aca="false">IFERROR(G94/SUM($G$88:$G$95),0)</f>
        <v>0.0393700787401575</v>
      </c>
      <c r="I94" s="161" t="n">
        <f aca="false">IFERROR(MAX(C94:F94)-MIN(C94:F94),0)</f>
        <v>4</v>
      </c>
      <c r="J94" s="161"/>
    </row>
    <row r="95" customFormat="false" ht="17.25" hidden="false" customHeight="true" outlineLevel="0" collapsed="false">
      <c r="B95" s="15" t="s">
        <v>10639</v>
      </c>
      <c r="C95" s="155" t="n">
        <v>5</v>
      </c>
      <c r="D95" s="155" t="n">
        <v>6</v>
      </c>
      <c r="E95" s="155" t="n">
        <v>8</v>
      </c>
      <c r="F95" s="155" t="n">
        <v>6</v>
      </c>
      <c r="G95" s="161" t="n">
        <f aca="false">SUM(C95:F95)</f>
        <v>25</v>
      </c>
      <c r="H95" s="160" t="n">
        <f aca="false">IFERROR(G95/SUM($G$88:$G$95),0)</f>
        <v>0.0281214848143982</v>
      </c>
      <c r="I95" s="161" t="n">
        <f aca="false">IFERROR(MAX(C95:F95)-MIN(C95:F95),0)</f>
        <v>3</v>
      </c>
      <c r="J95" s="161"/>
    </row>
    <row r="96" customFormat="false" ht="18.75" hidden="false" customHeight="true" outlineLevel="0" collapsed="false">
      <c r="B96" s="162" t="s">
        <v>48</v>
      </c>
      <c r="C96" s="185" t="n">
        <f aca="false">SUM(C88:C95)</f>
        <v>203</v>
      </c>
      <c r="D96" s="185" t="n">
        <f aca="false">SUM(D88:D95)</f>
        <v>202</v>
      </c>
      <c r="E96" s="185" t="n">
        <f aca="false">SUM(E88:E95)</f>
        <v>284</v>
      </c>
      <c r="F96" s="185" t="n">
        <f aca="false">SUM(F88:F95)</f>
        <v>200</v>
      </c>
      <c r="G96" s="185" t="n">
        <f aca="false">SUM(G88:G95)</f>
        <v>889</v>
      </c>
      <c r="H96" s="166" t="n">
        <f aca="false">IFERROR(SUM(H88:H95),0)</f>
        <v>1</v>
      </c>
      <c r="I96" s="196"/>
      <c r="J96" s="196"/>
    </row>
    <row r="98" customFormat="false" ht="17.25" hidden="false" customHeight="true" outlineLevel="0" collapsed="false">
      <c r="B98" s="152" t="s">
        <v>6689</v>
      </c>
      <c r="C98" s="152" t="s">
        <v>6654</v>
      </c>
      <c r="D98" s="152" t="s">
        <v>88</v>
      </c>
      <c r="E98" s="152"/>
    </row>
    <row r="99" customFormat="false" ht="17.25" hidden="false" customHeight="true" outlineLevel="0" collapsed="false">
      <c r="B99" s="15" t="s">
        <v>10640</v>
      </c>
      <c r="C99" s="161" t="n">
        <f aca="false">G96</f>
        <v>889</v>
      </c>
      <c r="D99" s="15" t="s">
        <v>10641</v>
      </c>
      <c r="E99" s="15"/>
    </row>
    <row r="100" customFormat="false" ht="17.25" hidden="false" customHeight="true" outlineLevel="0" collapsed="false">
      <c r="B100" s="15" t="s">
        <v>10642</v>
      </c>
      <c r="C100" s="167" t="str">
        <f aca="false">INDEX(B88:B95,MATCH(MAX(G88:G95),G88:G95,0))</f>
        <v>Label crooked</v>
      </c>
      <c r="D100" s="15" t="s">
        <v>10643</v>
      </c>
      <c r="E100" s="15"/>
    </row>
    <row r="101" customFormat="false" ht="17.25" hidden="false" customHeight="true" outlineLevel="0" collapsed="false">
      <c r="B101" s="15" t="s">
        <v>10644</v>
      </c>
      <c r="C101" s="160" t="n">
        <f aca="false">IFERROR(MAX(G88:G95)/G96,0)</f>
        <v>0.470191226096738</v>
      </c>
      <c r="D101" s="15" t="s">
        <v>10645</v>
      </c>
      <c r="E101" s="15"/>
    </row>
    <row r="102" customFormat="false" ht="17.25" hidden="false" customHeight="true" outlineLevel="0" collapsed="false">
      <c r="B102" s="15" t="s">
        <v>10646</v>
      </c>
      <c r="C102" s="167" t="str">
        <f aca="false">INDEX({"Shift A","Shift B","Shift C","Shift D"},MATCH(MAX(C96:F96),C96:F96,0))</f>
        <v>Shift C</v>
      </c>
      <c r="D102" s="15" t="s">
        <v>10647</v>
      </c>
      <c r="E102" s="15"/>
    </row>
    <row r="103" customFormat="false" ht="17.25" hidden="false" customHeight="true" outlineLevel="0" collapsed="false">
      <c r="B103" s="15" t="s">
        <v>10648</v>
      </c>
      <c r="C103" s="161" t="n">
        <f aca="false">MAX(I88:I95)</f>
        <v>55</v>
      </c>
      <c r="D103" s="15" t="s">
        <v>10649</v>
      </c>
      <c r="E103" s="15"/>
    </row>
    <row r="104" customFormat="false" ht="17.25" hidden="false" customHeight="true" outlineLevel="0" collapsed="false">
      <c r="B104" s="15" t="s">
        <v>10650</v>
      </c>
      <c r="C104" s="167" t="str">
        <f aca="false">INDEX(B88:B95,MATCH(MAX(I88:I95),I88:I95,0))</f>
        <v>Label crooked</v>
      </c>
      <c r="D104" s="15" t="s">
        <v>10651</v>
      </c>
      <c r="E104" s="15"/>
    </row>
    <row r="106" customFormat="false" ht="15.75" hidden="false" customHeight="true" outlineLevel="0" collapsed="false">
      <c r="B106" s="103" t="s">
        <v>1493</v>
      </c>
      <c r="C106" s="8"/>
      <c r="D106" s="8"/>
      <c r="E106" s="8"/>
      <c r="F106" s="8"/>
      <c r="G106" s="8"/>
      <c r="H106" s="8"/>
      <c r="I106" s="8"/>
      <c r="J106" s="8"/>
      <c r="K106" s="8"/>
    </row>
    <row r="107" customFormat="false" ht="65.25" hidden="false" customHeight="true" outlineLevel="0" collapsed="false">
      <c r="B107" s="105" t="s">
        <v>1494</v>
      </c>
      <c r="C107" s="168" t="str">
        <f aca="false">"The check sheet recorded "&amp;TEXT(C99,"0")&amp;" defects over 14 days. The largest single type is "&amp;C100&amp;" at "&amp;TEXT(C101,"0.0%")&amp;" of the total, and the largest between-shift spread is on "&amp;C104&amp;". "&amp;IF(C101&gt;0.3,"One defect type dominates: go straight to the Pareto (H-06) and then to root cause on that type alone.","No single defect dominates, so build the Pareto (H-06) before choosing where to work.")&amp;" The between-shift spread suggests stratifying by shift (H-09) before assuming a common cause."</f>
        <v>The check sheet recorded 889 defects over 14 days. The largest single type is Label crooked at 47.0% of the total, and the largest between-shift spread is on Label crooked. One defect type dominates: go straight to the Pareto (H-06) and then to root cause on that type alone. The between-shift spread suggests stratifying by shift (H-09) before assuming a common cause.</v>
      </c>
      <c r="D107" s="168"/>
      <c r="E107" s="168"/>
    </row>
    <row r="109" customFormat="false" ht="16.5" hidden="false" customHeight="true" outlineLevel="0" collapsed="false">
      <c r="B109" s="152" t="s">
        <v>1495</v>
      </c>
      <c r="C109" s="152" t="s">
        <v>1496</v>
      </c>
      <c r="D109" s="152" t="s">
        <v>1497</v>
      </c>
    </row>
    <row r="110" customFormat="false" ht="30.75" hidden="false" customHeight="true" outlineLevel="0" collapsed="false">
      <c r="B110" s="15" t="s">
        <v>10652</v>
      </c>
      <c r="C110" s="15" t="s">
        <v>10653</v>
      </c>
      <c r="D110" s="15" t="s">
        <v>10654</v>
      </c>
    </row>
    <row r="111" customFormat="false" ht="30.75" hidden="false" customHeight="true" outlineLevel="0" collapsed="false">
      <c r="B111" s="15" t="s">
        <v>10655</v>
      </c>
      <c r="C111" s="15" t="s">
        <v>10656</v>
      </c>
      <c r="D111" s="15" t="s">
        <v>10657</v>
      </c>
    </row>
    <row r="112" customFormat="false" ht="30.75" hidden="false" customHeight="true" outlineLevel="0" collapsed="false">
      <c r="B112" s="15" t="s">
        <v>10658</v>
      </c>
      <c r="C112" s="15" t="s">
        <v>10659</v>
      </c>
      <c r="D112" s="15" t="s">
        <v>10660</v>
      </c>
    </row>
    <row r="113" customFormat="false" ht="30.75" hidden="false" customHeight="true" outlineLevel="0" collapsed="false">
      <c r="B113" s="15" t="s">
        <v>10661</v>
      </c>
      <c r="C113" s="15" t="s">
        <v>10662</v>
      </c>
      <c r="D113" s="15" t="s">
        <v>10663</v>
      </c>
    </row>
    <row r="115" customFormat="false" ht="15" hidden="false" customHeight="true" outlineLevel="0" collapsed="false">
      <c r="B115" s="105" t="s">
        <v>1507</v>
      </c>
    </row>
    <row r="116" customFormat="false" ht="17.25" hidden="false" customHeight="true" outlineLevel="0" collapsed="false">
      <c r="B116" s="106" t="s">
        <v>10664</v>
      </c>
      <c r="C116" s="106"/>
      <c r="D116" s="106"/>
      <c r="E116" s="106"/>
    </row>
    <row r="117" customFormat="false" ht="17.25" hidden="false" customHeight="true" outlineLevel="0" collapsed="false">
      <c r="B117" s="106" t="s">
        <v>10665</v>
      </c>
      <c r="C117" s="106"/>
      <c r="D117" s="106"/>
      <c r="E117" s="106"/>
    </row>
    <row r="118" customFormat="false" ht="17.25" hidden="false" customHeight="true" outlineLevel="0" collapsed="false">
      <c r="B118" s="106" t="s">
        <v>10666</v>
      </c>
      <c r="C118" s="106"/>
      <c r="D118" s="106"/>
      <c r="E118" s="106"/>
    </row>
    <row r="119" customFormat="false" ht="17.25" hidden="false" customHeight="true" outlineLevel="0" collapsed="false">
      <c r="B119" s="106" t="s">
        <v>10667</v>
      </c>
      <c r="C119" s="106"/>
      <c r="D119" s="106"/>
      <c r="E119" s="106"/>
    </row>
    <row r="120" customFormat="false" ht="17.25" hidden="false" customHeight="true" outlineLevel="0" collapsed="false">
      <c r="B120" s="106" t="s">
        <v>10668</v>
      </c>
      <c r="C120" s="106"/>
      <c r="D120" s="106"/>
      <c r="E120" s="106"/>
    </row>
    <row r="122" customFormat="false" ht="15.75" hidden="false" customHeight="true" outlineLevel="0" collapsed="false">
      <c r="B122" s="103" t="s">
        <v>1513</v>
      </c>
      <c r="C122" s="8"/>
      <c r="D122" s="8"/>
      <c r="E122" s="8"/>
      <c r="F122" s="8"/>
      <c r="G122" s="8"/>
      <c r="H122" s="8"/>
      <c r="I122" s="8"/>
      <c r="J122" s="8"/>
      <c r="K122" s="8"/>
    </row>
    <row r="123" customFormat="false" ht="17.25" hidden="false" customHeight="true" outlineLevel="0" collapsed="false">
      <c r="B123" s="106" t="s">
        <v>6712</v>
      </c>
      <c r="C123" s="106"/>
      <c r="D123" s="106"/>
      <c r="E123" s="106"/>
      <c r="N123" s="169" t="s">
        <v>1515</v>
      </c>
    </row>
    <row r="124" customFormat="false" ht="58.5" hidden="false" customHeight="true" outlineLevel="0" collapsed="false">
      <c r="B124" s="106" t="s">
        <v>10669</v>
      </c>
      <c r="C124" s="106"/>
      <c r="D124" s="106"/>
      <c r="E124" s="106"/>
      <c r="N124" s="120" t="s">
        <v>10670</v>
      </c>
    </row>
    <row r="125" customFormat="false" ht="44.25" hidden="false" customHeight="true" outlineLevel="0" collapsed="false">
      <c r="B125" s="106" t="s">
        <v>10671</v>
      </c>
      <c r="C125" s="106"/>
      <c r="D125" s="106"/>
      <c r="E125" s="106"/>
      <c r="N125" s="120" t="s">
        <v>10672</v>
      </c>
    </row>
    <row r="126" customFormat="false" ht="44.25" hidden="false" customHeight="true" outlineLevel="0" collapsed="false">
      <c r="B126" s="106" t="s">
        <v>10673</v>
      </c>
      <c r="C126" s="106"/>
      <c r="D126" s="106"/>
      <c r="E126" s="106"/>
      <c r="N126" s="120" t="s">
        <v>10674</v>
      </c>
    </row>
    <row r="128" customFormat="false" ht="15.75" hidden="false" customHeight="true" outlineLevel="0" collapsed="false">
      <c r="B128" s="103" t="s">
        <v>1522</v>
      </c>
      <c r="C128" s="8"/>
      <c r="D128" s="8"/>
      <c r="E128" s="8"/>
      <c r="F128" s="8"/>
      <c r="G128" s="8"/>
      <c r="H128" s="8"/>
      <c r="I128" s="8"/>
      <c r="J128" s="8"/>
      <c r="K128" s="8"/>
    </row>
    <row r="129" customFormat="false" ht="30.75" hidden="false" customHeight="true" outlineLevel="0" collapsed="false">
      <c r="B129" s="152" t="s">
        <v>1523</v>
      </c>
      <c r="C129" s="152" t="s">
        <v>1524</v>
      </c>
      <c r="D129" s="152" t="s">
        <v>6719</v>
      </c>
    </row>
    <row r="130" customFormat="false" ht="16.5" hidden="false" customHeight="true" outlineLevel="0" collapsed="false">
      <c r="B130" s="170" t="s">
        <v>9969</v>
      </c>
      <c r="C130" s="170" t="s">
        <v>1068</v>
      </c>
      <c r="D130" s="170" t="s">
        <v>1070</v>
      </c>
    </row>
  </sheetData>
  <mergeCells count="64">
    <mergeCell ref="B2:J2"/>
    <mergeCell ref="D3:E3"/>
    <mergeCell ref="C6:D6"/>
    <mergeCell ref="C7:D7"/>
    <mergeCell ref="C8:D8"/>
    <mergeCell ref="B11:E12"/>
    <mergeCell ref="B13:E16"/>
    <mergeCell ref="B17:E19"/>
    <mergeCell ref="B20:E23"/>
    <mergeCell ref="B24:E25"/>
    <mergeCell ref="B28:C28"/>
    <mergeCell ref="E28:F28"/>
    <mergeCell ref="B29:C29"/>
    <mergeCell ref="E29:F29"/>
    <mergeCell ref="B30:C30"/>
    <mergeCell ref="E30:F30"/>
    <mergeCell ref="B31:C31"/>
    <mergeCell ref="E31:F31"/>
    <mergeCell ref="B32:E32"/>
    <mergeCell ref="B41:E41"/>
    <mergeCell ref="B43:E44"/>
    <mergeCell ref="B45:E45"/>
    <mergeCell ref="B47:E47"/>
    <mergeCell ref="B48:E48"/>
    <mergeCell ref="B49:E49"/>
    <mergeCell ref="B50:E50"/>
    <mergeCell ref="B52:E52"/>
    <mergeCell ref="B53:E53"/>
    <mergeCell ref="D56:E56"/>
    <mergeCell ref="D57:E57"/>
    <mergeCell ref="D58:E58"/>
    <mergeCell ref="D59:E59"/>
    <mergeCell ref="D60:E60"/>
    <mergeCell ref="B63:E64"/>
    <mergeCell ref="B67:E67"/>
    <mergeCell ref="B77:E77"/>
    <mergeCell ref="B86:E86"/>
    <mergeCell ref="I87:J87"/>
    <mergeCell ref="I88:J88"/>
    <mergeCell ref="I89:J89"/>
    <mergeCell ref="I90:J90"/>
    <mergeCell ref="I91:J91"/>
    <mergeCell ref="I92:J92"/>
    <mergeCell ref="I93:J93"/>
    <mergeCell ref="I94:J94"/>
    <mergeCell ref="I95:J95"/>
    <mergeCell ref="I96:J96"/>
    <mergeCell ref="D98:E98"/>
    <mergeCell ref="D99:E99"/>
    <mergeCell ref="D100:E100"/>
    <mergeCell ref="D101:E101"/>
    <mergeCell ref="D102:E102"/>
    <mergeCell ref="D103:E103"/>
    <mergeCell ref="D104:E104"/>
    <mergeCell ref="C107:E107"/>
    <mergeCell ref="B116:E116"/>
    <mergeCell ref="B117:E117"/>
    <mergeCell ref="B118:E118"/>
    <mergeCell ref="B119:E119"/>
    <mergeCell ref="B120:E120"/>
    <mergeCell ref="B123:E123"/>
    <mergeCell ref="B124:E124"/>
    <mergeCell ref="B125:E125"/>
    <mergeCell ref="B126:E126"/>
  </mergeCells>
  <hyperlinks>
    <hyperlink ref="B3" location="'N-03 Index DMAIC'!A1" display="← Back to Index"/>
    <hyperlink ref="E35" location="'E-60 MSA Bias Linearity'!A1" display="E-60  MSA Bias and Linearity"/>
    <hyperlink ref="E36" location="'L-13 Visual Management'!A1" display="L-13  Visual Management"/>
    <hyperlink ref="E37" location="'H-06 Pareto Analysis'!A1" display="H-06  Pareto Analysis"/>
    <hyperlink ref="E38" location="'E-05 Sampling Subgroups'!A1" display="E-05  Sampling and Rational Subgrouping"/>
    <hyperlink ref="B130" location="'E-06 Data Collection Plan'!A1" display="E-06  Data Collection Plan"/>
    <hyperlink ref="C130" location="'H-06 Pareto Analysis'!A1" display="H-06  Pareto Analysis"/>
    <hyperlink ref="D130" location="'H-09 Stratification'!A1" display="H-09  Stratific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3" min="2" style="1" width="34"/>
    <col collapsed="false" customWidth="true" hidden="false" outlineLevel="0" max="4" min="4" style="1" width="12"/>
    <col collapsed="false" customWidth="true" hidden="false" outlineLevel="0" max="5" min="5" style="1" width="13"/>
    <col collapsed="false" customWidth="true" hidden="false" outlineLevel="0" max="6" min="6" style="1" width="14"/>
    <col collapsed="false" customWidth="true" hidden="false" outlineLevel="0" max="7" min="7" style="1" width="20"/>
    <col collapsed="false" customWidth="true" hidden="false" outlineLevel="0" max="8" min="8" style="1" width="18"/>
    <col collapsed="false" customWidth="true" hidden="false" outlineLevel="0" max="9" min="9" style="1" width="16"/>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10675</v>
      </c>
      <c r="C2" s="148"/>
      <c r="D2" s="148"/>
      <c r="E2" s="148"/>
      <c r="F2" s="148"/>
      <c r="G2" s="148"/>
      <c r="H2" s="148"/>
      <c r="I2" s="148"/>
      <c r="J2" s="148"/>
      <c r="K2" s="172" t="s">
        <v>1389</v>
      </c>
    </row>
    <row r="3" customFormat="false" ht="42" hidden="false" customHeight="true" outlineLevel="0" collapsed="false">
      <c r="B3" s="150" t="s">
        <v>3</v>
      </c>
      <c r="D3" s="151" t="s">
        <v>10676</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10677</v>
      </c>
      <c r="D6" s="106"/>
      <c r="E6" s="106"/>
    </row>
    <row r="7" customFormat="false" ht="31.5" hidden="false" customHeight="true" outlineLevel="0" collapsed="false">
      <c r="B7" s="105" t="s">
        <v>1394</v>
      </c>
      <c r="C7" s="106" t="s">
        <v>10678</v>
      </c>
      <c r="D7" s="106"/>
      <c r="E7" s="106"/>
    </row>
    <row r="8" customFormat="false" ht="31.5" hidden="false" customHeight="true" outlineLevel="0" collapsed="false">
      <c r="B8" s="105" t="s">
        <v>1396</v>
      </c>
      <c r="C8" s="106" t="s">
        <v>10679</v>
      </c>
      <c r="D8" s="106"/>
      <c r="E8" s="106"/>
    </row>
    <row r="10" customFormat="false" ht="15.75" hidden="false" customHeight="true" outlineLevel="0" collapsed="false">
      <c r="B10" s="103" t="s">
        <v>1398</v>
      </c>
      <c r="C10" s="8"/>
      <c r="D10" s="8"/>
      <c r="E10" s="8"/>
      <c r="F10" s="8"/>
      <c r="G10" s="8"/>
      <c r="H10" s="8"/>
      <c r="I10" s="8"/>
      <c r="J10" s="8"/>
      <c r="K10" s="8"/>
    </row>
    <row r="11" customFormat="false" ht="17.25" hidden="false" customHeight="true" outlineLevel="0" collapsed="false">
      <c r="B11" s="106" t="s">
        <v>10680</v>
      </c>
      <c r="C11" s="106"/>
      <c r="D11" s="106"/>
      <c r="E11" s="106"/>
      <c r="F11" s="106"/>
      <c r="G11" s="106"/>
      <c r="H11" s="106"/>
    </row>
    <row r="12" customFormat="false" ht="8.25" hidden="false" customHeight="true" outlineLevel="0" collapsed="false">
      <c r="B12" s="106" t="s">
        <v>10681</v>
      </c>
      <c r="C12" s="106"/>
      <c r="D12" s="106"/>
      <c r="E12" s="106"/>
      <c r="F12" s="106"/>
      <c r="G12" s="106"/>
      <c r="H12" s="106"/>
    </row>
    <row r="13" customFormat="false" ht="8.25" hidden="false" customHeight="true" outlineLevel="0" collapsed="false">
      <c r="B13" s="106"/>
      <c r="C13" s="106"/>
      <c r="D13" s="106"/>
      <c r="E13" s="106"/>
      <c r="F13" s="106"/>
      <c r="G13" s="106"/>
      <c r="H13" s="106"/>
    </row>
    <row r="14" customFormat="false" ht="10.5" hidden="false" customHeight="true" outlineLevel="0" collapsed="false">
      <c r="B14" s="106" t="s">
        <v>10682</v>
      </c>
      <c r="C14" s="106"/>
      <c r="D14" s="106"/>
      <c r="E14" s="106"/>
      <c r="F14" s="106"/>
      <c r="G14" s="106"/>
      <c r="H14" s="106"/>
    </row>
    <row r="15" customFormat="false" ht="10.5" hidden="false" customHeight="true" outlineLevel="0" collapsed="false">
      <c r="B15" s="106"/>
      <c r="C15" s="106"/>
      <c r="D15" s="106"/>
      <c r="E15" s="106"/>
      <c r="F15" s="106"/>
      <c r="G15" s="106"/>
      <c r="H15" s="106"/>
    </row>
    <row r="16" customFormat="false" ht="10.5" hidden="false" customHeight="true" outlineLevel="0" collapsed="false">
      <c r="B16" s="106"/>
      <c r="C16" s="106"/>
      <c r="D16" s="106"/>
      <c r="E16" s="106"/>
      <c r="F16" s="106"/>
      <c r="G16" s="106"/>
      <c r="H16" s="106"/>
    </row>
    <row r="17" customFormat="false" ht="11.25" hidden="false" customHeight="true" outlineLevel="0" collapsed="false">
      <c r="B17" s="106" t="s">
        <v>10683</v>
      </c>
      <c r="C17" s="106"/>
      <c r="D17" s="106"/>
      <c r="E17" s="106"/>
      <c r="F17" s="106"/>
      <c r="G17" s="106"/>
      <c r="H17" s="106"/>
    </row>
    <row r="18" customFormat="false" ht="11.25" hidden="false" customHeight="true" outlineLevel="0" collapsed="false">
      <c r="B18" s="106"/>
      <c r="C18" s="106"/>
      <c r="D18" s="106"/>
      <c r="E18" s="106"/>
      <c r="F18" s="106"/>
      <c r="G18" s="106"/>
      <c r="H18" s="106"/>
    </row>
    <row r="19" customFormat="false" ht="11.25" hidden="false" customHeight="true" outlineLevel="0" collapsed="false">
      <c r="B19" s="106"/>
      <c r="C19" s="106"/>
      <c r="D19" s="106"/>
      <c r="E19" s="106"/>
      <c r="F19" s="106"/>
      <c r="G19" s="106"/>
      <c r="H19" s="106"/>
    </row>
    <row r="20" customFormat="false" ht="11.25" hidden="false" customHeight="true" outlineLevel="0" collapsed="false">
      <c r="B20" s="106"/>
      <c r="C20" s="106"/>
      <c r="D20" s="106"/>
      <c r="E20" s="106"/>
      <c r="F20" s="106"/>
      <c r="G20" s="106"/>
      <c r="H20" s="106"/>
    </row>
    <row r="21" customFormat="false" ht="10.5" hidden="false" customHeight="true" outlineLevel="0" collapsed="false">
      <c r="B21" s="106" t="s">
        <v>10684</v>
      </c>
      <c r="C21" s="106"/>
      <c r="D21" s="106"/>
      <c r="E21" s="106"/>
      <c r="F21" s="106"/>
      <c r="G21" s="106"/>
      <c r="H21" s="106"/>
    </row>
    <row r="22" customFormat="false" ht="10.5" hidden="false" customHeight="true" outlineLevel="0" collapsed="false">
      <c r="B22" s="106"/>
      <c r="C22" s="106"/>
      <c r="D22" s="106"/>
      <c r="E22" s="106"/>
      <c r="F22" s="106"/>
      <c r="G22" s="106"/>
      <c r="H22" s="106"/>
    </row>
    <row r="23" customFormat="false" ht="10.5" hidden="false" customHeight="true" outlineLevel="0" collapsed="false">
      <c r="B23" s="106"/>
      <c r="C23" s="106"/>
      <c r="D23" s="106"/>
      <c r="E23" s="106"/>
      <c r="F23" s="106"/>
      <c r="G23" s="106"/>
      <c r="H23" s="106"/>
    </row>
    <row r="24" customFormat="false" ht="15.75" hidden="false" customHeight="true" outlineLevel="0" collapsed="false">
      <c r="B24" s="106" t="s">
        <v>10685</v>
      </c>
      <c r="C24" s="106"/>
      <c r="D24" s="106"/>
      <c r="E24" s="106"/>
      <c r="F24" s="106"/>
      <c r="G24" s="106"/>
      <c r="H24" s="106"/>
    </row>
    <row r="25" customFormat="false" ht="15.75" hidden="false" customHeight="true" outlineLevel="0" collapsed="false">
      <c r="B25" s="106"/>
      <c r="C25" s="106"/>
      <c r="D25" s="106"/>
      <c r="E25" s="106"/>
      <c r="F25" s="106"/>
      <c r="G25" s="106"/>
      <c r="H25" s="106"/>
    </row>
    <row r="27" customFormat="false" ht="15.75" hidden="false" customHeight="true" outlineLevel="0" collapsed="false">
      <c r="B27" s="103" t="s">
        <v>1406</v>
      </c>
      <c r="C27" s="8"/>
      <c r="D27" s="8"/>
      <c r="E27" s="8"/>
      <c r="F27" s="8"/>
      <c r="G27" s="8"/>
      <c r="H27" s="8"/>
      <c r="I27" s="8"/>
      <c r="J27" s="8"/>
      <c r="K27" s="8"/>
    </row>
    <row r="28" customFormat="false" ht="17.25" hidden="false" customHeight="true" outlineLevel="0" collapsed="false">
      <c r="B28" s="107" t="s">
        <v>1407</v>
      </c>
      <c r="C28" s="107"/>
      <c r="E28" s="107" t="s">
        <v>1408</v>
      </c>
      <c r="F28" s="107"/>
      <c r="G28" s="107"/>
      <c r="H28" s="107"/>
    </row>
    <row r="29" customFormat="false" ht="31.5" hidden="false" customHeight="true" outlineLevel="0" collapsed="false">
      <c r="B29" s="106" t="s">
        <v>10686</v>
      </c>
      <c r="C29" s="106"/>
      <c r="E29" s="106" t="s">
        <v>10687</v>
      </c>
      <c r="F29" s="106"/>
      <c r="G29" s="106"/>
      <c r="H29" s="106"/>
    </row>
    <row r="30" customFormat="false" ht="31.5" hidden="false" customHeight="true" outlineLevel="0" collapsed="false">
      <c r="B30" s="106" t="s">
        <v>10688</v>
      </c>
      <c r="C30" s="106"/>
      <c r="E30" s="106" t="s">
        <v>10689</v>
      </c>
      <c r="F30" s="106"/>
      <c r="G30" s="106"/>
      <c r="H30" s="106"/>
    </row>
    <row r="31" customFormat="false" ht="17.25" hidden="false" customHeight="true" outlineLevel="0" collapsed="false">
      <c r="B31" s="106" t="s">
        <v>10690</v>
      </c>
      <c r="C31" s="106"/>
      <c r="E31" s="106" t="s">
        <v>10691</v>
      </c>
      <c r="F31" s="106"/>
      <c r="G31" s="106"/>
      <c r="H31" s="106"/>
    </row>
    <row r="32" customFormat="false" ht="17.25" hidden="false" customHeight="true" outlineLevel="0" collapsed="false">
      <c r="B32" s="106" t="s">
        <v>10692</v>
      </c>
      <c r="C32" s="106"/>
      <c r="D32" s="106"/>
      <c r="E32" s="106"/>
      <c r="F32" s="106"/>
      <c r="G32" s="106"/>
      <c r="H32" s="106"/>
    </row>
    <row r="34" customFormat="false" ht="30.75" hidden="false" customHeight="true" outlineLevel="0" collapsed="false">
      <c r="B34" s="152" t="s">
        <v>6621</v>
      </c>
      <c r="C34" s="152" t="s">
        <v>1417</v>
      </c>
      <c r="D34" s="152" t="s">
        <v>1418</v>
      </c>
      <c r="E34" s="152" t="s">
        <v>1419</v>
      </c>
      <c r="F34" s="152"/>
    </row>
    <row r="35" customFormat="false" ht="44.25" hidden="false" customHeight="true" outlineLevel="0" collapsed="false">
      <c r="B35" s="15" t="s">
        <v>1426</v>
      </c>
      <c r="C35" s="15" t="s">
        <v>10693</v>
      </c>
      <c r="D35" s="15" t="s">
        <v>10694</v>
      </c>
      <c r="E35" s="153" t="s">
        <v>6632</v>
      </c>
      <c r="F35" s="153"/>
    </row>
    <row r="36" customFormat="false" ht="86.25" hidden="false" customHeight="true" outlineLevel="0" collapsed="false">
      <c r="B36" s="15" t="s">
        <v>10695</v>
      </c>
      <c r="C36" s="15" t="s">
        <v>10696</v>
      </c>
      <c r="D36" s="15" t="s">
        <v>10697</v>
      </c>
      <c r="E36" s="153" t="s">
        <v>6632</v>
      </c>
      <c r="F36" s="153"/>
    </row>
    <row r="37" customFormat="false" ht="86.25" hidden="false" customHeight="true" outlineLevel="0" collapsed="false">
      <c r="B37" s="15" t="s">
        <v>10698</v>
      </c>
      <c r="C37" s="15" t="s">
        <v>10699</v>
      </c>
      <c r="D37" s="15" t="s">
        <v>10700</v>
      </c>
      <c r="E37" s="153" t="s">
        <v>7815</v>
      </c>
      <c r="F37" s="153"/>
    </row>
    <row r="38" customFormat="false" ht="86.25" hidden="false" customHeight="true" outlineLevel="0" collapsed="false">
      <c r="B38" s="15" t="s">
        <v>10701</v>
      </c>
      <c r="C38" s="15" t="s">
        <v>10702</v>
      </c>
      <c r="D38" s="15" t="s">
        <v>10703</v>
      </c>
      <c r="E38" s="153" t="s">
        <v>6628</v>
      </c>
      <c r="F38" s="153"/>
    </row>
    <row r="40" customFormat="false" ht="15.75" hidden="false" customHeight="true" outlineLevel="0" collapsed="false">
      <c r="B40" s="103" t="s">
        <v>1429</v>
      </c>
      <c r="C40" s="8"/>
      <c r="D40" s="8"/>
      <c r="E40" s="8"/>
      <c r="F40" s="8"/>
      <c r="G40" s="8"/>
      <c r="H40" s="8"/>
      <c r="I40" s="8"/>
      <c r="J40" s="8"/>
      <c r="K40" s="8"/>
    </row>
    <row r="41" customFormat="false" ht="10.5" hidden="false" customHeight="true" outlineLevel="0" collapsed="false">
      <c r="B41" s="106" t="s">
        <v>10704</v>
      </c>
      <c r="C41" s="106"/>
      <c r="D41" s="106"/>
      <c r="E41" s="106"/>
      <c r="F41" s="106"/>
      <c r="G41" s="106"/>
      <c r="H41" s="106"/>
    </row>
    <row r="42" customFormat="false" ht="10.5" hidden="false" customHeight="true" outlineLevel="0" collapsed="false">
      <c r="B42" s="106"/>
      <c r="C42" s="106"/>
      <c r="D42" s="106"/>
      <c r="E42" s="106"/>
      <c r="F42" s="106"/>
      <c r="G42" s="106"/>
      <c r="H42" s="106"/>
    </row>
    <row r="43" customFormat="false" ht="10.5" hidden="false" customHeight="true" outlineLevel="0" collapsed="false">
      <c r="B43" s="106"/>
      <c r="C43" s="106"/>
      <c r="D43" s="106"/>
      <c r="E43" s="106"/>
      <c r="F43" s="106"/>
      <c r="G43" s="106"/>
      <c r="H43" s="106"/>
    </row>
    <row r="44" customFormat="false" ht="15" hidden="false" customHeight="true" outlineLevel="0" collapsed="false">
      <c r="B44" s="122"/>
    </row>
    <row r="45" customFormat="false" ht="16.5" hidden="false" customHeight="true" outlineLevel="0" collapsed="false">
      <c r="B45" s="122" t="s">
        <v>10705</v>
      </c>
    </row>
    <row r="46" customFormat="false" ht="8.25" hidden="false" customHeight="true" outlineLevel="0" collapsed="false">
      <c r="B46" s="106" t="s">
        <v>10706</v>
      </c>
      <c r="C46" s="106"/>
      <c r="D46" s="106"/>
      <c r="E46" s="106"/>
      <c r="F46" s="106"/>
      <c r="G46" s="106"/>
      <c r="H46" s="106"/>
    </row>
    <row r="47" customFormat="false" ht="8.25" hidden="false" customHeight="true" outlineLevel="0" collapsed="false">
      <c r="B47" s="106"/>
      <c r="C47" s="106"/>
      <c r="D47" s="106"/>
      <c r="E47" s="106"/>
      <c r="F47" s="106"/>
      <c r="G47" s="106"/>
      <c r="H47" s="106"/>
    </row>
    <row r="48" customFormat="false" ht="15" hidden="false" customHeight="true" outlineLevel="0" collapsed="false">
      <c r="B48" s="122"/>
    </row>
    <row r="49" customFormat="false" ht="15.75" hidden="false" customHeight="true" outlineLevel="0" collapsed="false">
      <c r="B49" s="106" t="s">
        <v>10707</v>
      </c>
      <c r="C49" s="106"/>
      <c r="D49" s="106"/>
      <c r="E49" s="106"/>
      <c r="F49" s="106"/>
      <c r="G49" s="106"/>
      <c r="H49" s="106"/>
    </row>
    <row r="50" customFormat="false" ht="15.75" hidden="false" customHeight="true" outlineLevel="0" collapsed="false">
      <c r="B50" s="106"/>
      <c r="C50" s="106"/>
      <c r="D50" s="106"/>
      <c r="E50" s="106"/>
      <c r="F50" s="106"/>
      <c r="G50" s="106"/>
      <c r="H50" s="106"/>
    </row>
    <row r="52" customFormat="false" ht="15.75" hidden="false" customHeight="true" outlineLevel="0" collapsed="false">
      <c r="B52" s="103" t="s">
        <v>1437</v>
      </c>
      <c r="C52" s="8"/>
      <c r="D52" s="8"/>
      <c r="E52" s="8"/>
      <c r="F52" s="8"/>
      <c r="G52" s="8"/>
      <c r="H52" s="8"/>
      <c r="I52" s="8"/>
      <c r="J52" s="8"/>
      <c r="K52" s="8"/>
    </row>
    <row r="53" customFormat="false" ht="17.25" hidden="false" customHeight="true" outlineLevel="0" collapsed="false">
      <c r="B53" s="152" t="s">
        <v>1438</v>
      </c>
      <c r="C53" s="152" t="s">
        <v>1439</v>
      </c>
      <c r="D53" s="152" t="s">
        <v>1440</v>
      </c>
      <c r="E53" s="152"/>
      <c r="F53" s="152"/>
      <c r="G53" s="152"/>
      <c r="H53" s="152"/>
    </row>
    <row r="54" customFormat="false" ht="17.25" hidden="false" customHeight="true" outlineLevel="0" collapsed="false">
      <c r="B54" s="15" t="s">
        <v>10708</v>
      </c>
      <c r="C54" s="15" t="s">
        <v>10709</v>
      </c>
      <c r="D54" s="15" t="s">
        <v>10710</v>
      </c>
      <c r="E54" s="15"/>
      <c r="F54" s="15"/>
      <c r="G54" s="15"/>
      <c r="H54" s="15"/>
    </row>
    <row r="55" customFormat="false" ht="17.25" hidden="false" customHeight="true" outlineLevel="0" collapsed="false">
      <c r="B55" s="15" t="s">
        <v>6757</v>
      </c>
      <c r="C55" s="15" t="s">
        <v>10711</v>
      </c>
      <c r="D55" s="15" t="s">
        <v>10712</v>
      </c>
      <c r="E55" s="15"/>
      <c r="F55" s="15"/>
      <c r="G55" s="15"/>
      <c r="H55" s="15"/>
    </row>
    <row r="56" customFormat="false" ht="17.25" hidden="false" customHeight="true" outlineLevel="0" collapsed="false">
      <c r="B56" s="15" t="s">
        <v>1920</v>
      </c>
      <c r="C56" s="15" t="s">
        <v>10713</v>
      </c>
      <c r="D56" s="15" t="s">
        <v>10714</v>
      </c>
      <c r="E56" s="15"/>
      <c r="F56" s="15"/>
      <c r="G56" s="15"/>
      <c r="H56" s="15"/>
    </row>
    <row r="57" customFormat="false" ht="30.75" hidden="false" customHeight="true" outlineLevel="0" collapsed="false">
      <c r="B57" s="15" t="s">
        <v>7487</v>
      </c>
      <c r="C57" s="15" t="s">
        <v>10715</v>
      </c>
      <c r="D57" s="15" t="s">
        <v>10716</v>
      </c>
      <c r="E57" s="15"/>
      <c r="F57" s="15"/>
      <c r="G57" s="15"/>
      <c r="H57" s="15"/>
    </row>
    <row r="58" customFormat="false" ht="30.75" hidden="false" customHeight="true" outlineLevel="0" collapsed="false">
      <c r="B58" s="15" t="s">
        <v>10717</v>
      </c>
      <c r="C58" s="15" t="s">
        <v>10718</v>
      </c>
      <c r="D58" s="15" t="s">
        <v>10719</v>
      </c>
      <c r="E58" s="15"/>
      <c r="F58" s="15"/>
      <c r="G58" s="15"/>
      <c r="H58" s="15"/>
    </row>
    <row r="60" customFormat="false" ht="15.75" hidden="false" customHeight="true" outlineLevel="0" collapsed="false">
      <c r="B60" s="103" t="s">
        <v>1454</v>
      </c>
      <c r="C60" s="8"/>
      <c r="D60" s="8"/>
      <c r="E60" s="8"/>
      <c r="F60" s="8"/>
      <c r="G60" s="8"/>
      <c r="H60" s="8"/>
      <c r="I60" s="8"/>
      <c r="J60" s="8"/>
      <c r="K60" s="8"/>
    </row>
    <row r="61" customFormat="false" ht="15.75" hidden="false" customHeight="true" outlineLevel="0" collapsed="false">
      <c r="B61" s="106" t="s">
        <v>10720</v>
      </c>
      <c r="C61" s="106"/>
      <c r="D61" s="106"/>
      <c r="E61" s="106"/>
      <c r="F61" s="106"/>
      <c r="G61" s="106"/>
      <c r="H61" s="106"/>
    </row>
    <row r="62" customFormat="false" ht="15.75" hidden="false" customHeight="true" outlineLevel="0" collapsed="false">
      <c r="B62" s="106"/>
      <c r="C62" s="106"/>
      <c r="D62" s="106"/>
      <c r="E62" s="106"/>
      <c r="F62" s="106"/>
      <c r="G62" s="106"/>
      <c r="H62" s="106"/>
    </row>
    <row r="63" customFormat="false" ht="15" hidden="false" customHeight="true" outlineLevel="0" collapsed="false">
      <c r="B63" s="112" t="s">
        <v>85</v>
      </c>
      <c r="C63" s="154" t="s">
        <v>86</v>
      </c>
    </row>
    <row r="65" customFormat="false" ht="17.25" hidden="false" customHeight="true" outlineLevel="0" collapsed="false">
      <c r="B65" s="107" t="s">
        <v>10721</v>
      </c>
      <c r="C65" s="107"/>
      <c r="D65" s="107"/>
      <c r="E65" s="107"/>
      <c r="F65" s="107"/>
      <c r="G65" s="107"/>
      <c r="H65" s="107"/>
    </row>
    <row r="66" customFormat="false" ht="28.5" hidden="false" customHeight="true" outlineLevel="0" collapsed="false">
      <c r="B66" s="182" t="s">
        <v>10722</v>
      </c>
      <c r="C66" s="182"/>
      <c r="D66" s="182"/>
      <c r="E66" s="182"/>
      <c r="F66" s="182"/>
      <c r="G66" s="182"/>
      <c r="H66" s="182"/>
    </row>
    <row r="68" customFormat="false" ht="30.75" hidden="false" customHeight="true" outlineLevel="0" collapsed="false">
      <c r="B68" s="152" t="s">
        <v>10723</v>
      </c>
      <c r="C68" s="152" t="s">
        <v>1700</v>
      </c>
      <c r="D68" s="152" t="s">
        <v>7298</v>
      </c>
      <c r="E68" s="152" t="s">
        <v>10724</v>
      </c>
      <c r="F68" s="152" t="s">
        <v>10725</v>
      </c>
      <c r="G68" s="152" t="s">
        <v>10726</v>
      </c>
      <c r="H68" s="152" t="s">
        <v>10727</v>
      </c>
      <c r="I68" s="152" t="s">
        <v>10728</v>
      </c>
    </row>
    <row r="69" customFormat="false" ht="16.5" hidden="false" customHeight="true" outlineLevel="0" collapsed="false">
      <c r="B69" s="15" t="s">
        <v>10623</v>
      </c>
      <c r="C69" s="173" t="n">
        <v>418</v>
      </c>
      <c r="D69" s="160" t="n">
        <f aca="false">IFERROR(C69/SUM($C$69:$C$76),0)</f>
        <v>0.470191226096738</v>
      </c>
      <c r="E69" s="160" t="n">
        <f aca="false">IFERROR(SUM($C$69:C69)/SUM($C$69:$C$76),0)</f>
        <v>0.470191226096738</v>
      </c>
      <c r="F69" s="167" t="str">
        <f aca="false">IF(IFERROR(SUM($C$69:C69)/SUM($C$69:$C$76),0)&lt;=0.8,"VITAL FEW","Useful many")</f>
        <v>VITAL FEW</v>
      </c>
      <c r="G69" s="156" t="n">
        <v>0.19</v>
      </c>
      <c r="H69" s="197" t="n">
        <f aca="false">C69*G69</f>
        <v>79.42</v>
      </c>
      <c r="I69" s="160" t="n">
        <f aca="false">IFERROR(H69/SUM($H$69:$H$76),0)</f>
        <v>0.0106884077475479</v>
      </c>
    </row>
    <row r="70" customFormat="false" ht="16.5" hidden="false" customHeight="true" outlineLevel="0" collapsed="false">
      <c r="B70" s="15" t="s">
        <v>10613</v>
      </c>
      <c r="C70" s="173" t="n">
        <v>185</v>
      </c>
      <c r="D70" s="160" t="n">
        <f aca="false">IFERROR(C70/SUM($C$69:$C$76),0)</f>
        <v>0.208098987626547</v>
      </c>
      <c r="E70" s="160" t="n">
        <f aca="false">IFERROR(SUM($C$69:C70)/SUM($C$69:$C$76),0)</f>
        <v>0.678290213723285</v>
      </c>
      <c r="F70" s="167" t="str">
        <f aca="false">IF(IFERROR(SUM($C$69:C70)/SUM($C$69:$C$76),0)&lt;=0.8,"VITAL FEW","Useful many")</f>
        <v>VITAL FEW</v>
      </c>
      <c r="G70" s="156" t="n">
        <v>0.42</v>
      </c>
      <c r="H70" s="197" t="n">
        <f aca="false">C70*G70</f>
        <v>77.7</v>
      </c>
      <c r="I70" s="160" t="n">
        <f aca="false">IFERROR(H70/SUM($H$69:$H$76),0)</f>
        <v>0.0104569287583036</v>
      </c>
    </row>
    <row r="71" customFormat="false" ht="16.5" hidden="false" customHeight="true" outlineLevel="0" collapsed="false">
      <c r="B71" s="15" t="s">
        <v>10619</v>
      </c>
      <c r="C71" s="173" t="n">
        <v>90</v>
      </c>
      <c r="D71" s="160" t="n">
        <f aca="false">IFERROR(C71/SUM($C$69:$C$76),0)</f>
        <v>0.101237345331834</v>
      </c>
      <c r="E71" s="160" t="n">
        <f aca="false">IFERROR(SUM($C$69:C71)/SUM($C$69:$C$76),0)</f>
        <v>0.779527559055118</v>
      </c>
      <c r="F71" s="167" t="str">
        <f aca="false">IF(IFERROR(SUM($C$69:C71)/SUM($C$69:$C$76),0)&lt;=0.8,"VITAL FEW","Useful many")</f>
        <v>VITAL FEW</v>
      </c>
      <c r="G71" s="156" t="n">
        <v>0.19</v>
      </c>
      <c r="H71" s="197" t="n">
        <f aca="false">C71*G71</f>
        <v>17.1</v>
      </c>
      <c r="I71" s="160" t="n">
        <f aca="false">IFERROR(H71/SUM($H$69:$H$76),0)</f>
        <v>0.002301331811673</v>
      </c>
    </row>
    <row r="72" customFormat="false" ht="16.5" hidden="false" customHeight="true" outlineLevel="0" collapsed="false">
      <c r="B72" s="15" t="s">
        <v>10617</v>
      </c>
      <c r="C72" s="173" t="n">
        <v>86</v>
      </c>
      <c r="D72" s="160" t="n">
        <f aca="false">IFERROR(C72/SUM($C$69:$C$76),0)</f>
        <v>0.0967379077615298</v>
      </c>
      <c r="E72" s="160" t="n">
        <f aca="false">IFERROR(SUM($C$69:C72)/SUM($C$69:$C$76),0)</f>
        <v>0.876265466816648</v>
      </c>
      <c r="F72" s="167" t="str">
        <f aca="false">IF(IFERROR(SUM($C$69:C72)/SUM($C$69:$C$76),0)&lt;=0.8,"VITAL FEW","Useful many")</f>
        <v>Useful many</v>
      </c>
      <c r="G72" s="156" t="n">
        <v>0.42</v>
      </c>
      <c r="H72" s="197" t="n">
        <f aca="false">C72*G72</f>
        <v>36.12</v>
      </c>
      <c r="I72" s="160" t="n">
        <f aca="false">IFERROR(H72/SUM($H$69:$H$76),0)</f>
        <v>0.00486105877413034</v>
      </c>
    </row>
    <row r="73" customFormat="false" ht="16.5" hidden="false" customHeight="true" outlineLevel="0" collapsed="false">
      <c r="B73" s="15" t="s">
        <v>10627</v>
      </c>
      <c r="C73" s="173" t="n">
        <v>46</v>
      </c>
      <c r="D73" s="160" t="n">
        <f aca="false">IFERROR(C73/SUM($C$69:$C$76),0)</f>
        <v>0.0517435320584927</v>
      </c>
      <c r="E73" s="160" t="n">
        <f aca="false">IFERROR(SUM($C$69:C73)/SUM($C$69:$C$76),0)</f>
        <v>0.928008998875141</v>
      </c>
      <c r="F73" s="167" t="str">
        <f aca="false">IF(IFERROR(SUM($C$69:C73)/SUM($C$69:$C$76),0)&lt;=0.8,"VITAL FEW","Useful many")</f>
        <v>Useful many</v>
      </c>
      <c r="G73" s="156" t="n">
        <v>0.19</v>
      </c>
      <c r="H73" s="197" t="n">
        <f aca="false">C73*G73</f>
        <v>8.74</v>
      </c>
      <c r="I73" s="160" t="n">
        <f aca="false">IFERROR(H73/SUM($H$69:$H$76),0)</f>
        <v>0.00117623625929953</v>
      </c>
    </row>
    <row r="74" customFormat="false" ht="16.5" hidden="false" customHeight="true" outlineLevel="0" collapsed="false">
      <c r="B74" s="15" t="s">
        <v>10638</v>
      </c>
      <c r="C74" s="173" t="n">
        <v>35</v>
      </c>
      <c r="D74" s="160" t="n">
        <f aca="false">IFERROR(C74/SUM($C$69:$C$76),0)</f>
        <v>0.0393700787401575</v>
      </c>
      <c r="E74" s="160" t="n">
        <f aca="false">IFERROR(SUM($C$69:C74)/SUM($C$69:$C$76),0)</f>
        <v>0.967379077615298</v>
      </c>
      <c r="F74" s="167" t="str">
        <f aca="false">IF(IFERROR(SUM($C$69:C74)/SUM($C$69:$C$76),0)&lt;=0.8,"VITAL FEW","Useful many")</f>
        <v>Useful many</v>
      </c>
      <c r="G74" s="156" t="n">
        <v>0.19</v>
      </c>
      <c r="H74" s="197" t="n">
        <f aca="false">C74*G74</f>
        <v>6.65</v>
      </c>
      <c r="I74" s="160" t="n">
        <f aca="false">IFERROR(H74/SUM($H$69:$H$76),0)</f>
        <v>0.000894962371206167</v>
      </c>
    </row>
    <row r="75" customFormat="false" ht="16.5" hidden="false" customHeight="true" outlineLevel="0" collapsed="false">
      <c r="B75" s="15" t="s">
        <v>10639</v>
      </c>
      <c r="C75" s="173" t="n">
        <v>25</v>
      </c>
      <c r="D75" s="160" t="n">
        <f aca="false">IFERROR(C75/SUM($C$69:$C$76),0)</f>
        <v>0.0281214848143982</v>
      </c>
      <c r="E75" s="160" t="n">
        <f aca="false">IFERROR(SUM($C$69:C75)/SUM($C$69:$C$76),0)</f>
        <v>0.995500562429696</v>
      </c>
      <c r="F75" s="167" t="str">
        <f aca="false">IF(IFERROR(SUM($C$69:C75)/SUM($C$69:$C$76),0)&lt;=0.8,"VITAL FEW","Useful many")</f>
        <v>Useful many</v>
      </c>
      <c r="G75" s="156" t="n">
        <v>0.19</v>
      </c>
      <c r="H75" s="197" t="n">
        <f aca="false">C75*G75</f>
        <v>4.75</v>
      </c>
      <c r="I75" s="160" t="n">
        <f aca="false">IFERROR(H75/SUM($H$69:$H$76),0)</f>
        <v>0.000639258836575834</v>
      </c>
    </row>
    <row r="76" customFormat="false" ht="16.5" hidden="false" customHeight="true" outlineLevel="0" collapsed="false">
      <c r="B76" s="15" t="s">
        <v>10631</v>
      </c>
      <c r="C76" s="173" t="n">
        <v>4</v>
      </c>
      <c r="D76" s="160" t="n">
        <f aca="false">IFERROR(C76/SUM($C$69:$C$76),0)</f>
        <v>0.00449943757030371</v>
      </c>
      <c r="E76" s="160" t="n">
        <f aca="false">IFERROR(SUM($C$69:C76)/SUM($C$69:$C$76),0)</f>
        <v>1</v>
      </c>
      <c r="F76" s="167" t="str">
        <f aca="false">IF(IFERROR(SUM($C$69:C76)/SUM($C$69:$C$76),0)&lt;=0.8,"VITAL FEW","Useful many")</f>
        <v>Useful many</v>
      </c>
      <c r="G76" s="156" t="n">
        <v>1800</v>
      </c>
      <c r="H76" s="197" t="n">
        <f aca="false">C76*G76</f>
        <v>7200</v>
      </c>
      <c r="I76" s="160" t="n">
        <f aca="false">IFERROR(H76/SUM($H$69:$H$76),0)</f>
        <v>0.968981815441264</v>
      </c>
    </row>
    <row r="77" customFormat="false" ht="16.5" hidden="false" customHeight="true" outlineLevel="0" collapsed="false">
      <c r="B77" s="162" t="s">
        <v>48</v>
      </c>
      <c r="C77" s="165" t="n">
        <f aca="false">SUM(C69:C76)</f>
        <v>889</v>
      </c>
      <c r="D77" s="166" t="n">
        <f aca="false">IFERROR(SUM(D69:D76),0)</f>
        <v>1</v>
      </c>
      <c r="E77" s="163"/>
      <c r="F77" s="163"/>
      <c r="G77" s="163"/>
      <c r="H77" s="198" t="n">
        <f aca="false">SUM(H69:H76)</f>
        <v>7430.48</v>
      </c>
      <c r="I77" s="166" t="n">
        <f aca="false">IFERROR(SUM(I69:I76),0)</f>
        <v>1</v>
      </c>
    </row>
    <row r="79" customFormat="false" ht="17.25" hidden="false" customHeight="true" outlineLevel="0" collapsed="false">
      <c r="B79" s="152" t="s">
        <v>6689</v>
      </c>
      <c r="C79" s="152" t="s">
        <v>6654</v>
      </c>
      <c r="D79" s="152" t="s">
        <v>88</v>
      </c>
      <c r="E79" s="152"/>
      <c r="F79" s="152"/>
    </row>
    <row r="80" customFormat="false" ht="57" hidden="false" customHeight="true" outlineLevel="0" collapsed="false">
      <c r="B80" s="15" t="s">
        <v>10729</v>
      </c>
      <c r="C80" s="161" t="n">
        <f aca="false">COUNTIF(F69:F76,"VITAL FEW")</f>
        <v>3</v>
      </c>
      <c r="D80" s="15" t="s">
        <v>10730</v>
      </c>
      <c r="E80" s="15"/>
      <c r="F80" s="15"/>
    </row>
    <row r="81" customFormat="false" ht="45.75" hidden="false" customHeight="true" outlineLevel="0" collapsed="false">
      <c r="B81" s="15" t="s">
        <v>10731</v>
      </c>
      <c r="C81" s="160" t="n">
        <f aca="false">IFERROR(SUMIF(F69:F76,"VITAL FEW",C69:C76)/C77,0)</f>
        <v>0.779527559055118</v>
      </c>
      <c r="D81" s="15" t="s">
        <v>10732</v>
      </c>
      <c r="E81" s="15"/>
      <c r="F81" s="15"/>
    </row>
    <row r="82" customFormat="false" ht="17.25" hidden="false" customHeight="true" outlineLevel="0" collapsed="false">
      <c r="B82" s="15" t="s">
        <v>10733</v>
      </c>
      <c r="C82" s="167" t="str">
        <f aca="false">INDEX(B69:B76,MATCH(MAX(C69:C76),C69:C76,0))</f>
        <v>Label crooked</v>
      </c>
      <c r="D82" s="15" t="s">
        <v>10734</v>
      </c>
      <c r="E82" s="15"/>
      <c r="F82" s="15"/>
    </row>
    <row r="83" customFormat="false" ht="57" hidden="false" customHeight="true" outlineLevel="0" collapsed="false">
      <c r="B83" s="15" t="s">
        <v>10735</v>
      </c>
      <c r="C83" s="160" t="n">
        <f aca="false">IFERROR(MAX(C69:C76)/C77,0)</f>
        <v>0.470191226096738</v>
      </c>
      <c r="D83" s="15" t="s">
        <v>10736</v>
      </c>
      <c r="E83" s="15"/>
      <c r="F83" s="15"/>
    </row>
    <row r="84" customFormat="false" ht="31.5" hidden="false" customHeight="true" outlineLevel="0" collapsed="false">
      <c r="B84" s="15" t="s">
        <v>10737</v>
      </c>
      <c r="C84" s="167" t="str">
        <f aca="false">INDEX(B69:B76,MATCH(MAX(H69:H76),H69:H76,0))</f>
        <v>Foreign body</v>
      </c>
      <c r="D84" s="15" t="s">
        <v>10738</v>
      </c>
      <c r="E84" s="15"/>
      <c r="F84" s="15"/>
    </row>
    <row r="85" customFormat="false" ht="17.25" hidden="false" customHeight="true" outlineLevel="0" collapsed="false">
      <c r="B85" s="15" t="s">
        <v>10739</v>
      </c>
      <c r="C85" s="160" t="n">
        <f aca="false">IFERROR(MAX(H69:H76)/H77,0)</f>
        <v>0.968981815441264</v>
      </c>
      <c r="D85" s="15"/>
      <c r="E85" s="15"/>
      <c r="F85" s="15"/>
    </row>
    <row r="86" customFormat="false" ht="31.5" hidden="false" customHeight="true" outlineLevel="0" collapsed="false">
      <c r="B86" s="15" t="s">
        <v>10740</v>
      </c>
      <c r="C86" s="167" t="str">
        <f aca="false">IF(INDEX(B69:B76,MATCH(MAX(C69:C76),C69:C76,0))=INDEX(B69:B76,MATCH(MAX(H69:H76),H69:H76,0)),"YES — same category","NO — a rare defect carries the cost")</f>
        <v>NO — a rare defect carries the cost</v>
      </c>
      <c r="D86" s="15" t="s">
        <v>10741</v>
      </c>
      <c r="E86" s="15"/>
      <c r="F86" s="15"/>
    </row>
    <row r="88" customFormat="false" ht="15.75" hidden="false" customHeight="true" outlineLevel="0" collapsed="false">
      <c r="B88" s="103" t="s">
        <v>1493</v>
      </c>
      <c r="C88" s="8"/>
      <c r="D88" s="8"/>
      <c r="E88" s="8"/>
      <c r="F88" s="8"/>
      <c r="G88" s="8"/>
      <c r="H88" s="8"/>
      <c r="I88" s="8"/>
      <c r="J88" s="8"/>
      <c r="K88" s="8"/>
    </row>
    <row r="89" customFormat="false" ht="81" hidden="false" customHeight="true" outlineLevel="0" collapsed="false">
      <c r="B89" s="105" t="s">
        <v>1494</v>
      </c>
      <c r="C89" s="168" t="str">
        <f aca="false">"The vital few are "&amp;TEXT(C80,"0")&amp;" categories explaining "&amp;TEXT(C81,"0.0%")&amp;" of all defects. Largest by count: "&amp;C82&amp;" ("&amp;TEXT(C83,"0.0%")&amp;"). Largest by cost: "&amp;C84&amp;" ("&amp;TEXT(C85,"0.0%")&amp;" of cost). "&amp;IF(C86="YES — same category","Count and cost agree, so attacking the largest category is the right first move.","WARNING: the most frequent defect is NOT the most expensive one. Decide explicitly which Pareto you are acting on — a rare defect with high consequence usually deserves priority over a frequent, cheap one, and it belongs in the FMEA (H-13) rather than in a volume project.")</f>
        <v>The vital few are 3 categories explaining 78.0% of all defects. Largest by count: Label crooked (47.0%). Largest by cost: Foreign body (96.9% of cost). WARNING: the most frequent defect is NOT the most expensive one. Decide explicitly which Pareto you are acting on — a rare defect with high consequence usually deserves priority over a frequent, cheap one, and it belongs in the FMEA (H-13) rather than in a volume project.</v>
      </c>
      <c r="D89" s="168"/>
      <c r="E89" s="168"/>
      <c r="F89" s="168"/>
      <c r="G89" s="168"/>
    </row>
    <row r="91" customFormat="false" ht="17.25" hidden="false" customHeight="true" outlineLevel="0" collapsed="false">
      <c r="B91" s="152" t="s">
        <v>1495</v>
      </c>
      <c r="C91" s="152" t="s">
        <v>1496</v>
      </c>
      <c r="D91" s="152" t="s">
        <v>1497</v>
      </c>
      <c r="E91" s="152"/>
      <c r="F91" s="152"/>
      <c r="G91" s="152"/>
      <c r="H91" s="152"/>
    </row>
    <row r="92" customFormat="false" ht="17.25" hidden="false" customHeight="true" outlineLevel="0" collapsed="false">
      <c r="B92" s="15" t="s">
        <v>10742</v>
      </c>
      <c r="C92" s="15" t="s">
        <v>10743</v>
      </c>
      <c r="D92" s="15" t="s">
        <v>10744</v>
      </c>
      <c r="E92" s="15"/>
      <c r="F92" s="15"/>
      <c r="G92" s="15"/>
      <c r="H92" s="15"/>
    </row>
    <row r="93" customFormat="false" ht="17.25" hidden="false" customHeight="true" outlineLevel="0" collapsed="false">
      <c r="B93" s="15" t="s">
        <v>6701</v>
      </c>
      <c r="C93" s="15" t="s">
        <v>10745</v>
      </c>
      <c r="D93" s="15" t="s">
        <v>10746</v>
      </c>
      <c r="E93" s="15"/>
      <c r="F93" s="15"/>
      <c r="G93" s="15"/>
      <c r="H93" s="15"/>
    </row>
    <row r="94" customFormat="false" ht="17.25" hidden="false" customHeight="true" outlineLevel="0" collapsed="false">
      <c r="B94" s="15" t="s">
        <v>10655</v>
      </c>
      <c r="C94" s="15" t="s">
        <v>8316</v>
      </c>
      <c r="D94" s="15" t="s">
        <v>10747</v>
      </c>
      <c r="E94" s="15"/>
      <c r="F94" s="15"/>
      <c r="G94" s="15"/>
      <c r="H94" s="15"/>
    </row>
    <row r="95" customFormat="false" ht="17.25" hidden="false" customHeight="true" outlineLevel="0" collapsed="false">
      <c r="B95" s="15" t="s">
        <v>10748</v>
      </c>
      <c r="C95" s="15" t="s">
        <v>10749</v>
      </c>
      <c r="D95" s="15" t="s">
        <v>10750</v>
      </c>
      <c r="E95" s="15"/>
      <c r="F95" s="15"/>
      <c r="G95" s="15"/>
      <c r="H95" s="15"/>
    </row>
    <row r="97" customFormat="false" ht="15" hidden="false" customHeight="true" outlineLevel="0" collapsed="false">
      <c r="B97" s="105" t="s">
        <v>1507</v>
      </c>
    </row>
    <row r="98" customFormat="false" ht="17.25" hidden="false" customHeight="true" outlineLevel="0" collapsed="false">
      <c r="B98" s="106" t="s">
        <v>10751</v>
      </c>
      <c r="C98" s="106"/>
      <c r="D98" s="106"/>
      <c r="E98" s="106"/>
      <c r="F98" s="106"/>
      <c r="G98" s="106"/>
      <c r="H98" s="106"/>
    </row>
    <row r="99" customFormat="false" ht="17.25" hidden="false" customHeight="true" outlineLevel="0" collapsed="false">
      <c r="B99" s="106" t="s">
        <v>10752</v>
      </c>
      <c r="C99" s="106"/>
      <c r="D99" s="106"/>
      <c r="E99" s="106"/>
      <c r="F99" s="106"/>
      <c r="G99" s="106"/>
      <c r="H99" s="106"/>
    </row>
    <row r="100" customFormat="false" ht="17.25" hidden="false" customHeight="true" outlineLevel="0" collapsed="false">
      <c r="B100" s="106" t="s">
        <v>10753</v>
      </c>
      <c r="C100" s="106"/>
      <c r="D100" s="106"/>
      <c r="E100" s="106"/>
      <c r="F100" s="106"/>
      <c r="G100" s="106"/>
      <c r="H100" s="106"/>
    </row>
    <row r="101" customFormat="false" ht="17.25" hidden="false" customHeight="true" outlineLevel="0" collapsed="false">
      <c r="B101" s="106" t="s">
        <v>10754</v>
      </c>
      <c r="C101" s="106"/>
      <c r="D101" s="106"/>
      <c r="E101" s="106"/>
      <c r="F101" s="106"/>
      <c r="G101" s="106"/>
      <c r="H101" s="106"/>
    </row>
    <row r="102" customFormat="false" ht="17.25" hidden="false" customHeight="true" outlineLevel="0" collapsed="false">
      <c r="B102" s="106" t="s">
        <v>10755</v>
      </c>
      <c r="C102" s="106"/>
      <c r="D102" s="106"/>
      <c r="E102" s="106"/>
      <c r="F102" s="106"/>
      <c r="G102" s="106"/>
      <c r="H102" s="106"/>
    </row>
    <row r="104" customFormat="false" ht="15.75" hidden="false" customHeight="true" outlineLevel="0" collapsed="false">
      <c r="B104" s="103" t="s">
        <v>1513</v>
      </c>
      <c r="C104" s="8"/>
      <c r="D104" s="8"/>
      <c r="E104" s="8"/>
      <c r="F104" s="8"/>
      <c r="G104" s="8"/>
      <c r="H104" s="8"/>
      <c r="I104" s="8"/>
      <c r="J104" s="8"/>
      <c r="K104" s="8"/>
    </row>
    <row r="105" customFormat="false" ht="17.25" hidden="false" customHeight="true" outlineLevel="0" collapsed="false">
      <c r="B105" s="106" t="s">
        <v>6712</v>
      </c>
      <c r="C105" s="106"/>
      <c r="D105" s="106"/>
      <c r="E105" s="106"/>
      <c r="F105" s="106"/>
      <c r="N105" s="169" t="s">
        <v>1515</v>
      </c>
    </row>
    <row r="106" customFormat="false" ht="58.5" hidden="false" customHeight="true" outlineLevel="0" collapsed="false">
      <c r="B106" s="106" t="s">
        <v>10756</v>
      </c>
      <c r="C106" s="106"/>
      <c r="D106" s="106"/>
      <c r="E106" s="106"/>
      <c r="F106" s="106"/>
      <c r="N106" s="120" t="s">
        <v>10757</v>
      </c>
    </row>
    <row r="107" customFormat="false" ht="44.25" hidden="false" customHeight="true" outlineLevel="0" collapsed="false">
      <c r="B107" s="106" t="s">
        <v>10758</v>
      </c>
      <c r="C107" s="106"/>
      <c r="D107" s="106"/>
      <c r="E107" s="106"/>
      <c r="F107" s="106"/>
      <c r="N107" s="120" t="s">
        <v>10759</v>
      </c>
    </row>
    <row r="108" customFormat="false" ht="44.25" hidden="false" customHeight="true" outlineLevel="0" collapsed="false">
      <c r="B108" s="106" t="s">
        <v>10760</v>
      </c>
      <c r="C108" s="106"/>
      <c r="D108" s="106"/>
      <c r="E108" s="106"/>
      <c r="F108" s="106"/>
      <c r="N108" s="120" t="s">
        <v>10761</v>
      </c>
    </row>
    <row r="110" customFormat="false" ht="15.75" hidden="false" customHeight="true" outlineLevel="0" collapsed="false">
      <c r="B110" s="103" t="s">
        <v>1522</v>
      </c>
      <c r="C110" s="8"/>
      <c r="D110" s="8"/>
      <c r="E110" s="8"/>
      <c r="F110" s="8"/>
      <c r="G110" s="8"/>
      <c r="H110" s="8"/>
      <c r="I110" s="8"/>
      <c r="J110" s="8"/>
      <c r="K110" s="8"/>
    </row>
    <row r="111" customFormat="false" ht="17.25" hidden="false" customHeight="true" outlineLevel="0" collapsed="false">
      <c r="B111" s="152" t="s">
        <v>1523</v>
      </c>
      <c r="C111" s="152" t="s">
        <v>1524</v>
      </c>
      <c r="D111" s="152" t="s">
        <v>6719</v>
      </c>
      <c r="E111" s="152"/>
      <c r="F111" s="152"/>
      <c r="G111" s="152"/>
    </row>
    <row r="112" customFormat="false" ht="17.25" hidden="false" customHeight="true" outlineLevel="0" collapsed="false">
      <c r="B112" s="170" t="s">
        <v>6632</v>
      </c>
      <c r="C112" s="170" t="s">
        <v>1070</v>
      </c>
      <c r="D112" s="171" t="s">
        <v>9701</v>
      </c>
      <c r="E112" s="171"/>
      <c r="F112" s="171"/>
      <c r="G112" s="171"/>
    </row>
  </sheetData>
  <mergeCells count="62">
    <mergeCell ref="B2:J2"/>
    <mergeCell ref="D3:H3"/>
    <mergeCell ref="C6:E6"/>
    <mergeCell ref="C7:E7"/>
    <mergeCell ref="C8:E8"/>
    <mergeCell ref="B11:H11"/>
    <mergeCell ref="B12:H13"/>
    <mergeCell ref="B14:H16"/>
    <mergeCell ref="B17:H20"/>
    <mergeCell ref="B21:H23"/>
    <mergeCell ref="B24:H25"/>
    <mergeCell ref="B28:C28"/>
    <mergeCell ref="E28:H28"/>
    <mergeCell ref="B29:C29"/>
    <mergeCell ref="E29:H29"/>
    <mergeCell ref="B30:C30"/>
    <mergeCell ref="E30:H30"/>
    <mergeCell ref="B31:C31"/>
    <mergeCell ref="E31:H31"/>
    <mergeCell ref="B32:H32"/>
    <mergeCell ref="E34:F34"/>
    <mergeCell ref="E35:F35"/>
    <mergeCell ref="E36:F36"/>
    <mergeCell ref="E37:F37"/>
    <mergeCell ref="E38:F38"/>
    <mergeCell ref="B41:H43"/>
    <mergeCell ref="B46:H47"/>
    <mergeCell ref="B49:H50"/>
    <mergeCell ref="D53:H53"/>
    <mergeCell ref="D54:H54"/>
    <mergeCell ref="D55:H55"/>
    <mergeCell ref="D56:H56"/>
    <mergeCell ref="D57:H57"/>
    <mergeCell ref="D58:H58"/>
    <mergeCell ref="B61:H62"/>
    <mergeCell ref="B65:H65"/>
    <mergeCell ref="B66:H66"/>
    <mergeCell ref="D79:F79"/>
    <mergeCell ref="D80:F80"/>
    <mergeCell ref="D81:F81"/>
    <mergeCell ref="D82:F82"/>
    <mergeCell ref="D83:F83"/>
    <mergeCell ref="D84:F84"/>
    <mergeCell ref="D85:F85"/>
    <mergeCell ref="D86:F86"/>
    <mergeCell ref="C89:G89"/>
    <mergeCell ref="D91:H91"/>
    <mergeCell ref="D92:H92"/>
    <mergeCell ref="D93:H93"/>
    <mergeCell ref="D94:H94"/>
    <mergeCell ref="D95:H95"/>
    <mergeCell ref="B98:H98"/>
    <mergeCell ref="B99:H99"/>
    <mergeCell ref="B100:H100"/>
    <mergeCell ref="B101:H101"/>
    <mergeCell ref="B102:H102"/>
    <mergeCell ref="B105:F105"/>
    <mergeCell ref="B106:F106"/>
    <mergeCell ref="B107:F107"/>
    <mergeCell ref="B108:F108"/>
    <mergeCell ref="D111:G111"/>
    <mergeCell ref="D112:G112"/>
  </mergeCells>
  <hyperlinks>
    <hyperlink ref="B3" location="'N-03 Index DMAIC'!A1" display="← Back to Index"/>
    <hyperlink ref="E35" location="'H-05 Check Sheets'!A1" display="H-05  Check Sheets"/>
    <hyperlink ref="E36" location="'H-05 Check Sheets'!A1" display="H-05  Check Sheets"/>
    <hyperlink ref="E37" location="'H-08 Run Chart'!A1" display="H-08  Run Chart"/>
    <hyperlink ref="E38" location="'G-02 Business Case COPQ'!A1" display="G-02  Business Case and COPQ"/>
    <hyperlink ref="B112" location="'H-05 Check Sheets'!A1" display="H-05  Check Sheets"/>
    <hyperlink ref="C112" location="'H-09 Stratification'!A1" display="H-09  Stratification"/>
    <hyperlink ref="D112" location="'H-10 Ishikawa'!A1" display="H-10  Ishikawa / Fishbon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8" min="3" style="1" width="13"/>
    <col collapsed="false" customWidth="true" hidden="false" outlineLevel="0" max="10" min="9"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10762</v>
      </c>
      <c r="C2" s="148"/>
      <c r="D2" s="148"/>
      <c r="E2" s="148"/>
      <c r="F2" s="148"/>
      <c r="G2" s="148"/>
      <c r="H2" s="148"/>
      <c r="I2" s="148"/>
      <c r="J2" s="148"/>
      <c r="K2" s="172" t="s">
        <v>1389</v>
      </c>
    </row>
    <row r="3" customFormat="false" ht="42" hidden="false" customHeight="true" outlineLevel="0" collapsed="false">
      <c r="B3" s="150" t="s">
        <v>3</v>
      </c>
      <c r="D3" s="151" t="s">
        <v>10763</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10764</v>
      </c>
      <c r="D6" s="106"/>
      <c r="E6" s="106"/>
      <c r="F6" s="106"/>
      <c r="G6" s="106"/>
    </row>
    <row r="7" customFormat="false" ht="31.5" hidden="false" customHeight="true" outlineLevel="0" collapsed="false">
      <c r="B7" s="105" t="s">
        <v>1394</v>
      </c>
      <c r="C7" s="106" t="s">
        <v>10765</v>
      </c>
      <c r="D7" s="106"/>
      <c r="E7" s="106"/>
      <c r="F7" s="106"/>
      <c r="G7" s="106"/>
    </row>
    <row r="8" customFormat="false" ht="17.25" hidden="false" customHeight="true" outlineLevel="0" collapsed="false">
      <c r="B8" s="105" t="s">
        <v>1396</v>
      </c>
      <c r="C8" s="106" t="s">
        <v>10766</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10767</v>
      </c>
      <c r="C11" s="106"/>
      <c r="D11" s="106"/>
      <c r="E11" s="106"/>
      <c r="F11" s="106"/>
      <c r="G11" s="106"/>
      <c r="H11" s="106"/>
    </row>
    <row r="12" customFormat="false" ht="10.5" hidden="false" customHeight="true" outlineLevel="0" collapsed="false">
      <c r="B12" s="106"/>
      <c r="C12" s="106"/>
      <c r="D12" s="106"/>
      <c r="E12" s="106"/>
      <c r="F12" s="106"/>
      <c r="G12" s="106"/>
      <c r="H12" s="106"/>
    </row>
    <row r="13" customFormat="false" ht="10.5" hidden="false" customHeight="true" outlineLevel="0" collapsed="false">
      <c r="B13" s="106"/>
      <c r="C13" s="106"/>
      <c r="D13" s="106"/>
      <c r="E13" s="106"/>
      <c r="F13" s="106"/>
      <c r="G13" s="106"/>
      <c r="H13" s="106"/>
    </row>
    <row r="14" customFormat="false" ht="11.25" hidden="false" customHeight="true" outlineLevel="0" collapsed="false">
      <c r="B14" s="106" t="s">
        <v>10768</v>
      </c>
      <c r="C14" s="106"/>
      <c r="D14" s="106"/>
      <c r="E14" s="106"/>
      <c r="F14" s="106"/>
      <c r="G14" s="106"/>
      <c r="H14" s="106"/>
    </row>
    <row r="15" customFormat="false" ht="11.25" hidden="false" customHeight="true" outlineLevel="0" collapsed="false">
      <c r="B15" s="106"/>
      <c r="C15" s="106"/>
      <c r="D15" s="106"/>
      <c r="E15" s="106"/>
      <c r="F15" s="106"/>
      <c r="G15" s="106"/>
      <c r="H15" s="106"/>
    </row>
    <row r="16" customFormat="false" ht="11.25" hidden="false" customHeight="true" outlineLevel="0" collapsed="false">
      <c r="B16" s="106"/>
      <c r="C16" s="106"/>
      <c r="D16" s="106"/>
      <c r="E16" s="106"/>
      <c r="F16" s="106"/>
      <c r="G16" s="106"/>
      <c r="H16" s="106"/>
    </row>
    <row r="17" customFormat="false" ht="11.25" hidden="false" customHeight="true" outlineLevel="0" collapsed="false">
      <c r="B17" s="106"/>
      <c r="C17" s="106"/>
      <c r="D17" s="106"/>
      <c r="E17" s="106"/>
      <c r="F17" s="106"/>
      <c r="G17" s="106"/>
      <c r="H17" s="106"/>
    </row>
    <row r="18" customFormat="false" ht="11.25" hidden="false" customHeight="true" outlineLevel="0" collapsed="false">
      <c r="B18" s="106" t="s">
        <v>10769</v>
      </c>
      <c r="C18" s="106"/>
      <c r="D18" s="106"/>
      <c r="E18" s="106"/>
      <c r="F18" s="106"/>
      <c r="G18" s="106"/>
      <c r="H18" s="106"/>
    </row>
    <row r="19" customFormat="false" ht="11.25" hidden="false" customHeight="true" outlineLevel="0" collapsed="false">
      <c r="B19" s="106"/>
      <c r="C19" s="106"/>
      <c r="D19" s="106"/>
      <c r="E19" s="106"/>
      <c r="F19" s="106"/>
      <c r="G19" s="106"/>
      <c r="H19" s="106"/>
    </row>
    <row r="20" customFormat="false" ht="11.25" hidden="false" customHeight="true" outlineLevel="0" collapsed="false">
      <c r="B20" s="106"/>
      <c r="C20" s="106"/>
      <c r="D20" s="106"/>
      <c r="E20" s="106"/>
      <c r="F20" s="106"/>
      <c r="G20" s="106"/>
      <c r="H20" s="106"/>
    </row>
    <row r="21" customFormat="false" ht="11.25" hidden="false" customHeight="true" outlineLevel="0" collapsed="false">
      <c r="B21" s="106"/>
      <c r="C21" s="106"/>
      <c r="D21" s="106"/>
      <c r="E21" s="106"/>
      <c r="F21" s="106"/>
      <c r="G21" s="106"/>
      <c r="H21" s="106"/>
    </row>
    <row r="22" customFormat="false" ht="10.5" hidden="false" customHeight="true" outlineLevel="0" collapsed="false">
      <c r="B22" s="106" t="s">
        <v>10770</v>
      </c>
      <c r="C22" s="106"/>
      <c r="D22" s="106"/>
      <c r="E22" s="106"/>
      <c r="F22" s="106"/>
      <c r="G22" s="106"/>
      <c r="H22" s="106"/>
    </row>
    <row r="23" customFormat="false" ht="10.5" hidden="false" customHeight="true" outlineLevel="0" collapsed="false">
      <c r="B23" s="106"/>
      <c r="C23" s="106"/>
      <c r="D23" s="106"/>
      <c r="E23" s="106"/>
      <c r="F23" s="106"/>
      <c r="G23" s="106"/>
      <c r="H23" s="106"/>
    </row>
    <row r="24" customFormat="false" ht="10.5" hidden="false" customHeight="true" outlineLevel="0" collapsed="false">
      <c r="B24" s="106"/>
      <c r="C24" s="106"/>
      <c r="D24" s="106"/>
      <c r="E24" s="106"/>
      <c r="F24" s="106"/>
      <c r="G24" s="106"/>
      <c r="H24" s="106"/>
    </row>
    <row r="25" customFormat="false" ht="10.5" hidden="false" customHeight="true" outlineLevel="0" collapsed="false">
      <c r="B25" s="106" t="s">
        <v>10771</v>
      </c>
      <c r="C25" s="106"/>
      <c r="D25" s="106"/>
      <c r="E25" s="106"/>
      <c r="F25" s="106"/>
      <c r="G25" s="106"/>
      <c r="H25" s="106"/>
    </row>
    <row r="26" customFormat="false" ht="10.5" hidden="false" customHeight="true" outlineLevel="0" collapsed="false">
      <c r="B26" s="106"/>
      <c r="C26" s="106"/>
      <c r="D26" s="106"/>
      <c r="E26" s="106"/>
      <c r="F26" s="106"/>
      <c r="G26" s="106"/>
      <c r="H26" s="106"/>
    </row>
    <row r="27" customFormat="false" ht="10.5" hidden="false" customHeight="true" outlineLevel="0" collapsed="false">
      <c r="B27" s="106"/>
      <c r="C27" s="106"/>
      <c r="D27" s="106"/>
      <c r="E27" s="106"/>
      <c r="F27" s="106"/>
      <c r="G27" s="106"/>
      <c r="H27" s="106"/>
    </row>
    <row r="29" customFormat="false" ht="15.75" hidden="false" customHeight="true" outlineLevel="0" collapsed="false">
      <c r="B29" s="103" t="s">
        <v>1406</v>
      </c>
      <c r="C29" s="8"/>
      <c r="D29" s="8"/>
      <c r="E29" s="8"/>
      <c r="F29" s="8"/>
      <c r="G29" s="8"/>
      <c r="H29" s="8"/>
      <c r="I29" s="8"/>
      <c r="J29" s="8"/>
      <c r="K29" s="8"/>
    </row>
    <row r="30" customFormat="false" ht="17.25" hidden="false" customHeight="true" outlineLevel="0" collapsed="false">
      <c r="B30" s="107" t="s">
        <v>1407</v>
      </c>
      <c r="C30" s="107"/>
      <c r="D30" s="107"/>
      <c r="E30" s="107" t="s">
        <v>1408</v>
      </c>
      <c r="F30" s="107"/>
    </row>
    <row r="31" customFormat="false" ht="31.5" hidden="false" customHeight="true" outlineLevel="0" collapsed="false">
      <c r="B31" s="106" t="s">
        <v>10772</v>
      </c>
      <c r="C31" s="106"/>
      <c r="D31" s="106"/>
      <c r="E31" s="106" t="s">
        <v>10773</v>
      </c>
      <c r="F31" s="106"/>
    </row>
    <row r="32" customFormat="false" ht="45.75" hidden="false" customHeight="true" outlineLevel="0" collapsed="false">
      <c r="B32" s="106" t="s">
        <v>10774</v>
      </c>
      <c r="C32" s="106"/>
      <c r="D32" s="106"/>
      <c r="E32" s="106" t="s">
        <v>10775</v>
      </c>
      <c r="F32" s="106"/>
    </row>
    <row r="33" customFormat="false" ht="31.5" hidden="false" customHeight="true" outlineLevel="0" collapsed="false">
      <c r="B33" s="106" t="s">
        <v>10776</v>
      </c>
      <c r="C33" s="106"/>
      <c r="D33" s="106"/>
      <c r="E33" s="106" t="s">
        <v>10777</v>
      </c>
      <c r="F33" s="106"/>
    </row>
    <row r="34" customFormat="false" ht="17.25" hidden="false" customHeight="true" outlineLevel="0" collapsed="false">
      <c r="B34" s="106" t="s">
        <v>10778</v>
      </c>
      <c r="C34" s="106"/>
      <c r="D34" s="106"/>
      <c r="E34" s="106"/>
      <c r="F34" s="106"/>
      <c r="G34" s="106"/>
      <c r="H34" s="106"/>
    </row>
    <row r="36" customFormat="false" ht="30.75" hidden="false" customHeight="true" outlineLevel="0" collapsed="false">
      <c r="B36" s="152" t="s">
        <v>6621</v>
      </c>
      <c r="C36" s="152" t="s">
        <v>1417</v>
      </c>
      <c r="D36" s="152" t="s">
        <v>1418</v>
      </c>
      <c r="E36" s="152" t="s">
        <v>1419</v>
      </c>
    </row>
    <row r="37" customFormat="false" ht="86.25" hidden="false" customHeight="true" outlineLevel="0" collapsed="false">
      <c r="B37" s="15" t="s">
        <v>10779</v>
      </c>
      <c r="C37" s="15" t="s">
        <v>10780</v>
      </c>
      <c r="D37" s="15" t="s">
        <v>10781</v>
      </c>
      <c r="E37" s="153" t="s">
        <v>1070</v>
      </c>
    </row>
    <row r="38" customFormat="false" ht="72" hidden="false" customHeight="true" outlineLevel="0" collapsed="false">
      <c r="B38" s="15" t="s">
        <v>9970</v>
      </c>
      <c r="C38" s="15" t="s">
        <v>10782</v>
      </c>
      <c r="D38" s="15" t="s">
        <v>10783</v>
      </c>
      <c r="E38" s="153" t="s">
        <v>9973</v>
      </c>
    </row>
    <row r="39" customFormat="false" ht="72" hidden="false" customHeight="true" outlineLevel="0" collapsed="false">
      <c r="B39" s="15" t="s">
        <v>10784</v>
      </c>
      <c r="C39" s="15" t="s">
        <v>10785</v>
      </c>
      <c r="D39" s="15" t="s">
        <v>10786</v>
      </c>
      <c r="E39" s="153" t="s">
        <v>10787</v>
      </c>
    </row>
    <row r="40" customFormat="false" ht="72" hidden="false" customHeight="true" outlineLevel="0" collapsed="false">
      <c r="B40" s="15" t="s">
        <v>10788</v>
      </c>
      <c r="C40" s="15" t="s">
        <v>10789</v>
      </c>
      <c r="D40" s="15" t="s">
        <v>10790</v>
      </c>
      <c r="E40" s="153" t="s">
        <v>9839</v>
      </c>
    </row>
    <row r="42" customFormat="false" ht="15.75" hidden="false" customHeight="true" outlineLevel="0" collapsed="false">
      <c r="B42" s="103" t="s">
        <v>1429</v>
      </c>
      <c r="C42" s="8"/>
      <c r="D42" s="8"/>
      <c r="E42" s="8"/>
      <c r="F42" s="8"/>
      <c r="G42" s="8"/>
      <c r="H42" s="8"/>
      <c r="I42" s="8"/>
      <c r="J42" s="8"/>
      <c r="K42" s="8"/>
    </row>
    <row r="43" customFormat="false" ht="8.25" hidden="false" customHeight="true" outlineLevel="0" collapsed="false">
      <c r="B43" s="106" t="s">
        <v>10791</v>
      </c>
      <c r="C43" s="106"/>
      <c r="D43" s="106"/>
      <c r="E43" s="106"/>
      <c r="F43" s="106"/>
      <c r="G43" s="106"/>
      <c r="H43" s="106"/>
    </row>
    <row r="44" customFormat="false" ht="8.25" hidden="false" customHeight="true" outlineLevel="0" collapsed="false">
      <c r="B44" s="106"/>
      <c r="C44" s="106"/>
      <c r="D44" s="106"/>
      <c r="E44" s="106"/>
      <c r="F44" s="106"/>
      <c r="G44" s="106"/>
      <c r="H44" s="106"/>
    </row>
    <row r="45" customFormat="false" ht="16.5" hidden="false" customHeight="true" outlineLevel="0" collapsed="false">
      <c r="B45" s="122" t="s">
        <v>10792</v>
      </c>
    </row>
    <row r="46" customFormat="false" ht="16.5" hidden="false" customHeight="true" outlineLevel="0" collapsed="false">
      <c r="B46" s="122" t="s">
        <v>10793</v>
      </c>
    </row>
    <row r="47" customFormat="false" ht="17.25" hidden="false" customHeight="true" outlineLevel="0" collapsed="false">
      <c r="B47" s="106" t="s">
        <v>10794</v>
      </c>
      <c r="C47" s="106"/>
      <c r="D47" s="106"/>
      <c r="E47" s="106"/>
      <c r="F47" s="106"/>
      <c r="G47" s="106"/>
      <c r="H47" s="106"/>
    </row>
    <row r="48" customFormat="false" ht="15" hidden="false" customHeight="true" outlineLevel="0" collapsed="false">
      <c r="B48" s="122"/>
    </row>
    <row r="49" customFormat="false" ht="16.5" hidden="false" customHeight="true" outlineLevel="0" collapsed="false">
      <c r="B49" s="122" t="s">
        <v>10795</v>
      </c>
    </row>
    <row r="50" customFormat="false" ht="15.75" hidden="false" customHeight="true" outlineLevel="0" collapsed="false">
      <c r="B50" s="106" t="s">
        <v>10796</v>
      </c>
      <c r="C50" s="106"/>
      <c r="D50" s="106"/>
      <c r="E50" s="106"/>
      <c r="F50" s="106"/>
      <c r="G50" s="106"/>
      <c r="H50" s="106"/>
    </row>
    <row r="51" customFormat="false" ht="15.75" hidden="false" customHeight="true" outlineLevel="0" collapsed="false">
      <c r="B51" s="106"/>
      <c r="C51" s="106"/>
      <c r="D51" s="106"/>
      <c r="E51" s="106"/>
      <c r="F51" s="106"/>
      <c r="G51" s="106"/>
      <c r="H51" s="106"/>
    </row>
    <row r="52" customFormat="false" ht="15" hidden="false" customHeight="true" outlineLevel="0" collapsed="false">
      <c r="B52" s="122"/>
    </row>
    <row r="53" customFormat="false" ht="16.5" hidden="false" customHeight="true" outlineLevel="0" collapsed="false">
      <c r="B53" s="122" t="s">
        <v>10797</v>
      </c>
    </row>
    <row r="54" customFormat="false" ht="15.75" hidden="false" customHeight="true" outlineLevel="0" collapsed="false">
      <c r="B54" s="106" t="s">
        <v>10798</v>
      </c>
      <c r="C54" s="106"/>
      <c r="D54" s="106"/>
      <c r="E54" s="106"/>
      <c r="F54" s="106"/>
      <c r="G54" s="106"/>
      <c r="H54" s="106"/>
    </row>
    <row r="55" customFormat="false" ht="15.75" hidden="false" customHeight="true" outlineLevel="0" collapsed="false">
      <c r="B55" s="106"/>
      <c r="C55" s="106"/>
      <c r="D55" s="106"/>
      <c r="E55" s="106"/>
      <c r="F55" s="106"/>
      <c r="G55" s="106"/>
      <c r="H55" s="106"/>
    </row>
    <row r="57" customFormat="false" ht="15.75" hidden="false" customHeight="true" outlineLevel="0" collapsed="false">
      <c r="B57" s="103" t="s">
        <v>1437</v>
      </c>
      <c r="C57" s="8"/>
      <c r="D57" s="8"/>
      <c r="E57" s="8"/>
      <c r="F57" s="8"/>
      <c r="G57" s="8"/>
      <c r="H57" s="8"/>
      <c r="I57" s="8"/>
      <c r="J57" s="8"/>
      <c r="K57" s="8"/>
    </row>
    <row r="58" customFormat="false" ht="17.25" hidden="false" customHeight="true" outlineLevel="0" collapsed="false">
      <c r="B58" s="152" t="s">
        <v>1438</v>
      </c>
      <c r="C58" s="152" t="s">
        <v>1439</v>
      </c>
      <c r="D58" s="152" t="s">
        <v>1440</v>
      </c>
      <c r="E58" s="152"/>
    </row>
    <row r="59" customFormat="false" ht="31.5" hidden="false" customHeight="true" outlineLevel="0" collapsed="false">
      <c r="B59" s="15" t="s">
        <v>1662</v>
      </c>
      <c r="C59" s="15" t="s">
        <v>10799</v>
      </c>
      <c r="D59" s="15" t="s">
        <v>10800</v>
      </c>
      <c r="E59" s="15"/>
    </row>
    <row r="60" customFormat="false" ht="58.5" hidden="false" customHeight="true" outlineLevel="0" collapsed="false">
      <c r="B60" s="15" t="s">
        <v>10801</v>
      </c>
      <c r="C60" s="15" t="s">
        <v>10802</v>
      </c>
      <c r="D60" s="15" t="s">
        <v>10803</v>
      </c>
      <c r="E60" s="15"/>
    </row>
    <row r="61" customFormat="false" ht="30.75" hidden="false" customHeight="true" outlineLevel="0" collapsed="false">
      <c r="B61" s="15" t="s">
        <v>10804</v>
      </c>
      <c r="C61" s="15" t="s">
        <v>10805</v>
      </c>
      <c r="D61" s="15" t="s">
        <v>10806</v>
      </c>
      <c r="E61" s="15"/>
    </row>
    <row r="62" customFormat="false" ht="44.25" hidden="false" customHeight="true" outlineLevel="0" collapsed="false">
      <c r="B62" s="15" t="s">
        <v>10807</v>
      </c>
      <c r="C62" s="15" t="s">
        <v>10808</v>
      </c>
      <c r="D62" s="15" t="s">
        <v>10809</v>
      </c>
      <c r="E62" s="15"/>
    </row>
    <row r="63" customFormat="false" ht="58.5" hidden="false" customHeight="true" outlineLevel="0" collapsed="false">
      <c r="B63" s="15" t="s">
        <v>9748</v>
      </c>
      <c r="C63" s="15" t="s">
        <v>10810</v>
      </c>
      <c r="D63" s="15" t="s">
        <v>10811</v>
      </c>
      <c r="E63" s="15"/>
    </row>
    <row r="65" customFormat="false" ht="15.75" hidden="false" customHeight="true" outlineLevel="0" collapsed="false">
      <c r="B65" s="103" t="s">
        <v>1454</v>
      </c>
      <c r="C65" s="8"/>
      <c r="D65" s="8"/>
      <c r="E65" s="8"/>
      <c r="F65" s="8"/>
      <c r="G65" s="8"/>
      <c r="H65" s="8"/>
      <c r="I65" s="8"/>
      <c r="J65" s="8"/>
      <c r="K65" s="8"/>
    </row>
    <row r="66" customFormat="false" ht="17.25" hidden="false" customHeight="true" outlineLevel="0" collapsed="false">
      <c r="B66" s="106" t="s">
        <v>10812</v>
      </c>
      <c r="C66" s="106"/>
      <c r="D66" s="106"/>
      <c r="E66" s="106"/>
      <c r="F66" s="106"/>
      <c r="G66" s="106"/>
      <c r="H66" s="106"/>
    </row>
    <row r="67" customFormat="false" ht="17.25" hidden="false" customHeight="true" outlineLevel="0" collapsed="false">
      <c r="B67" s="106" t="s">
        <v>10813</v>
      </c>
      <c r="C67" s="106"/>
      <c r="D67" s="106"/>
      <c r="E67" s="106"/>
      <c r="F67" s="106"/>
      <c r="G67" s="106"/>
      <c r="H67" s="106"/>
    </row>
    <row r="68" customFormat="false" ht="17.25" hidden="false" customHeight="true" outlineLevel="0" collapsed="false">
      <c r="B68" s="112" t="s">
        <v>85</v>
      </c>
      <c r="C68" s="113" t="s">
        <v>86</v>
      </c>
      <c r="D68" s="113"/>
    </row>
    <row r="70" customFormat="false" ht="17.25" hidden="false" customHeight="true" outlineLevel="0" collapsed="false">
      <c r="B70" s="107" t="s">
        <v>10814</v>
      </c>
      <c r="C70" s="107"/>
      <c r="D70" s="107"/>
      <c r="E70" s="107"/>
      <c r="F70" s="107"/>
      <c r="G70" s="107"/>
      <c r="H70" s="107"/>
    </row>
    <row r="71" customFormat="false" ht="16.5" hidden="false" customHeight="true" outlineLevel="0" collapsed="false">
      <c r="B71" s="152" t="s">
        <v>10815</v>
      </c>
      <c r="C71" s="152" t="s">
        <v>34</v>
      </c>
      <c r="D71" s="152" t="s">
        <v>6922</v>
      </c>
      <c r="E71" s="152" t="s">
        <v>6926</v>
      </c>
      <c r="F71" s="152" t="s">
        <v>6931</v>
      </c>
      <c r="G71" s="152" t="s">
        <v>40</v>
      </c>
      <c r="H71" s="152" t="s">
        <v>5663</v>
      </c>
    </row>
    <row r="72" customFormat="false" ht="16.5" hidden="false" customHeight="true" outlineLevel="0" collapsed="false">
      <c r="B72" s="15" t="s">
        <v>10816</v>
      </c>
      <c r="C72" s="157" t="n">
        <v>501.2</v>
      </c>
      <c r="D72" s="157" t="n">
        <v>503.4</v>
      </c>
      <c r="E72" s="157" t="n">
        <v>502.8</v>
      </c>
      <c r="F72" s="157" t="n">
        <v>504.1</v>
      </c>
      <c r="G72" s="157" t="n">
        <v>502.2</v>
      </c>
      <c r="H72" s="177" t="s">
        <v>378</v>
      </c>
    </row>
    <row r="73" customFormat="false" ht="16.5" hidden="false" customHeight="true" outlineLevel="0" collapsed="false">
      <c r="B73" s="15" t="s">
        <v>10817</v>
      </c>
      <c r="C73" s="157" t="n">
        <v>503.9</v>
      </c>
      <c r="D73" s="157" t="n">
        <v>501.8</v>
      </c>
      <c r="E73" s="157" t="n">
        <v>502.6</v>
      </c>
      <c r="F73" s="157" t="n">
        <v>503.1</v>
      </c>
      <c r="G73" s="157" t="n">
        <v>502.4</v>
      </c>
      <c r="H73" s="177" t="s">
        <v>378</v>
      </c>
    </row>
    <row r="74" customFormat="false" ht="16.5" hidden="false" customHeight="true" outlineLevel="0" collapsed="false">
      <c r="B74" s="15" t="s">
        <v>10818</v>
      </c>
      <c r="C74" s="157" t="n">
        <v>504.5</v>
      </c>
      <c r="D74" s="157" t="n">
        <v>502.9</v>
      </c>
      <c r="E74" s="157" t="n">
        <v>503.6</v>
      </c>
      <c r="F74" s="157" t="n">
        <v>501.5</v>
      </c>
      <c r="G74" s="157" t="n">
        <v>503.2</v>
      </c>
      <c r="H74" s="177" t="s">
        <v>378</v>
      </c>
    </row>
    <row r="75" customFormat="false" ht="16.5" hidden="false" customHeight="true" outlineLevel="0" collapsed="false">
      <c r="B75" s="15" t="s">
        <v>10819</v>
      </c>
      <c r="C75" s="157" t="n">
        <v>502.1</v>
      </c>
      <c r="D75" s="157" t="n">
        <v>501.7</v>
      </c>
      <c r="E75" s="157" t="n">
        <v>502.9</v>
      </c>
      <c r="F75" s="157" t="n">
        <v>503.3</v>
      </c>
      <c r="G75" s="157" t="n">
        <v>502</v>
      </c>
      <c r="H75" s="177" t="s">
        <v>5359</v>
      </c>
    </row>
    <row r="76" customFormat="false" ht="16.5" hidden="false" customHeight="true" outlineLevel="0" collapsed="false">
      <c r="B76" s="15" t="s">
        <v>10820</v>
      </c>
      <c r="C76" s="157" t="n">
        <v>501.4</v>
      </c>
      <c r="D76" s="157" t="n">
        <v>502.7</v>
      </c>
      <c r="E76" s="157" t="n">
        <v>503.8</v>
      </c>
      <c r="F76" s="157" t="n">
        <v>502.3</v>
      </c>
      <c r="G76" s="157" t="n">
        <v>501.9</v>
      </c>
      <c r="H76" s="177" t="s">
        <v>5359</v>
      </c>
    </row>
    <row r="77" customFormat="false" ht="16.5" hidden="false" customHeight="true" outlineLevel="0" collapsed="false">
      <c r="B77" s="15" t="s">
        <v>10821</v>
      </c>
      <c r="C77" s="157" t="n">
        <v>502.5</v>
      </c>
      <c r="D77" s="157" t="n">
        <v>503</v>
      </c>
      <c r="E77" s="157" t="n">
        <v>502.2</v>
      </c>
      <c r="F77" s="157" t="n">
        <v>501.6</v>
      </c>
      <c r="G77" s="157" t="n">
        <v>502.8</v>
      </c>
      <c r="H77" s="177" t="s">
        <v>5359</v>
      </c>
    </row>
    <row r="78" customFormat="false" ht="16.5" hidden="false" customHeight="true" outlineLevel="0" collapsed="false">
      <c r="B78" s="15" t="s">
        <v>10822</v>
      </c>
      <c r="C78" s="157" t="n">
        <v>505.2</v>
      </c>
      <c r="D78" s="157" t="n">
        <v>504.8</v>
      </c>
      <c r="E78" s="157" t="n">
        <v>506.1</v>
      </c>
      <c r="F78" s="157" t="n">
        <v>505.5</v>
      </c>
      <c r="G78" s="157" t="n">
        <v>504.3</v>
      </c>
      <c r="H78" s="177" t="s">
        <v>640</v>
      </c>
    </row>
    <row r="79" customFormat="false" ht="16.5" hidden="false" customHeight="true" outlineLevel="0" collapsed="false">
      <c r="B79" s="15" t="s">
        <v>10823</v>
      </c>
      <c r="C79" s="157" t="n">
        <v>505.9</v>
      </c>
      <c r="D79" s="157" t="n">
        <v>506.4</v>
      </c>
      <c r="E79" s="157" t="n">
        <v>504.9</v>
      </c>
      <c r="F79" s="157" t="n">
        <v>505.1</v>
      </c>
      <c r="G79" s="157" t="n">
        <v>505.7</v>
      </c>
      <c r="H79" s="177" t="s">
        <v>640</v>
      </c>
    </row>
    <row r="80" customFormat="false" ht="16.5" hidden="false" customHeight="true" outlineLevel="0" collapsed="false">
      <c r="B80" s="15" t="s">
        <v>10824</v>
      </c>
      <c r="C80" s="157" t="n">
        <v>504.6</v>
      </c>
      <c r="D80" s="157" t="n">
        <v>506</v>
      </c>
      <c r="E80" s="157" t="n">
        <v>505.3</v>
      </c>
      <c r="F80" s="157" t="n">
        <v>504.4</v>
      </c>
      <c r="G80" s="157" t="n">
        <v>505.8</v>
      </c>
      <c r="H80" s="177" t="s">
        <v>640</v>
      </c>
    </row>
    <row r="81" customFormat="false" ht="16.5" hidden="false" customHeight="true" outlineLevel="0" collapsed="false">
      <c r="B81" s="15" t="s">
        <v>10825</v>
      </c>
      <c r="C81" s="157" t="n">
        <v>502.6</v>
      </c>
      <c r="D81" s="157" t="n">
        <v>503.1</v>
      </c>
      <c r="E81" s="157" t="n">
        <v>502.4</v>
      </c>
      <c r="F81" s="157" t="n">
        <v>503.5</v>
      </c>
      <c r="G81" s="157" t="n">
        <v>502.9</v>
      </c>
      <c r="H81" s="177" t="s">
        <v>175</v>
      </c>
    </row>
    <row r="82" customFormat="false" ht="16.5" hidden="false" customHeight="true" outlineLevel="0" collapsed="false">
      <c r="B82" s="15" t="s">
        <v>10826</v>
      </c>
      <c r="C82" s="157" t="n">
        <v>502.2</v>
      </c>
      <c r="D82" s="157" t="n">
        <v>503.3</v>
      </c>
      <c r="E82" s="157" t="n">
        <v>502.7</v>
      </c>
      <c r="F82" s="157" t="n">
        <v>503</v>
      </c>
      <c r="G82" s="157" t="n">
        <v>502.5</v>
      </c>
      <c r="H82" s="177" t="s">
        <v>175</v>
      </c>
    </row>
    <row r="83" customFormat="false" ht="16.5" hidden="false" customHeight="true" outlineLevel="0" collapsed="false">
      <c r="B83" s="15" t="s">
        <v>10827</v>
      </c>
      <c r="C83" s="157" t="n">
        <v>503.7</v>
      </c>
      <c r="D83" s="157" t="n">
        <v>502.1</v>
      </c>
      <c r="E83" s="157" t="n">
        <v>502.8</v>
      </c>
      <c r="F83" s="157" t="n">
        <v>503.2</v>
      </c>
      <c r="G83" s="157" t="n">
        <v>502.3</v>
      </c>
      <c r="H83" s="177" t="s">
        <v>175</v>
      </c>
    </row>
    <row r="85" customFormat="false" ht="17.25" hidden="false" customHeight="true" outlineLevel="0" collapsed="false">
      <c r="B85" s="107" t="s">
        <v>10828</v>
      </c>
      <c r="C85" s="107"/>
      <c r="D85" s="107"/>
      <c r="E85" s="107"/>
      <c r="F85" s="107"/>
      <c r="G85" s="107"/>
      <c r="H85" s="107"/>
    </row>
    <row r="86" customFormat="false" ht="16.5" hidden="false" customHeight="true" outlineLevel="0" collapsed="false">
      <c r="B86" s="152" t="s">
        <v>3692</v>
      </c>
      <c r="C86" s="152" t="s">
        <v>10829</v>
      </c>
      <c r="D86" s="152" t="s">
        <v>6654</v>
      </c>
      <c r="E86" s="152" t="s">
        <v>6575</v>
      </c>
    </row>
    <row r="87" customFormat="false" ht="16.5" hidden="false" customHeight="true" outlineLevel="0" collapsed="false">
      <c r="B87" s="15" t="s">
        <v>1769</v>
      </c>
      <c r="C87" s="15" t="s">
        <v>1569</v>
      </c>
      <c r="D87" s="161" t="n">
        <f aca="false">COUNT($C$72:$G$83)</f>
        <v>60</v>
      </c>
      <c r="E87" s="15" t="s">
        <v>6798</v>
      </c>
    </row>
    <row r="88" customFormat="false" ht="30.75" hidden="false" customHeight="true" outlineLevel="0" collapsed="false">
      <c r="B88" s="15" t="s">
        <v>2085</v>
      </c>
      <c r="C88" s="15" t="s">
        <v>1563</v>
      </c>
      <c r="D88" s="174" t="n">
        <f aca="false">AVERAGE($C$72:$G$83)</f>
        <v>503.361666666667</v>
      </c>
      <c r="E88" s="15" t="s">
        <v>10026</v>
      </c>
    </row>
    <row r="89" customFormat="false" ht="16.5" hidden="false" customHeight="true" outlineLevel="0" collapsed="false">
      <c r="B89" s="15" t="s">
        <v>1477</v>
      </c>
      <c r="C89" s="15" t="s">
        <v>1566</v>
      </c>
      <c r="D89" s="176" t="n">
        <f aca="false">STDEV($C$72:$G$83)</f>
        <v>1.35234782240678</v>
      </c>
      <c r="E89" s="15" t="s">
        <v>10026</v>
      </c>
    </row>
    <row r="90" customFormat="false" ht="16.5" hidden="false" customHeight="true" outlineLevel="0" collapsed="false">
      <c r="B90" s="15" t="s">
        <v>10830</v>
      </c>
      <c r="C90" s="15" t="s">
        <v>1666</v>
      </c>
      <c r="D90" s="158" t="n">
        <f aca="false">MIN($C$72:$G$83)</f>
        <v>501.2</v>
      </c>
      <c r="E90" s="15" t="s">
        <v>10026</v>
      </c>
    </row>
    <row r="91" customFormat="false" ht="30.75" hidden="false" customHeight="true" outlineLevel="0" collapsed="false">
      <c r="B91" s="15" t="s">
        <v>10831</v>
      </c>
      <c r="C91" s="15" t="s">
        <v>10799</v>
      </c>
      <c r="D91" s="174" t="n">
        <f aca="false">QUARTILE($C$72:$G$83,1)</f>
        <v>502.375</v>
      </c>
      <c r="E91" s="15" t="s">
        <v>10026</v>
      </c>
    </row>
    <row r="92" customFormat="false" ht="16.5" hidden="false" customHeight="true" outlineLevel="0" collapsed="false">
      <c r="B92" s="15" t="s">
        <v>10832</v>
      </c>
      <c r="C92" s="15" t="s">
        <v>3899</v>
      </c>
      <c r="D92" s="174" t="n">
        <f aca="false">MEDIAN($C$72:$G$83)</f>
        <v>503</v>
      </c>
      <c r="E92" s="15" t="s">
        <v>10026</v>
      </c>
    </row>
    <row r="93" customFormat="false" ht="30.75" hidden="false" customHeight="true" outlineLevel="0" collapsed="false">
      <c r="B93" s="15" t="s">
        <v>10833</v>
      </c>
      <c r="C93" s="15" t="s">
        <v>10834</v>
      </c>
      <c r="D93" s="174" t="n">
        <f aca="false">QUARTILE($C$72:$G$83,3)</f>
        <v>504.325</v>
      </c>
      <c r="E93" s="15" t="s">
        <v>10026</v>
      </c>
    </row>
    <row r="94" customFormat="false" ht="16.5" hidden="false" customHeight="true" outlineLevel="0" collapsed="false">
      <c r="B94" s="15" t="s">
        <v>8034</v>
      </c>
      <c r="C94" s="15" t="s">
        <v>2589</v>
      </c>
      <c r="D94" s="158" t="n">
        <f aca="false">MAX($C$72:$G$83)</f>
        <v>506.4</v>
      </c>
      <c r="E94" s="15" t="s">
        <v>10026</v>
      </c>
    </row>
    <row r="95" customFormat="false" ht="16.5" hidden="false" customHeight="true" outlineLevel="0" collapsed="false">
      <c r="B95" s="15" t="s">
        <v>10835</v>
      </c>
      <c r="C95" s="15" t="s">
        <v>10836</v>
      </c>
      <c r="D95" s="174" t="n">
        <f aca="false">D93-D91</f>
        <v>1.94999999999999</v>
      </c>
      <c r="E95" s="15" t="s">
        <v>10026</v>
      </c>
    </row>
    <row r="96" customFormat="false" ht="30.75" hidden="false" customHeight="true" outlineLevel="0" collapsed="false">
      <c r="B96" s="15" t="s">
        <v>10837</v>
      </c>
      <c r="C96" s="15" t="s">
        <v>10838</v>
      </c>
      <c r="D96" s="174" t="n">
        <f aca="false">D91-1.5*D95</f>
        <v>499.45</v>
      </c>
      <c r="E96" s="15" t="s">
        <v>10026</v>
      </c>
    </row>
    <row r="97" customFormat="false" ht="30.75" hidden="false" customHeight="true" outlineLevel="0" collapsed="false">
      <c r="B97" s="15" t="s">
        <v>10839</v>
      </c>
      <c r="C97" s="15" t="s">
        <v>10840</v>
      </c>
      <c r="D97" s="174" t="n">
        <f aca="false">D93+1.5*D95</f>
        <v>507.25</v>
      </c>
      <c r="E97" s="15" t="s">
        <v>10026</v>
      </c>
    </row>
    <row r="98" customFormat="false" ht="30.75" hidden="false" customHeight="true" outlineLevel="0" collapsed="false">
      <c r="B98" s="15" t="s">
        <v>10841</v>
      </c>
      <c r="C98" s="15" t="s">
        <v>10842</v>
      </c>
      <c r="D98" s="161" t="n">
        <f aca="false">COUNTIF($C$72:$G$83,"&lt;"&amp;D96)+COUNTIF($C$72:$G$83,"&gt;"&amp;D97)</f>
        <v>0</v>
      </c>
      <c r="E98" s="15" t="s">
        <v>6798</v>
      </c>
    </row>
    <row r="99" customFormat="false" ht="16.5" hidden="false" customHeight="true" outlineLevel="0" collapsed="false">
      <c r="B99" s="15" t="s">
        <v>1776</v>
      </c>
      <c r="C99" s="15" t="s">
        <v>1760</v>
      </c>
      <c r="D99" s="176" t="n">
        <f aca="false">SKEW($C$72:$G$83)</f>
        <v>0.648881174103213</v>
      </c>
      <c r="E99" s="15"/>
    </row>
    <row r="101" customFormat="false" ht="15" hidden="false" customHeight="true" outlineLevel="0" collapsed="false">
      <c r="B101" s="105" t="s">
        <v>10843</v>
      </c>
    </row>
    <row r="102" customFormat="false" ht="16.5" hidden="false" customHeight="true" outlineLevel="0" collapsed="false">
      <c r="B102" s="152" t="s">
        <v>10844</v>
      </c>
      <c r="C102" s="152" t="s">
        <v>6654</v>
      </c>
      <c r="D102" s="152" t="s">
        <v>6575</v>
      </c>
      <c r="E102" s="152" t="s">
        <v>6655</v>
      </c>
    </row>
    <row r="103" customFormat="false" ht="30.75" hidden="false" customHeight="true" outlineLevel="0" collapsed="false">
      <c r="B103" s="15" t="s">
        <v>10845</v>
      </c>
      <c r="C103" s="157" t="n">
        <v>498</v>
      </c>
      <c r="D103" s="15" t="s">
        <v>10026</v>
      </c>
      <c r="E103" s="15" t="s">
        <v>10846</v>
      </c>
    </row>
    <row r="104" customFormat="false" ht="16.5" hidden="false" customHeight="true" outlineLevel="0" collapsed="false">
      <c r="B104" s="15" t="s">
        <v>8819</v>
      </c>
      <c r="C104" s="157" t="n">
        <v>500</v>
      </c>
      <c r="D104" s="15" t="s">
        <v>10026</v>
      </c>
      <c r="E104" s="15" t="s">
        <v>10847</v>
      </c>
    </row>
    <row r="105" customFormat="false" ht="16.5" hidden="false" customHeight="true" outlineLevel="0" collapsed="false">
      <c r="B105" s="15" t="s">
        <v>10848</v>
      </c>
      <c r="C105" s="157" t="n">
        <v>502</v>
      </c>
      <c r="D105" s="15" t="s">
        <v>10026</v>
      </c>
      <c r="E105" s="15" t="s">
        <v>10849</v>
      </c>
    </row>
    <row r="106" customFormat="false" ht="16.5" hidden="false" customHeight="true" outlineLevel="0" collapsed="false">
      <c r="B106" s="15" t="s">
        <v>10850</v>
      </c>
      <c r="C106" s="161" t="n">
        <f aca="false">COUNTIF($C$72:$G$83,"&lt;"&amp;C103)+COUNTIF($C$72:$G$83,"&gt;"&amp;C105)</f>
        <v>52</v>
      </c>
      <c r="D106" s="15" t="s">
        <v>6798</v>
      </c>
      <c r="E106" s="15" t="s">
        <v>10851</v>
      </c>
    </row>
    <row r="107" customFormat="false" ht="16.5" hidden="false" customHeight="true" outlineLevel="0" collapsed="false">
      <c r="B107" s="15" t="s">
        <v>10852</v>
      </c>
      <c r="C107" s="160" t="n">
        <f aca="false">IFERROR(C106/D87,0)</f>
        <v>0.866666666666667</v>
      </c>
      <c r="D107" s="15"/>
      <c r="E107" s="15"/>
    </row>
    <row r="109" customFormat="false" ht="17.25" hidden="false" customHeight="true" outlineLevel="0" collapsed="false">
      <c r="B109" s="107" t="s">
        <v>10853</v>
      </c>
      <c r="C109" s="107"/>
      <c r="D109" s="107"/>
      <c r="E109" s="107"/>
      <c r="F109" s="107"/>
      <c r="G109" s="107"/>
      <c r="H109" s="107"/>
    </row>
    <row r="110" customFormat="false" ht="30.75" hidden="false" customHeight="true" outlineLevel="0" collapsed="false">
      <c r="B110" s="152" t="s">
        <v>10854</v>
      </c>
      <c r="C110" s="152" t="s">
        <v>10855</v>
      </c>
      <c r="D110" s="152" t="s">
        <v>10856</v>
      </c>
      <c r="E110" s="152" t="s">
        <v>6315</v>
      </c>
      <c r="F110" s="152" t="s">
        <v>7298</v>
      </c>
      <c r="G110" s="152" t="s">
        <v>10857</v>
      </c>
      <c r="H110" s="152"/>
    </row>
    <row r="111" customFormat="false" ht="17.25" hidden="false" customHeight="true" outlineLevel="0" collapsed="false">
      <c r="B111" s="15" t="s">
        <v>10858</v>
      </c>
      <c r="C111" s="157" t="n">
        <v>500.5</v>
      </c>
      <c r="D111" s="157" t="n">
        <v>501</v>
      </c>
      <c r="E111" s="161" t="n">
        <f aca="false">COUNTIF($C$72:$G$83,"&gt;="&amp;C111)-COUNTIF($C$72:$G$83,"&gt;="&amp;D111)</f>
        <v>0</v>
      </c>
      <c r="F111" s="160" t="n">
        <f aca="false">IFERROR(E111/COUNT($C$72:$G$83),0)</f>
        <v>0</v>
      </c>
      <c r="G111" s="167" t="str">
        <f aca="false">IF(AND(C111&gt;=$C$103,D111&lt;=$C$105),"In spec","OUT of spec")</f>
        <v>In spec</v>
      </c>
      <c r="H111" s="167"/>
    </row>
    <row r="112" customFormat="false" ht="17.25" hidden="false" customHeight="true" outlineLevel="0" collapsed="false">
      <c r="B112" s="15" t="s">
        <v>10859</v>
      </c>
      <c r="C112" s="157" t="n">
        <v>501</v>
      </c>
      <c r="D112" s="157" t="n">
        <v>501.5</v>
      </c>
      <c r="E112" s="161" t="n">
        <f aca="false">COUNTIF($C$72:$G$83,"&gt;="&amp;C112)-COUNTIF($C$72:$G$83,"&gt;="&amp;D112)</f>
        <v>2</v>
      </c>
      <c r="F112" s="160" t="n">
        <f aca="false">IFERROR(E112/COUNT($C$72:$G$83),0)</f>
        <v>0.0333333333333333</v>
      </c>
      <c r="G112" s="167" t="str">
        <f aca="false">IF(AND(C112&gt;=$C$103,D112&lt;=$C$105),"In spec","OUT of spec")</f>
        <v>In spec</v>
      </c>
      <c r="H112" s="167"/>
    </row>
    <row r="113" customFormat="false" ht="17.25" hidden="false" customHeight="true" outlineLevel="0" collapsed="false">
      <c r="B113" s="15" t="s">
        <v>10860</v>
      </c>
      <c r="C113" s="157" t="n">
        <v>501.5</v>
      </c>
      <c r="D113" s="157" t="n">
        <v>502</v>
      </c>
      <c r="E113" s="161" t="n">
        <f aca="false">COUNTIF($C$72:$G$83,"&gt;="&amp;C113)-COUNTIF($C$72:$G$83,"&gt;="&amp;D113)</f>
        <v>5</v>
      </c>
      <c r="F113" s="160" t="n">
        <f aca="false">IFERROR(E113/COUNT($C$72:$G$83),0)</f>
        <v>0.0833333333333333</v>
      </c>
      <c r="G113" s="167" t="str">
        <f aca="false">IF(AND(C113&gt;=$C$103,D113&lt;=$C$105),"In spec","OUT of spec")</f>
        <v>In spec</v>
      </c>
      <c r="H113" s="167"/>
    </row>
    <row r="114" customFormat="false" ht="17.25" hidden="false" customHeight="true" outlineLevel="0" collapsed="false">
      <c r="B114" s="15" t="s">
        <v>10861</v>
      </c>
      <c r="C114" s="157" t="n">
        <v>502</v>
      </c>
      <c r="D114" s="157" t="n">
        <v>502.5</v>
      </c>
      <c r="E114" s="161" t="n">
        <f aca="false">COUNTIF($C$72:$G$83,"&gt;="&amp;C114)-COUNTIF($C$72:$G$83,"&gt;="&amp;D114)</f>
        <v>10</v>
      </c>
      <c r="F114" s="160" t="n">
        <f aca="false">IFERROR(E114/COUNT($C$72:$G$83),0)</f>
        <v>0.166666666666667</v>
      </c>
      <c r="G114" s="167" t="str">
        <f aca="false">IF(AND(C114&gt;=$C$103,D114&lt;=$C$105),"In spec","OUT of spec")</f>
        <v>OUT of spec</v>
      </c>
      <c r="H114" s="167"/>
    </row>
    <row r="115" customFormat="false" ht="17.25" hidden="false" customHeight="true" outlineLevel="0" collapsed="false">
      <c r="B115" s="15" t="s">
        <v>10862</v>
      </c>
      <c r="C115" s="157" t="n">
        <v>502.5</v>
      </c>
      <c r="D115" s="157" t="n">
        <v>503</v>
      </c>
      <c r="E115" s="161" t="n">
        <f aca="false">COUNTIF($C$72:$G$83,"&gt;="&amp;C115)-COUNTIF($C$72:$G$83,"&gt;="&amp;D115)</f>
        <v>12</v>
      </c>
      <c r="F115" s="160" t="n">
        <f aca="false">IFERROR(E115/COUNT($C$72:$G$83),0)</f>
        <v>0.2</v>
      </c>
      <c r="G115" s="167" t="str">
        <f aca="false">IF(AND(C115&gt;=$C$103,D115&lt;=$C$105),"In spec","OUT of spec")</f>
        <v>OUT of spec</v>
      </c>
      <c r="H115" s="167"/>
    </row>
    <row r="116" customFormat="false" ht="17.25" hidden="false" customHeight="true" outlineLevel="0" collapsed="false">
      <c r="B116" s="15" t="s">
        <v>10863</v>
      </c>
      <c r="C116" s="157" t="n">
        <v>503</v>
      </c>
      <c r="D116" s="157" t="n">
        <v>503.5</v>
      </c>
      <c r="E116" s="161" t="n">
        <f aca="false">COUNTIF($C$72:$G$83,"&gt;="&amp;C116)-COUNTIF($C$72:$G$83,"&gt;="&amp;D116)</f>
        <v>9</v>
      </c>
      <c r="F116" s="160" t="n">
        <f aca="false">IFERROR(E116/COUNT($C$72:$G$83),0)</f>
        <v>0.15</v>
      </c>
      <c r="G116" s="167" t="str">
        <f aca="false">IF(AND(C116&gt;=$C$103,D116&lt;=$C$105),"In spec","OUT of spec")</f>
        <v>OUT of spec</v>
      </c>
      <c r="H116" s="167"/>
    </row>
    <row r="117" customFormat="false" ht="17.25" hidden="false" customHeight="true" outlineLevel="0" collapsed="false">
      <c r="B117" s="15" t="s">
        <v>10864</v>
      </c>
      <c r="C117" s="157" t="n">
        <v>503.5</v>
      </c>
      <c r="D117" s="157" t="n">
        <v>504</v>
      </c>
      <c r="E117" s="161" t="n">
        <f aca="false">COUNTIF($C$72:$G$83,"&gt;="&amp;C117)-COUNTIF($C$72:$G$83,"&gt;="&amp;D117)</f>
        <v>5</v>
      </c>
      <c r="F117" s="160" t="n">
        <f aca="false">IFERROR(E117/COUNT($C$72:$G$83),0)</f>
        <v>0.0833333333333333</v>
      </c>
      <c r="G117" s="167" t="str">
        <f aca="false">IF(AND(C117&gt;=$C$103,D117&lt;=$C$105),"In spec","OUT of spec")</f>
        <v>OUT of spec</v>
      </c>
      <c r="H117" s="167"/>
    </row>
    <row r="118" customFormat="false" ht="17.25" hidden="false" customHeight="true" outlineLevel="0" collapsed="false">
      <c r="B118" s="15" t="s">
        <v>10865</v>
      </c>
      <c r="C118" s="157" t="n">
        <v>504</v>
      </c>
      <c r="D118" s="157" t="n">
        <v>504.5</v>
      </c>
      <c r="E118" s="161" t="n">
        <f aca="false">COUNTIF($C$72:$G$83,"&gt;="&amp;C118)-COUNTIF($C$72:$G$83,"&gt;="&amp;D118)</f>
        <v>3</v>
      </c>
      <c r="F118" s="160" t="n">
        <f aca="false">IFERROR(E118/COUNT($C$72:$G$83),0)</f>
        <v>0.05</v>
      </c>
      <c r="G118" s="167" t="str">
        <f aca="false">IF(AND(C118&gt;=$C$103,D118&lt;=$C$105),"In spec","OUT of spec")</f>
        <v>OUT of spec</v>
      </c>
      <c r="H118" s="167"/>
    </row>
    <row r="119" customFormat="false" ht="17.25" hidden="false" customHeight="true" outlineLevel="0" collapsed="false">
      <c r="B119" s="15" t="s">
        <v>10866</v>
      </c>
      <c r="C119" s="157" t="n">
        <v>504.5</v>
      </c>
      <c r="D119" s="157" t="n">
        <v>505</v>
      </c>
      <c r="E119" s="161" t="n">
        <f aca="false">COUNTIF($C$72:$G$83,"&gt;="&amp;C119)-COUNTIF($C$72:$G$83,"&gt;="&amp;D119)</f>
        <v>4</v>
      </c>
      <c r="F119" s="160" t="n">
        <f aca="false">IFERROR(E119/COUNT($C$72:$G$83),0)</f>
        <v>0.0666666666666667</v>
      </c>
      <c r="G119" s="167" t="str">
        <f aca="false">IF(AND(C119&gt;=$C$103,D119&lt;=$C$105),"In spec","OUT of spec")</f>
        <v>OUT of spec</v>
      </c>
      <c r="H119" s="167"/>
    </row>
    <row r="120" customFormat="false" ht="17.25" hidden="false" customHeight="true" outlineLevel="0" collapsed="false">
      <c r="B120" s="15" t="s">
        <v>10867</v>
      </c>
      <c r="C120" s="157" t="n">
        <v>505</v>
      </c>
      <c r="D120" s="157" t="n">
        <v>505.5</v>
      </c>
      <c r="E120" s="161" t="n">
        <f aca="false">COUNTIF($C$72:$G$83,"&gt;="&amp;C120)-COUNTIF($C$72:$G$83,"&gt;="&amp;D120)</f>
        <v>3</v>
      </c>
      <c r="F120" s="160" t="n">
        <f aca="false">IFERROR(E120/COUNT($C$72:$G$83),0)</f>
        <v>0.05</v>
      </c>
      <c r="G120" s="167" t="str">
        <f aca="false">IF(AND(C120&gt;=$C$103,D120&lt;=$C$105),"In spec","OUT of spec")</f>
        <v>OUT of spec</v>
      </c>
      <c r="H120" s="167"/>
    </row>
    <row r="121" customFormat="false" ht="17.25" hidden="false" customHeight="true" outlineLevel="0" collapsed="false">
      <c r="B121" s="15" t="s">
        <v>10868</v>
      </c>
      <c r="C121" s="157" t="n">
        <v>505.5</v>
      </c>
      <c r="D121" s="157" t="n">
        <v>506</v>
      </c>
      <c r="E121" s="161" t="n">
        <f aca="false">COUNTIF($C$72:$G$83,"&gt;="&amp;C121)-COUNTIF($C$72:$G$83,"&gt;="&amp;D121)</f>
        <v>4</v>
      </c>
      <c r="F121" s="160" t="n">
        <f aca="false">IFERROR(E121/COUNT($C$72:$G$83),0)</f>
        <v>0.0666666666666667</v>
      </c>
      <c r="G121" s="167" t="str">
        <f aca="false">IF(AND(C121&gt;=$C$103,D121&lt;=$C$105),"In spec","OUT of spec")</f>
        <v>OUT of spec</v>
      </c>
      <c r="H121" s="167"/>
    </row>
    <row r="122" customFormat="false" ht="17.25" hidden="false" customHeight="true" outlineLevel="0" collapsed="false">
      <c r="B122" s="15" t="s">
        <v>10869</v>
      </c>
      <c r="C122" s="157" t="n">
        <v>506</v>
      </c>
      <c r="D122" s="157" t="n">
        <v>506.5</v>
      </c>
      <c r="E122" s="161" t="n">
        <f aca="false">COUNTIF($C$72:$G$83,"&gt;="&amp;C122)-COUNTIF($C$72:$G$83,"&gt;="&amp;D122)</f>
        <v>3</v>
      </c>
      <c r="F122" s="160" t="n">
        <f aca="false">IFERROR(E122/COUNT($C$72:$G$83),0)</f>
        <v>0.05</v>
      </c>
      <c r="G122" s="167" t="str">
        <f aca="false">IF(AND(C122&gt;=$C$103,D122&lt;=$C$105),"In spec","OUT of spec")</f>
        <v>OUT of spec</v>
      </c>
      <c r="H122" s="167"/>
    </row>
    <row r="124" customFormat="false" ht="17.25" hidden="false" customHeight="true" outlineLevel="0" collapsed="false">
      <c r="B124" s="107" t="s">
        <v>10870</v>
      </c>
      <c r="C124" s="107"/>
      <c r="D124" s="107"/>
      <c r="E124" s="107"/>
      <c r="F124" s="107"/>
      <c r="G124" s="107"/>
      <c r="H124" s="107"/>
    </row>
    <row r="125" customFormat="false" ht="30.75" hidden="false" customHeight="true" outlineLevel="0" collapsed="false">
      <c r="B125" s="152" t="s">
        <v>5663</v>
      </c>
      <c r="C125" s="152" t="s">
        <v>10871</v>
      </c>
      <c r="D125" s="152" t="s">
        <v>3740</v>
      </c>
      <c r="E125" s="152" t="s">
        <v>3741</v>
      </c>
      <c r="F125" s="152" t="s">
        <v>3742</v>
      </c>
      <c r="G125" s="152" t="s">
        <v>10872</v>
      </c>
      <c r="H125" s="152" t="s">
        <v>10873</v>
      </c>
      <c r="I125" s="152" t="s">
        <v>10835</v>
      </c>
    </row>
    <row r="126" customFormat="false" ht="16.5" hidden="false" customHeight="true" outlineLevel="0" collapsed="false">
      <c r="B126" s="15" t="s">
        <v>3693</v>
      </c>
      <c r="C126" s="174" t="n">
        <f aca="false">MIN($C$72:$G$74)</f>
        <v>501.2</v>
      </c>
      <c r="D126" s="174" t="n">
        <f aca="false">QUARTILE($C$72:$G$74,1)-MIN($C$72:$G$74)</f>
        <v>1.09999999999997</v>
      </c>
      <c r="E126" s="174" t="n">
        <f aca="false">MEDIAN($C$72:$G$74)-QUARTILE($C$72:$G$74,1)</f>
        <v>0.600000000000023</v>
      </c>
      <c r="F126" s="174" t="n">
        <f aca="false">QUARTILE($C$72:$G$74,3)-MEDIAN($C$72:$G$74)</f>
        <v>0.600000000000023</v>
      </c>
      <c r="G126" s="174" t="n">
        <f aca="false">MAX($C$72:$G$74)-QUARTILE($C$72:$G$74,3)</f>
        <v>1</v>
      </c>
      <c r="H126" s="174" t="n">
        <f aca="false">MEDIAN($C$72:$G$74)</f>
        <v>502.9</v>
      </c>
      <c r="I126" s="174" t="n">
        <f aca="false">QUARTILE($C$72:$G$74,3)-QUARTILE($C$72:$G$74,1)</f>
        <v>1.20000000000005</v>
      </c>
    </row>
    <row r="127" customFormat="false" ht="16.5" hidden="false" customHeight="true" outlineLevel="0" collapsed="false">
      <c r="B127" s="15" t="s">
        <v>3694</v>
      </c>
      <c r="C127" s="174" t="n">
        <f aca="false">MIN($C$75:$G$77)</f>
        <v>501.4</v>
      </c>
      <c r="D127" s="174" t="n">
        <f aca="false">QUARTILE($C$75:$G$77,1)-MIN($C$75:$G$77)</f>
        <v>0.550000000000011</v>
      </c>
      <c r="E127" s="174" t="n">
        <f aca="false">MEDIAN($C$75:$G$77)-QUARTILE($C$75:$G$77,1)</f>
        <v>0.350000000000023</v>
      </c>
      <c r="F127" s="174" t="n">
        <f aca="false">QUARTILE($C$75:$G$77,3)-MEDIAN($C$75:$G$77)</f>
        <v>0.550000000000011</v>
      </c>
      <c r="G127" s="174" t="n">
        <f aca="false">MAX($C$75:$G$77)-QUARTILE($C$75:$G$77,3)</f>
        <v>0.949999999999989</v>
      </c>
      <c r="H127" s="174" t="n">
        <f aca="false">MEDIAN($C$75:$G$77)</f>
        <v>502.3</v>
      </c>
      <c r="I127" s="174" t="n">
        <f aca="false">QUARTILE($C$75:$G$77,3)-QUARTILE($C$75:$G$77,1)</f>
        <v>0.900000000000034</v>
      </c>
    </row>
    <row r="128" customFormat="false" ht="16.5" hidden="false" customHeight="true" outlineLevel="0" collapsed="false">
      <c r="B128" s="15" t="s">
        <v>3695</v>
      </c>
      <c r="C128" s="174" t="n">
        <f aca="false">MIN($C$78:$G$80)</f>
        <v>504.3</v>
      </c>
      <c r="D128" s="174" t="n">
        <f aca="false">QUARTILE($C$78:$G$80,1)-MIN($C$78:$G$80)</f>
        <v>0.550000000000011</v>
      </c>
      <c r="E128" s="174" t="n">
        <f aca="false">MEDIAN($C$78:$G$80)-QUARTILE($C$78:$G$80,1)</f>
        <v>0.449999999999989</v>
      </c>
      <c r="F128" s="174" t="n">
        <f aca="false">QUARTILE($C$78:$G$80,3)-MEDIAN($C$78:$G$80)</f>
        <v>0.550000000000011</v>
      </c>
      <c r="G128" s="174" t="n">
        <f aca="false">MAX($C$78:$G$80)-QUARTILE($C$78:$G$80,3)</f>
        <v>0.549999999999955</v>
      </c>
      <c r="H128" s="174" t="n">
        <f aca="false">MEDIAN($C$78:$G$80)</f>
        <v>505.3</v>
      </c>
      <c r="I128" s="174" t="n">
        <f aca="false">QUARTILE($C$78:$G$80,3)-QUARTILE($C$78:$G$80,1)</f>
        <v>1</v>
      </c>
    </row>
    <row r="129" customFormat="false" ht="16.5" hidden="false" customHeight="true" outlineLevel="0" collapsed="false">
      <c r="B129" s="15" t="s">
        <v>3696</v>
      </c>
      <c r="C129" s="174" t="n">
        <f aca="false">MIN($C$81:$G$83)</f>
        <v>502.1</v>
      </c>
      <c r="D129" s="174" t="n">
        <f aca="false">QUARTILE($C$81:$G$83,1)-MIN($C$81:$G$83)</f>
        <v>0.349999999999966</v>
      </c>
      <c r="E129" s="174" t="n">
        <f aca="false">MEDIAN($C$81:$G$83)-QUARTILE($C$81:$G$83,1)</f>
        <v>0.350000000000023</v>
      </c>
      <c r="F129" s="174" t="n">
        <f aca="false">QUARTILE($C$81:$G$83,3)-MEDIAN($C$81:$G$83)</f>
        <v>0.349999999999966</v>
      </c>
      <c r="G129" s="174" t="n">
        <f aca="false">MAX($C$81:$G$83)-QUARTILE($C$81:$G$83,3)</f>
        <v>0.550000000000011</v>
      </c>
      <c r="H129" s="174" t="n">
        <f aca="false">MEDIAN($C$81:$G$83)</f>
        <v>502.8</v>
      </c>
      <c r="I129" s="174" t="n">
        <f aca="false">QUARTILE($C$81:$G$83,3)-QUARTILE($C$81:$G$83,1)</f>
        <v>0.699999999999989</v>
      </c>
    </row>
    <row r="130" customFormat="false" ht="84.75" hidden="false" customHeight="true" outlineLevel="0" collapsed="false">
      <c r="B130" s="182" t="s">
        <v>10874</v>
      </c>
      <c r="C130" s="182"/>
      <c r="D130" s="182"/>
      <c r="E130" s="182"/>
      <c r="F130" s="182"/>
      <c r="G130" s="182"/>
      <c r="H130" s="182"/>
    </row>
    <row r="132" customFormat="false" ht="16.5" hidden="false" customHeight="true" outlineLevel="0" collapsed="false">
      <c r="B132" s="152" t="s">
        <v>6689</v>
      </c>
      <c r="C132" s="152" t="s">
        <v>6654</v>
      </c>
      <c r="D132" s="152" t="s">
        <v>88</v>
      </c>
    </row>
    <row r="133" customFormat="false" ht="34.5" hidden="false" customHeight="true" outlineLevel="0" collapsed="false">
      <c r="B133" s="15" t="s">
        <v>10875</v>
      </c>
      <c r="C133" s="167" t="str">
        <f aca="false">INDEX(B126:B129,MATCH(MAX(H126:H129),H126:H129,0))</f>
        <v>Shift C</v>
      </c>
      <c r="D133" s="15" t="s">
        <v>10876</v>
      </c>
    </row>
    <row r="134" customFormat="false" ht="34.5" hidden="false" customHeight="true" outlineLevel="0" collapsed="false">
      <c r="B134" s="15" t="s">
        <v>10877</v>
      </c>
      <c r="C134" s="174" t="n">
        <f aca="false">MAX(H126:H129)-MIN(H126:H129)</f>
        <v>3</v>
      </c>
      <c r="D134" s="15" t="s">
        <v>10878</v>
      </c>
    </row>
    <row r="135" customFormat="false" ht="23.25" hidden="false" customHeight="true" outlineLevel="0" collapsed="false">
      <c r="B135" s="15" t="s">
        <v>10879</v>
      </c>
      <c r="C135" s="167" t="str">
        <f aca="false">INDEX(B126:B129,MATCH(MAX(I126:I129),I126:I129,0))</f>
        <v>Shift A</v>
      </c>
      <c r="D135" s="15" t="s">
        <v>10880</v>
      </c>
    </row>
    <row r="136" customFormat="false" ht="16.5" hidden="false" customHeight="true" outlineLevel="0" collapsed="false">
      <c r="B136" s="15" t="s">
        <v>10881</v>
      </c>
      <c r="C136" s="167" t="str">
        <f aca="false">IF(ABS(D99)&lt;0.5,"Approximately symmetric",IF(D99&gt;0,"Right-skewed","Left-skewed"))</f>
        <v>Right-skewed</v>
      </c>
      <c r="D136" s="15" t="s">
        <v>10882</v>
      </c>
    </row>
    <row r="138" customFormat="false" ht="15.75" hidden="false" customHeight="true" outlineLevel="0" collapsed="false">
      <c r="B138" s="103" t="s">
        <v>1493</v>
      </c>
      <c r="C138" s="8"/>
      <c r="D138" s="8"/>
      <c r="E138" s="8"/>
      <c r="F138" s="8"/>
      <c r="G138" s="8"/>
      <c r="H138" s="8"/>
      <c r="I138" s="8"/>
      <c r="J138" s="8"/>
      <c r="K138" s="8"/>
    </row>
    <row r="139" customFormat="false" ht="81" hidden="false" customHeight="true" outlineLevel="0" collapsed="false">
      <c r="B139" s="105" t="s">
        <v>1494</v>
      </c>
      <c r="C139" s="168" t="str">
        <f aca="false">"n = "&amp;TEXT(D87,"0")&amp;", mean "&amp;TEXT(D88,"0.00")&amp;" ml, SD "&amp;TEXT(D89,"0.000")&amp;" ml, median "&amp;TEXT(D92,"0.00")&amp;", IQR "&amp;TEXT(D95,"0.00")&amp;", "&amp;TEXT(D98,"0")&amp;" outlier(s) beyond the fences. "&amp;TEXT(C106,"0")&amp;" bottles ("&amp;TEXT(C107,"0.0%")&amp;") fall outside the "&amp;TEXT(C103,"0")&amp;"-"&amp;TEXT(C105,"0")&amp;" ml specification. "&amp;"The spread between shift medians is "&amp;TEXT(C134,"0.00")&amp;" ml. "&amp;IF(C134&gt;0.5,"That gap between shifts is large relative to the overall spread: the data is not one population. Stratify by shift (H-09) before computing capability or fitting any distribution.","Shift medians are close, so treating the data as one population is defensible.")</f>
        <v>n = 60, mean 503.36 ml, SD 1.352 ml, median 503.00, IQR 1.95, 0 outlier(s) beyond the fences. 52 bottles (86.7%) fall outside the 498-502 ml specification. The spread between shift medians is 3.00 ml. That gap between shifts is large relative to the overall spread: the data is not one population. Stratify by shift (H-09) before computing capability or fitting any distribution.</v>
      </c>
      <c r="D139" s="168"/>
      <c r="E139" s="168"/>
      <c r="F139" s="168"/>
      <c r="G139" s="168"/>
    </row>
    <row r="141" customFormat="false" ht="16.5" hidden="false" customHeight="true" outlineLevel="0" collapsed="false">
      <c r="B141" s="152" t="s">
        <v>1495</v>
      </c>
      <c r="C141" s="152" t="s">
        <v>1496</v>
      </c>
      <c r="D141" s="152" t="s">
        <v>1497</v>
      </c>
    </row>
    <row r="142" customFormat="false" ht="30.75" hidden="false" customHeight="true" outlineLevel="0" collapsed="false">
      <c r="B142" s="15" t="s">
        <v>10883</v>
      </c>
      <c r="C142" s="15" t="s">
        <v>7316</v>
      </c>
      <c r="D142" s="15" t="s">
        <v>10884</v>
      </c>
    </row>
    <row r="143" customFormat="false" ht="30.75" hidden="false" customHeight="true" outlineLevel="0" collapsed="false">
      <c r="B143" s="15" t="s">
        <v>10841</v>
      </c>
      <c r="C143" s="15" t="s">
        <v>7316</v>
      </c>
      <c r="D143" s="15" t="s">
        <v>10885</v>
      </c>
    </row>
    <row r="144" customFormat="false" ht="44.25" hidden="false" customHeight="true" outlineLevel="0" collapsed="false">
      <c r="B144" s="15" t="s">
        <v>1776</v>
      </c>
      <c r="C144" s="15" t="s">
        <v>10886</v>
      </c>
      <c r="D144" s="15" t="s">
        <v>10887</v>
      </c>
    </row>
    <row r="145" customFormat="false" ht="44.25" hidden="false" customHeight="true" outlineLevel="0" collapsed="false">
      <c r="B145" s="15" t="s">
        <v>10888</v>
      </c>
      <c r="C145" s="15" t="s">
        <v>10889</v>
      </c>
      <c r="D145" s="15" t="s">
        <v>10890</v>
      </c>
    </row>
    <row r="147" customFormat="false" ht="15" hidden="false" customHeight="true" outlineLevel="0" collapsed="false">
      <c r="B147" s="105" t="s">
        <v>1507</v>
      </c>
    </row>
    <row r="148" customFormat="false" ht="17.25" hidden="false" customHeight="true" outlineLevel="0" collapsed="false">
      <c r="B148" s="106" t="s">
        <v>10891</v>
      </c>
      <c r="C148" s="106"/>
      <c r="D148" s="106"/>
      <c r="E148" s="106"/>
      <c r="F148" s="106"/>
      <c r="G148" s="106"/>
      <c r="H148" s="106"/>
    </row>
    <row r="149" customFormat="false" ht="17.25" hidden="false" customHeight="true" outlineLevel="0" collapsed="false">
      <c r="B149" s="106" t="s">
        <v>10892</v>
      </c>
      <c r="C149" s="106"/>
      <c r="D149" s="106"/>
      <c r="E149" s="106"/>
      <c r="F149" s="106"/>
      <c r="G149" s="106"/>
      <c r="H149" s="106"/>
    </row>
    <row r="150" customFormat="false" ht="17.25" hidden="false" customHeight="true" outlineLevel="0" collapsed="false">
      <c r="B150" s="106" t="s">
        <v>10893</v>
      </c>
      <c r="C150" s="106"/>
      <c r="D150" s="106"/>
      <c r="E150" s="106"/>
      <c r="F150" s="106"/>
      <c r="G150" s="106"/>
      <c r="H150" s="106"/>
    </row>
    <row r="151" customFormat="false" ht="17.25" hidden="false" customHeight="true" outlineLevel="0" collapsed="false">
      <c r="B151" s="106" t="s">
        <v>10894</v>
      </c>
      <c r="C151" s="106"/>
      <c r="D151" s="106"/>
      <c r="E151" s="106"/>
      <c r="F151" s="106"/>
      <c r="G151" s="106"/>
      <c r="H151" s="106"/>
    </row>
    <row r="152" customFormat="false" ht="17.25" hidden="false" customHeight="true" outlineLevel="0" collapsed="false">
      <c r="B152" s="106" t="s">
        <v>10895</v>
      </c>
      <c r="C152" s="106"/>
      <c r="D152" s="106"/>
      <c r="E152" s="106"/>
      <c r="F152" s="106"/>
      <c r="G152" s="106"/>
      <c r="H152" s="106"/>
    </row>
    <row r="154" customFormat="false" ht="15.75" hidden="false" customHeight="true" outlineLevel="0" collapsed="false">
      <c r="B154" s="103" t="s">
        <v>1513</v>
      </c>
      <c r="C154" s="8"/>
      <c r="D154" s="8"/>
      <c r="E154" s="8"/>
      <c r="F154" s="8"/>
      <c r="G154" s="8"/>
      <c r="H154" s="8"/>
      <c r="I154" s="8"/>
      <c r="J154" s="8"/>
      <c r="K154" s="8"/>
    </row>
    <row r="155" customFormat="false" ht="17.25" hidden="false" customHeight="true" outlineLevel="0" collapsed="false">
      <c r="B155" s="106" t="s">
        <v>6712</v>
      </c>
      <c r="C155" s="106"/>
      <c r="D155" s="106"/>
      <c r="E155" s="106"/>
      <c r="N155" s="169" t="s">
        <v>1515</v>
      </c>
    </row>
    <row r="156" customFormat="false" ht="44.25" hidden="false" customHeight="true" outlineLevel="0" collapsed="false">
      <c r="B156" s="106" t="s">
        <v>10896</v>
      </c>
      <c r="C156" s="106"/>
      <c r="D156" s="106"/>
      <c r="E156" s="106"/>
      <c r="N156" s="120" t="s">
        <v>10897</v>
      </c>
    </row>
    <row r="157" customFormat="false" ht="44.25" hidden="false" customHeight="true" outlineLevel="0" collapsed="false">
      <c r="B157" s="106" t="s">
        <v>10898</v>
      </c>
      <c r="C157" s="106"/>
      <c r="D157" s="106"/>
      <c r="E157" s="106"/>
      <c r="N157" s="120" t="s">
        <v>10899</v>
      </c>
    </row>
    <row r="158" customFormat="false" ht="44.25" hidden="false" customHeight="true" outlineLevel="0" collapsed="false">
      <c r="B158" s="106" t="s">
        <v>10900</v>
      </c>
      <c r="C158" s="106"/>
      <c r="D158" s="106"/>
      <c r="E158" s="106"/>
      <c r="N158" s="120" t="s">
        <v>10901</v>
      </c>
    </row>
    <row r="160" customFormat="false" ht="15.75" hidden="false" customHeight="true" outlineLevel="0" collapsed="false">
      <c r="B160" s="103" t="s">
        <v>1522</v>
      </c>
      <c r="C160" s="8"/>
      <c r="D160" s="8"/>
      <c r="E160" s="8"/>
      <c r="F160" s="8"/>
      <c r="G160" s="8"/>
      <c r="H160" s="8"/>
      <c r="I160" s="8"/>
      <c r="J160" s="8"/>
      <c r="K160" s="8"/>
    </row>
    <row r="161" customFormat="false" ht="30.75" hidden="false" customHeight="true" outlineLevel="0" collapsed="false">
      <c r="B161" s="152" t="s">
        <v>1523</v>
      </c>
      <c r="C161" s="152" t="s">
        <v>1524</v>
      </c>
      <c r="D161" s="152" t="s">
        <v>6719</v>
      </c>
    </row>
    <row r="162" customFormat="false" ht="30.75" hidden="false" customHeight="true" outlineLevel="0" collapsed="false">
      <c r="B162" s="170" t="s">
        <v>7697</v>
      </c>
      <c r="C162" s="170" t="s">
        <v>7815</v>
      </c>
      <c r="D162" s="170" t="s">
        <v>10216</v>
      </c>
    </row>
  </sheetData>
  <mergeCells count="60">
    <mergeCell ref="B2:J2"/>
    <mergeCell ref="D3:H3"/>
    <mergeCell ref="C6:G6"/>
    <mergeCell ref="C7:G7"/>
    <mergeCell ref="C8:G8"/>
    <mergeCell ref="B11:H13"/>
    <mergeCell ref="B14:H17"/>
    <mergeCell ref="B18:H21"/>
    <mergeCell ref="B22:H24"/>
    <mergeCell ref="B25:H27"/>
    <mergeCell ref="B30:D30"/>
    <mergeCell ref="E30:F30"/>
    <mergeCell ref="B31:D31"/>
    <mergeCell ref="E31:F31"/>
    <mergeCell ref="B32:D32"/>
    <mergeCell ref="E32:F32"/>
    <mergeCell ref="B33:D33"/>
    <mergeCell ref="E33:F33"/>
    <mergeCell ref="B34:H34"/>
    <mergeCell ref="B43:H44"/>
    <mergeCell ref="B47:H47"/>
    <mergeCell ref="B50:H51"/>
    <mergeCell ref="B54:H55"/>
    <mergeCell ref="D58:E58"/>
    <mergeCell ref="D59:E59"/>
    <mergeCell ref="D60:E60"/>
    <mergeCell ref="D61:E61"/>
    <mergeCell ref="D62:E62"/>
    <mergeCell ref="D63:E63"/>
    <mergeCell ref="B66:H66"/>
    <mergeCell ref="B67:H67"/>
    <mergeCell ref="C68:D68"/>
    <mergeCell ref="B70:H70"/>
    <mergeCell ref="B85:H85"/>
    <mergeCell ref="B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B124:H124"/>
    <mergeCell ref="B130:H130"/>
    <mergeCell ref="C139:G139"/>
    <mergeCell ref="B148:H148"/>
    <mergeCell ref="B149:H149"/>
    <mergeCell ref="B150:H150"/>
    <mergeCell ref="B151:H151"/>
    <mergeCell ref="B152:H152"/>
    <mergeCell ref="B155:E155"/>
    <mergeCell ref="B156:E156"/>
    <mergeCell ref="B157:E157"/>
    <mergeCell ref="B158:E158"/>
  </mergeCells>
  <hyperlinks>
    <hyperlink ref="B3" location="'N-03 Index DMAIC'!A1" display="← Back to Index"/>
    <hyperlink ref="E37" location="'H-09 Stratification'!A1" display="H-09  Stratification"/>
    <hyperlink ref="E38" location="'E-59 Gage R and R'!A1" display="E-59  Gage R and R"/>
    <hyperlink ref="E39" location="'E-33 When Assumptions Fail'!A1" display="E-33  When Assumptions Fail"/>
    <hyperlink ref="E40" location="'E-05 Sampling Subgroups'!A1" display="E-05  Sampling and Rational Subgrouping"/>
    <hyperlink ref="B162" location="'E-03 Descriptive Stats'!A1" display="E-03  Descriptive Statistics"/>
    <hyperlink ref="C162" location="'H-08 Run Chart'!A1" display="H-08  Run Chart"/>
    <hyperlink ref="D162" location="'E-57 Process Capability'!A1" display="E-57  Process Capabilit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5"/>
    <col collapsed="false" customWidth="true" hidden="false" outlineLevel="0" max="4" min="4" style="1" width="16"/>
    <col collapsed="false" customWidth="true" hidden="false" outlineLevel="0" max="5" min="5" style="1" width="22"/>
    <col collapsed="false" customWidth="true" hidden="false" outlineLevel="0" max="6" min="6" style="1" width="18"/>
    <col collapsed="false" customWidth="true" hidden="false" outlineLevel="0" max="7" min="7" style="1" width="24"/>
    <col collapsed="false" customWidth="true" hidden="false" outlineLevel="0" max="8" min="8" style="1" width="18"/>
    <col collapsed="false" customWidth="true" hidden="false" outlineLevel="0" max="9" min="9" style="1" width="20"/>
    <col collapsed="false" customWidth="true" hidden="false" outlineLevel="0" max="10" min="10" style="1" width="18"/>
    <col collapsed="false" customWidth="true" hidden="false" outlineLevel="0" max="11" min="11" style="1" width="2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10902</v>
      </c>
      <c r="C2" s="148"/>
      <c r="D2" s="148"/>
      <c r="E2" s="148"/>
      <c r="F2" s="148"/>
      <c r="G2" s="148"/>
      <c r="H2" s="148"/>
      <c r="I2" s="148"/>
      <c r="J2" s="148"/>
      <c r="K2" s="172" t="s">
        <v>1389</v>
      </c>
    </row>
    <row r="3" customFormat="false" ht="28.5" hidden="false" customHeight="true" outlineLevel="0" collapsed="false">
      <c r="B3" s="150" t="s">
        <v>3</v>
      </c>
      <c r="D3" s="151" t="s">
        <v>10903</v>
      </c>
      <c r="E3" s="151"/>
      <c r="F3" s="151"/>
      <c r="G3" s="151"/>
      <c r="H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10904</v>
      </c>
      <c r="D6" s="106"/>
      <c r="E6" s="106"/>
      <c r="F6" s="106"/>
      <c r="G6" s="106"/>
    </row>
    <row r="7" customFormat="false" ht="31.5" hidden="false" customHeight="true" outlineLevel="0" collapsed="false">
      <c r="B7" s="105" t="s">
        <v>1394</v>
      </c>
      <c r="C7" s="106" t="s">
        <v>10905</v>
      </c>
      <c r="D7" s="106"/>
      <c r="E7" s="106"/>
      <c r="F7" s="106"/>
      <c r="G7" s="106"/>
    </row>
    <row r="8" customFormat="false" ht="17.25" hidden="false" customHeight="true" outlineLevel="0" collapsed="false">
      <c r="B8" s="105" t="s">
        <v>1396</v>
      </c>
      <c r="C8" s="106" t="s">
        <v>10906</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10907</v>
      </c>
      <c r="C11" s="106"/>
      <c r="D11" s="106"/>
      <c r="E11" s="106"/>
      <c r="F11" s="106"/>
      <c r="G11" s="106"/>
      <c r="H11" s="106"/>
    </row>
    <row r="12" customFormat="false" ht="10.5" hidden="false" customHeight="true" outlineLevel="0" collapsed="false">
      <c r="B12" s="106"/>
      <c r="C12" s="106"/>
      <c r="D12" s="106"/>
      <c r="E12" s="106"/>
      <c r="F12" s="106"/>
      <c r="G12" s="106"/>
      <c r="H12" s="106"/>
    </row>
    <row r="13" customFormat="false" ht="10.5" hidden="false" customHeight="true" outlineLevel="0" collapsed="false">
      <c r="B13" s="106"/>
      <c r="C13" s="106"/>
      <c r="D13" s="106"/>
      <c r="E13" s="106"/>
      <c r="F13" s="106"/>
      <c r="G13" s="106"/>
      <c r="H13" s="106"/>
    </row>
    <row r="14" customFormat="false" ht="10.5" hidden="false" customHeight="true" outlineLevel="0" collapsed="false">
      <c r="B14" s="106" t="s">
        <v>10908</v>
      </c>
      <c r="C14" s="106"/>
      <c r="D14" s="106"/>
      <c r="E14" s="106"/>
      <c r="F14" s="106"/>
      <c r="G14" s="106"/>
      <c r="H14" s="106"/>
    </row>
    <row r="15" customFormat="false" ht="10.5" hidden="false" customHeight="true" outlineLevel="0" collapsed="false">
      <c r="B15" s="106"/>
      <c r="C15" s="106"/>
      <c r="D15" s="106"/>
      <c r="E15" s="106"/>
      <c r="F15" s="106"/>
      <c r="G15" s="106"/>
      <c r="H15" s="106"/>
    </row>
    <row r="16" customFormat="false" ht="10.5" hidden="false" customHeight="true" outlineLevel="0" collapsed="false">
      <c r="B16" s="106"/>
      <c r="C16" s="106"/>
      <c r="D16" s="106"/>
      <c r="E16" s="106"/>
      <c r="F16" s="106"/>
      <c r="G16" s="106"/>
      <c r="H16" s="106"/>
    </row>
    <row r="17" customFormat="false" ht="10.5" hidden="false" customHeight="true" outlineLevel="0" collapsed="false">
      <c r="B17" s="106" t="s">
        <v>10909</v>
      </c>
      <c r="C17" s="106"/>
      <c r="D17" s="106"/>
      <c r="E17" s="106"/>
      <c r="F17" s="106"/>
      <c r="G17" s="106"/>
      <c r="H17" s="106"/>
    </row>
    <row r="18" customFormat="false" ht="10.5" hidden="false" customHeight="true" outlineLevel="0" collapsed="false">
      <c r="B18" s="106"/>
      <c r="C18" s="106"/>
      <c r="D18" s="106"/>
      <c r="E18" s="106"/>
      <c r="F18" s="106"/>
      <c r="G18" s="106"/>
      <c r="H18" s="106"/>
    </row>
    <row r="19" customFormat="false" ht="10.5" hidden="false" customHeight="true" outlineLevel="0" collapsed="false">
      <c r="B19" s="106"/>
      <c r="C19" s="106"/>
      <c r="D19" s="106"/>
      <c r="E19" s="106"/>
      <c r="F19" s="106"/>
      <c r="G19" s="106"/>
      <c r="H19" s="106"/>
    </row>
    <row r="20" customFormat="false" ht="11.25" hidden="false" customHeight="true" outlineLevel="0" collapsed="false">
      <c r="B20" s="106" t="s">
        <v>10910</v>
      </c>
      <c r="C20" s="106"/>
      <c r="D20" s="106"/>
      <c r="E20" s="106"/>
      <c r="F20" s="106"/>
      <c r="G20" s="106"/>
      <c r="H20" s="106"/>
    </row>
    <row r="21" customFormat="false" ht="11.25" hidden="false" customHeight="true" outlineLevel="0" collapsed="false">
      <c r="B21" s="106"/>
      <c r="C21" s="106"/>
      <c r="D21" s="106"/>
      <c r="E21" s="106"/>
      <c r="F21" s="106"/>
      <c r="G21" s="106"/>
      <c r="H21" s="106"/>
    </row>
    <row r="22" customFormat="false" ht="11.25" hidden="false" customHeight="true" outlineLevel="0" collapsed="false">
      <c r="B22" s="106"/>
      <c r="C22" s="106"/>
      <c r="D22" s="106"/>
      <c r="E22" s="106"/>
      <c r="F22" s="106"/>
      <c r="G22" s="106"/>
      <c r="H22" s="106"/>
    </row>
    <row r="23" customFormat="false" ht="11.25" hidden="false" customHeight="true" outlineLevel="0" collapsed="false">
      <c r="B23" s="106"/>
      <c r="C23" s="106"/>
      <c r="D23" s="106"/>
      <c r="E23" s="106"/>
      <c r="F23" s="106"/>
      <c r="G23" s="106"/>
      <c r="H23" s="106"/>
    </row>
    <row r="24" customFormat="false" ht="15.75" hidden="false" customHeight="true" outlineLevel="0" collapsed="false">
      <c r="B24" s="106" t="s">
        <v>10911</v>
      </c>
      <c r="C24" s="106"/>
      <c r="D24" s="106"/>
      <c r="E24" s="106"/>
      <c r="F24" s="106"/>
      <c r="G24" s="106"/>
      <c r="H24" s="106"/>
    </row>
    <row r="25" customFormat="false" ht="15.75" hidden="false" customHeight="true" outlineLevel="0" collapsed="false">
      <c r="B25" s="106"/>
      <c r="C25" s="106"/>
      <c r="D25" s="106"/>
      <c r="E25" s="106"/>
      <c r="F25" s="106"/>
      <c r="G25" s="106"/>
      <c r="H25" s="106"/>
    </row>
    <row r="27" customFormat="false" ht="15.75" hidden="false" customHeight="true" outlineLevel="0" collapsed="false">
      <c r="B27" s="103" t="s">
        <v>1406</v>
      </c>
      <c r="C27" s="8"/>
      <c r="D27" s="8"/>
      <c r="E27" s="8"/>
      <c r="F27" s="8"/>
      <c r="G27" s="8"/>
      <c r="H27" s="8"/>
      <c r="I27" s="8"/>
      <c r="J27" s="8"/>
      <c r="K27" s="8"/>
    </row>
    <row r="28" customFormat="false" ht="17.25" hidden="false" customHeight="true" outlineLevel="0" collapsed="false">
      <c r="B28" s="107" t="s">
        <v>1407</v>
      </c>
      <c r="C28" s="107"/>
      <c r="D28" s="107"/>
      <c r="E28" s="107" t="s">
        <v>1408</v>
      </c>
      <c r="F28" s="107"/>
      <c r="G28" s="107"/>
    </row>
    <row r="29" customFormat="false" ht="31.5" hidden="false" customHeight="true" outlineLevel="0" collapsed="false">
      <c r="B29" s="106" t="s">
        <v>10912</v>
      </c>
      <c r="C29" s="106"/>
      <c r="D29" s="106"/>
      <c r="E29" s="106" t="s">
        <v>10913</v>
      </c>
      <c r="F29" s="106"/>
      <c r="G29" s="106"/>
    </row>
    <row r="30" customFormat="false" ht="31.5" hidden="false" customHeight="true" outlineLevel="0" collapsed="false">
      <c r="B30" s="106" t="s">
        <v>10914</v>
      </c>
      <c r="C30" s="106"/>
      <c r="D30" s="106"/>
      <c r="E30" s="106" t="s">
        <v>10915</v>
      </c>
      <c r="F30" s="106"/>
      <c r="G30" s="106"/>
    </row>
    <row r="31" customFormat="false" ht="31.5" hidden="false" customHeight="true" outlineLevel="0" collapsed="false">
      <c r="B31" s="106" t="s">
        <v>10916</v>
      </c>
      <c r="C31" s="106"/>
      <c r="D31" s="106"/>
      <c r="E31" s="106" t="s">
        <v>10917</v>
      </c>
      <c r="F31" s="106"/>
      <c r="G31" s="106"/>
    </row>
    <row r="32" customFormat="false" ht="17.25" hidden="false" customHeight="true" outlineLevel="0" collapsed="false">
      <c r="B32" s="106" t="s">
        <v>10918</v>
      </c>
      <c r="C32" s="106"/>
      <c r="D32" s="106"/>
      <c r="E32" s="106"/>
      <c r="F32" s="106"/>
      <c r="G32" s="106"/>
      <c r="H32" s="106"/>
    </row>
    <row r="34" customFormat="false" ht="30.75" hidden="false" customHeight="true" outlineLevel="0" collapsed="false">
      <c r="B34" s="152" t="s">
        <v>6621</v>
      </c>
      <c r="C34" s="152" t="s">
        <v>1417</v>
      </c>
      <c r="D34" s="152" t="s">
        <v>1418</v>
      </c>
      <c r="E34" s="152" t="s">
        <v>1419</v>
      </c>
    </row>
    <row r="35" customFormat="false" ht="72" hidden="false" customHeight="true" outlineLevel="0" collapsed="false">
      <c r="B35" s="15" t="s">
        <v>10919</v>
      </c>
      <c r="C35" s="15" t="s">
        <v>10920</v>
      </c>
      <c r="D35" s="15" t="s">
        <v>10921</v>
      </c>
      <c r="E35" s="153" t="s">
        <v>9969</v>
      </c>
    </row>
    <row r="36" customFormat="false" ht="72" hidden="false" customHeight="true" outlineLevel="0" collapsed="false">
      <c r="B36" s="15" t="s">
        <v>10922</v>
      </c>
      <c r="C36" s="15" t="s">
        <v>10923</v>
      </c>
      <c r="D36" s="15" t="s">
        <v>10924</v>
      </c>
      <c r="E36" s="153" t="s">
        <v>10556</v>
      </c>
    </row>
    <row r="37" customFormat="false" ht="58.5" hidden="false" customHeight="true" outlineLevel="0" collapsed="false">
      <c r="B37" s="15" t="s">
        <v>10925</v>
      </c>
      <c r="C37" s="15" t="s">
        <v>10926</v>
      </c>
      <c r="D37" s="15" t="s">
        <v>10927</v>
      </c>
      <c r="E37" s="153" t="s">
        <v>1191</v>
      </c>
    </row>
    <row r="38" customFormat="false" ht="58.5" hidden="false" customHeight="true" outlineLevel="0" collapsed="false">
      <c r="B38" s="15" t="s">
        <v>10928</v>
      </c>
      <c r="C38" s="15" t="s">
        <v>10929</v>
      </c>
      <c r="D38" s="15" t="s">
        <v>10930</v>
      </c>
      <c r="E38" s="153" t="s">
        <v>973</v>
      </c>
    </row>
    <row r="40" customFormat="false" ht="15.75" hidden="false" customHeight="true" outlineLevel="0" collapsed="false">
      <c r="B40" s="103" t="s">
        <v>1429</v>
      </c>
      <c r="C40" s="8"/>
      <c r="D40" s="8"/>
      <c r="E40" s="8"/>
      <c r="F40" s="8"/>
      <c r="G40" s="8"/>
      <c r="H40" s="8"/>
      <c r="I40" s="8"/>
      <c r="J40" s="8"/>
      <c r="K40" s="8"/>
    </row>
    <row r="41" customFormat="false" ht="10.5" hidden="false" customHeight="true" outlineLevel="0" collapsed="false">
      <c r="B41" s="106" t="s">
        <v>10931</v>
      </c>
      <c r="C41" s="106"/>
      <c r="D41" s="106"/>
      <c r="E41" s="106"/>
      <c r="F41" s="106"/>
      <c r="G41" s="106"/>
      <c r="H41" s="106"/>
    </row>
    <row r="42" customFormat="false" ht="10.5" hidden="false" customHeight="true" outlineLevel="0" collapsed="false">
      <c r="B42" s="106"/>
      <c r="C42" s="106"/>
      <c r="D42" s="106"/>
      <c r="E42" s="106"/>
      <c r="F42" s="106"/>
      <c r="G42" s="106"/>
      <c r="H42" s="106"/>
    </row>
    <row r="43" customFormat="false" ht="10.5" hidden="false" customHeight="true" outlineLevel="0" collapsed="false">
      <c r="B43" s="106"/>
      <c r="C43" s="106"/>
      <c r="D43" s="106"/>
      <c r="E43" s="106"/>
      <c r="F43" s="106"/>
      <c r="G43" s="106"/>
      <c r="H43" s="106"/>
    </row>
    <row r="44" customFormat="false" ht="15" hidden="false" customHeight="true" outlineLevel="0" collapsed="false">
      <c r="B44" s="122"/>
    </row>
    <row r="45" customFormat="false" ht="17.25" hidden="false" customHeight="true" outlineLevel="0" collapsed="false">
      <c r="B45" s="106" t="s">
        <v>10932</v>
      </c>
      <c r="C45" s="106"/>
      <c r="D45" s="106"/>
      <c r="E45" s="106"/>
      <c r="F45" s="106"/>
      <c r="G45" s="106"/>
      <c r="H45" s="106"/>
    </row>
    <row r="46" customFormat="false" ht="17.25" hidden="false" customHeight="true" outlineLevel="0" collapsed="false">
      <c r="B46" s="106" t="s">
        <v>10933</v>
      </c>
      <c r="C46" s="106"/>
      <c r="D46" s="106"/>
      <c r="E46" s="106"/>
      <c r="F46" s="106"/>
      <c r="G46" s="106"/>
      <c r="H46" s="106"/>
    </row>
    <row r="47" customFormat="false" ht="10.5" hidden="false" customHeight="true" outlineLevel="0" collapsed="false">
      <c r="B47" s="106" t="s">
        <v>10934</v>
      </c>
      <c r="C47" s="106"/>
      <c r="D47" s="106"/>
      <c r="E47" s="106"/>
      <c r="F47" s="106"/>
      <c r="G47" s="106"/>
      <c r="H47" s="106"/>
    </row>
    <row r="48" customFormat="false" ht="10.5" hidden="false" customHeight="true" outlineLevel="0" collapsed="false">
      <c r="B48" s="106"/>
      <c r="C48" s="106"/>
      <c r="D48" s="106"/>
      <c r="E48" s="106"/>
      <c r="F48" s="106"/>
      <c r="G48" s="106"/>
      <c r="H48" s="106"/>
    </row>
    <row r="49" customFormat="false" ht="10.5" hidden="false" customHeight="true" outlineLevel="0" collapsed="false">
      <c r="B49" s="106"/>
      <c r="C49" s="106"/>
      <c r="D49" s="106"/>
      <c r="E49" s="106"/>
      <c r="F49" s="106"/>
      <c r="G49" s="106"/>
      <c r="H49" s="106"/>
    </row>
    <row r="50" customFormat="false" ht="15" hidden="false" customHeight="true" outlineLevel="0" collapsed="false">
      <c r="B50" s="122"/>
    </row>
    <row r="51" customFormat="false" ht="16.5" hidden="false" customHeight="true" outlineLevel="0" collapsed="false">
      <c r="B51" s="122" t="s">
        <v>10935</v>
      </c>
    </row>
    <row r="52" customFormat="false" ht="17.25" hidden="false" customHeight="true" outlineLevel="0" collapsed="false">
      <c r="B52" s="106" t="s">
        <v>10936</v>
      </c>
      <c r="C52" s="106"/>
      <c r="D52" s="106"/>
      <c r="E52" s="106"/>
      <c r="F52" s="106"/>
      <c r="G52" s="106"/>
      <c r="H52" s="106"/>
    </row>
    <row r="53" customFormat="false" ht="10.5" hidden="false" customHeight="true" outlineLevel="0" collapsed="false">
      <c r="B53" s="106" t="s">
        <v>10937</v>
      </c>
      <c r="C53" s="106"/>
      <c r="D53" s="106"/>
      <c r="E53" s="106"/>
      <c r="F53" s="106"/>
      <c r="G53" s="106"/>
      <c r="H53" s="106"/>
    </row>
    <row r="54" customFormat="false" ht="10.5" hidden="false" customHeight="true" outlineLevel="0" collapsed="false">
      <c r="B54" s="106"/>
      <c r="C54" s="106"/>
      <c r="D54" s="106"/>
      <c r="E54" s="106"/>
      <c r="F54" s="106"/>
      <c r="G54" s="106"/>
      <c r="H54" s="106"/>
    </row>
    <row r="55" customFormat="false" ht="10.5" hidden="false" customHeight="true" outlineLevel="0" collapsed="false">
      <c r="B55" s="106"/>
      <c r="C55" s="106"/>
      <c r="D55" s="106"/>
      <c r="E55" s="106"/>
      <c r="F55" s="106"/>
      <c r="G55" s="106"/>
      <c r="H55" s="106"/>
    </row>
    <row r="57" customFormat="false" ht="15.75" hidden="false" customHeight="true" outlineLevel="0" collapsed="false">
      <c r="B57" s="103" t="s">
        <v>1437</v>
      </c>
      <c r="C57" s="8"/>
      <c r="D57" s="8"/>
      <c r="E57" s="8"/>
      <c r="F57" s="8"/>
      <c r="G57" s="8"/>
      <c r="H57" s="8"/>
      <c r="I57" s="8"/>
      <c r="J57" s="8"/>
      <c r="K57" s="8"/>
    </row>
    <row r="58" customFormat="false" ht="17.25" hidden="false" customHeight="true" outlineLevel="0" collapsed="false">
      <c r="B58" s="152" t="s">
        <v>1438</v>
      </c>
      <c r="C58" s="152" t="s">
        <v>1439</v>
      </c>
      <c r="D58" s="152" t="s">
        <v>1440</v>
      </c>
      <c r="E58" s="152"/>
      <c r="F58" s="152"/>
      <c r="G58" s="152"/>
    </row>
    <row r="59" customFormat="false" ht="30.75" hidden="false" customHeight="true" outlineLevel="0" collapsed="false">
      <c r="B59" s="15" t="s">
        <v>3898</v>
      </c>
      <c r="C59" s="15" t="s">
        <v>10938</v>
      </c>
      <c r="D59" s="15" t="s">
        <v>10939</v>
      </c>
      <c r="E59" s="15"/>
      <c r="F59" s="15"/>
      <c r="G59" s="15"/>
    </row>
    <row r="60" customFormat="false" ht="30.75" hidden="false" customHeight="true" outlineLevel="0" collapsed="false">
      <c r="B60" s="15" t="s">
        <v>1920</v>
      </c>
      <c r="C60" s="15" t="s">
        <v>10940</v>
      </c>
      <c r="D60" s="15" t="s">
        <v>10941</v>
      </c>
      <c r="E60" s="15"/>
      <c r="F60" s="15"/>
      <c r="G60" s="15"/>
    </row>
    <row r="61" customFormat="false" ht="30.75" hidden="false" customHeight="true" outlineLevel="0" collapsed="false">
      <c r="B61" s="15" t="s">
        <v>10942</v>
      </c>
      <c r="C61" s="15" t="s">
        <v>10943</v>
      </c>
      <c r="D61" s="15" t="s">
        <v>10944</v>
      </c>
      <c r="E61" s="15"/>
      <c r="F61" s="15"/>
      <c r="G61" s="15"/>
    </row>
    <row r="62" customFormat="false" ht="30.75" hidden="false" customHeight="true" outlineLevel="0" collapsed="false">
      <c r="B62" s="15" t="s">
        <v>10945</v>
      </c>
      <c r="C62" s="15" t="s">
        <v>10946</v>
      </c>
      <c r="D62" s="15" t="s">
        <v>10947</v>
      </c>
      <c r="E62" s="15"/>
      <c r="F62" s="15"/>
      <c r="G62" s="15"/>
    </row>
    <row r="63" customFormat="false" ht="17.25" hidden="false" customHeight="true" outlineLevel="0" collapsed="false">
      <c r="B63" s="15" t="s">
        <v>1571</v>
      </c>
      <c r="C63" s="15" t="s">
        <v>10948</v>
      </c>
      <c r="D63" s="15" t="s">
        <v>10949</v>
      </c>
      <c r="E63" s="15"/>
      <c r="F63" s="15"/>
      <c r="G63" s="15"/>
    </row>
    <row r="64" customFormat="false" ht="44.25" hidden="false" customHeight="true" outlineLevel="0" collapsed="false">
      <c r="B64" s="15" t="s">
        <v>10950</v>
      </c>
      <c r="C64" s="15" t="s">
        <v>10951</v>
      </c>
      <c r="D64" s="15" t="s">
        <v>10952</v>
      </c>
      <c r="E64" s="15"/>
      <c r="F64" s="15"/>
      <c r="G64" s="15"/>
    </row>
    <row r="66" customFormat="false" ht="15.75" hidden="false" customHeight="true" outlineLevel="0" collapsed="false">
      <c r="B66" s="103" t="s">
        <v>1454</v>
      </c>
      <c r="C66" s="8"/>
      <c r="D66" s="8"/>
      <c r="E66" s="8"/>
      <c r="F66" s="8"/>
      <c r="G66" s="8"/>
      <c r="H66" s="8"/>
      <c r="I66" s="8"/>
      <c r="J66" s="8"/>
      <c r="K66" s="8"/>
    </row>
    <row r="67" customFormat="false" ht="15.75" hidden="false" customHeight="true" outlineLevel="0" collapsed="false">
      <c r="B67" s="106" t="s">
        <v>10953</v>
      </c>
      <c r="C67" s="106"/>
      <c r="D67" s="106"/>
      <c r="E67" s="106"/>
      <c r="F67" s="106"/>
      <c r="G67" s="106"/>
      <c r="H67" s="106"/>
    </row>
    <row r="68" customFormat="false" ht="15.75" hidden="false" customHeight="true" outlineLevel="0" collapsed="false">
      <c r="B68" s="106"/>
      <c r="C68" s="106"/>
      <c r="D68" s="106"/>
      <c r="E68" s="106"/>
      <c r="F68" s="106"/>
      <c r="G68" s="106"/>
      <c r="H68" s="106"/>
    </row>
    <row r="69" customFormat="false" ht="17.25" hidden="false" customHeight="true" outlineLevel="0" collapsed="false">
      <c r="B69" s="112" t="s">
        <v>85</v>
      </c>
      <c r="C69" s="113" t="s">
        <v>86</v>
      </c>
      <c r="D69" s="113"/>
      <c r="E69" s="113"/>
    </row>
    <row r="71" customFormat="false" ht="17.25" hidden="false" customHeight="true" outlineLevel="0" collapsed="false">
      <c r="B71" s="107" t="s">
        <v>10954</v>
      </c>
      <c r="C71" s="107"/>
      <c r="D71" s="107"/>
      <c r="E71" s="107"/>
      <c r="F71" s="107"/>
      <c r="G71" s="107"/>
      <c r="H71" s="107"/>
    </row>
    <row r="72" customFormat="false" ht="30.75" hidden="false" customHeight="true" outlineLevel="0" collapsed="false">
      <c r="B72" s="152" t="s">
        <v>10955</v>
      </c>
      <c r="C72" s="152" t="s">
        <v>10316</v>
      </c>
      <c r="D72" s="152" t="s">
        <v>10956</v>
      </c>
      <c r="E72" s="152" t="s">
        <v>10957</v>
      </c>
      <c r="F72" s="152" t="s">
        <v>10958</v>
      </c>
      <c r="G72" s="152" t="s">
        <v>10959</v>
      </c>
      <c r="H72" s="152" t="s">
        <v>10960</v>
      </c>
      <c r="I72" s="152" t="s">
        <v>10961</v>
      </c>
      <c r="J72" s="152" t="s">
        <v>10962</v>
      </c>
      <c r="K72" s="152"/>
    </row>
    <row r="73" customFormat="false" ht="17.25" hidden="false" customHeight="true" outlineLevel="0" collapsed="false">
      <c r="B73" s="155" t="n">
        <v>1</v>
      </c>
      <c r="C73" s="177" t="s">
        <v>10963</v>
      </c>
      <c r="D73" s="155" t="n">
        <v>188</v>
      </c>
      <c r="E73" s="158" t="n">
        <f aca="false">MEDIAN($D$73:$D$102)</f>
        <v>190.5</v>
      </c>
      <c r="F73" s="167" t="str">
        <f aca="false">IF(D73=MEDIAN($D$73:$D$102),"",IF(D73&gt;MEDIAN($D$73:$D$102),"above","below"))</f>
        <v>below</v>
      </c>
      <c r="G73" s="161" t="n">
        <f aca="false">1</f>
        <v>1</v>
      </c>
      <c r="H73" s="167" t="str">
        <f aca="false">""</f>
        <v/>
      </c>
      <c r="I73" s="161" t="n">
        <f aca="false">1</f>
        <v>1</v>
      </c>
      <c r="J73" s="161" t="n">
        <f aca="false">1</f>
        <v>1</v>
      </c>
      <c r="K73" s="161"/>
    </row>
    <row r="74" customFormat="false" ht="17.25" hidden="false" customHeight="true" outlineLevel="0" collapsed="false">
      <c r="B74" s="155" t="n">
        <v>2</v>
      </c>
      <c r="C74" s="177" t="s">
        <v>10963</v>
      </c>
      <c r="D74" s="155" t="n">
        <v>195</v>
      </c>
      <c r="E74" s="158" t="n">
        <f aca="false">MEDIAN($D$73:$D$102)</f>
        <v>190.5</v>
      </c>
      <c r="F74" s="167" t="str">
        <f aca="false">IF(D74=MEDIAN($D$73:$D$102),"",IF(D74&gt;MEDIAN($D$73:$D$102),"above","below"))</f>
        <v>above</v>
      </c>
      <c r="G74" s="161" t="n">
        <f aca="false">IF(F74="",0,IF(F74=F73,0,1))</f>
        <v>1</v>
      </c>
      <c r="H74" s="167" t="str">
        <f aca="false">IF(D74&gt;D73,"up",IF(D74&lt;D73,"down","flat"))</f>
        <v>up</v>
      </c>
      <c r="I74" s="161" t="n">
        <f aca="false">IF(F74="",0,IF(F74=F73,I73+1,1))</f>
        <v>1</v>
      </c>
      <c r="J74" s="161" t="n">
        <f aca="false">IF(H74=H73,J73+1,1)</f>
        <v>1</v>
      </c>
      <c r="K74" s="161"/>
    </row>
    <row r="75" customFormat="false" ht="17.25" hidden="false" customHeight="true" outlineLevel="0" collapsed="false">
      <c r="B75" s="155" t="n">
        <v>3</v>
      </c>
      <c r="C75" s="177" t="s">
        <v>10963</v>
      </c>
      <c r="D75" s="155" t="n">
        <v>201</v>
      </c>
      <c r="E75" s="158" t="n">
        <f aca="false">MEDIAN($D$73:$D$102)</f>
        <v>190.5</v>
      </c>
      <c r="F75" s="167" t="str">
        <f aca="false">IF(D75=MEDIAN($D$73:$D$102),"",IF(D75&gt;MEDIAN($D$73:$D$102),"above","below"))</f>
        <v>above</v>
      </c>
      <c r="G75" s="161" t="n">
        <f aca="false">IF(F75="",0,IF(F75=F74,0,1))</f>
        <v>0</v>
      </c>
      <c r="H75" s="167" t="str">
        <f aca="false">IF(D75&gt;D74,"up",IF(D75&lt;D74,"down","flat"))</f>
        <v>up</v>
      </c>
      <c r="I75" s="161" t="n">
        <f aca="false">IF(F75="",0,IF(F75=F74,I74+1,1))</f>
        <v>2</v>
      </c>
      <c r="J75" s="161" t="n">
        <f aca="false">IF(H75=H74,J74+1,1)</f>
        <v>2</v>
      </c>
      <c r="K75" s="161"/>
    </row>
    <row r="76" customFormat="false" ht="17.25" hidden="false" customHeight="true" outlineLevel="0" collapsed="false">
      <c r="B76" s="155" t="n">
        <v>4</v>
      </c>
      <c r="C76" s="177" t="s">
        <v>10963</v>
      </c>
      <c r="D76" s="155" t="n">
        <v>187</v>
      </c>
      <c r="E76" s="158" t="n">
        <f aca="false">MEDIAN($D$73:$D$102)</f>
        <v>190.5</v>
      </c>
      <c r="F76" s="167" t="str">
        <f aca="false">IF(D76=MEDIAN($D$73:$D$102),"",IF(D76&gt;MEDIAN($D$73:$D$102),"above","below"))</f>
        <v>below</v>
      </c>
      <c r="G76" s="161" t="n">
        <f aca="false">IF(F76="",0,IF(F76=F75,0,1))</f>
        <v>1</v>
      </c>
      <c r="H76" s="167" t="str">
        <f aca="false">IF(D76&gt;D75,"up",IF(D76&lt;D75,"down","flat"))</f>
        <v>down</v>
      </c>
      <c r="I76" s="161" t="n">
        <f aca="false">IF(F76="",0,IF(F76=F75,I75+1,1))</f>
        <v>1</v>
      </c>
      <c r="J76" s="161" t="n">
        <f aca="false">IF(H76=H75,J75+1,1)</f>
        <v>1</v>
      </c>
      <c r="K76" s="161"/>
    </row>
    <row r="77" customFormat="false" ht="17.25" hidden="false" customHeight="true" outlineLevel="0" collapsed="false">
      <c r="B77" s="155" t="n">
        <v>5</v>
      </c>
      <c r="C77" s="177" t="s">
        <v>10963</v>
      </c>
      <c r="D77" s="155" t="n">
        <v>199</v>
      </c>
      <c r="E77" s="158" t="n">
        <f aca="false">MEDIAN($D$73:$D$102)</f>
        <v>190.5</v>
      </c>
      <c r="F77" s="167" t="str">
        <f aca="false">IF(D77=MEDIAN($D$73:$D$102),"",IF(D77&gt;MEDIAN($D$73:$D$102),"above","below"))</f>
        <v>above</v>
      </c>
      <c r="G77" s="161" t="n">
        <f aca="false">IF(F77="",0,IF(F77=F76,0,1))</f>
        <v>1</v>
      </c>
      <c r="H77" s="167" t="str">
        <f aca="false">IF(D77&gt;D76,"up",IF(D77&lt;D76,"down","flat"))</f>
        <v>up</v>
      </c>
      <c r="I77" s="161" t="n">
        <f aca="false">IF(F77="",0,IF(F77=F76,I76+1,1))</f>
        <v>1</v>
      </c>
      <c r="J77" s="161" t="n">
        <f aca="false">IF(H77=H76,J76+1,1)</f>
        <v>1</v>
      </c>
      <c r="K77" s="161"/>
    </row>
    <row r="78" customFormat="false" ht="17.25" hidden="false" customHeight="true" outlineLevel="0" collapsed="false">
      <c r="B78" s="155" t="n">
        <v>6</v>
      </c>
      <c r="C78" s="177" t="s">
        <v>10964</v>
      </c>
      <c r="D78" s="155" t="n">
        <v>192</v>
      </c>
      <c r="E78" s="158" t="n">
        <f aca="false">MEDIAN($D$73:$D$102)</f>
        <v>190.5</v>
      </c>
      <c r="F78" s="167" t="str">
        <f aca="false">IF(D78=MEDIAN($D$73:$D$102),"",IF(D78&gt;MEDIAN($D$73:$D$102),"above","below"))</f>
        <v>above</v>
      </c>
      <c r="G78" s="161" t="n">
        <f aca="false">IF(F78="",0,IF(F78=F77,0,1))</f>
        <v>0</v>
      </c>
      <c r="H78" s="167" t="str">
        <f aca="false">IF(D78&gt;D77,"up",IF(D78&lt;D77,"down","flat"))</f>
        <v>down</v>
      </c>
      <c r="I78" s="161" t="n">
        <f aca="false">IF(F78="",0,IF(F78=F77,I77+1,1))</f>
        <v>2</v>
      </c>
      <c r="J78" s="161" t="n">
        <f aca="false">IF(H78=H77,J77+1,1)</f>
        <v>1</v>
      </c>
      <c r="K78" s="161"/>
    </row>
    <row r="79" customFormat="false" ht="17.25" hidden="false" customHeight="true" outlineLevel="0" collapsed="false">
      <c r="B79" s="155" t="n">
        <v>7</v>
      </c>
      <c r="C79" s="177" t="s">
        <v>10964</v>
      </c>
      <c r="D79" s="155" t="n">
        <v>205</v>
      </c>
      <c r="E79" s="158" t="n">
        <f aca="false">MEDIAN($D$73:$D$102)</f>
        <v>190.5</v>
      </c>
      <c r="F79" s="167" t="str">
        <f aca="false">IF(D79=MEDIAN($D$73:$D$102),"",IF(D79&gt;MEDIAN($D$73:$D$102),"above","below"))</f>
        <v>above</v>
      </c>
      <c r="G79" s="161" t="n">
        <f aca="false">IF(F79="",0,IF(F79=F78,0,1))</f>
        <v>0</v>
      </c>
      <c r="H79" s="167" t="str">
        <f aca="false">IF(D79&gt;D78,"up",IF(D79&lt;D78,"down","flat"))</f>
        <v>up</v>
      </c>
      <c r="I79" s="161" t="n">
        <f aca="false">IF(F79="",0,IF(F79=F78,I78+1,1))</f>
        <v>3</v>
      </c>
      <c r="J79" s="161" t="n">
        <f aca="false">IF(H79=H78,J78+1,1)</f>
        <v>1</v>
      </c>
      <c r="K79" s="161"/>
    </row>
    <row r="80" customFormat="false" ht="17.25" hidden="false" customHeight="true" outlineLevel="0" collapsed="false">
      <c r="B80" s="155" t="n">
        <v>8</v>
      </c>
      <c r="C80" s="177" t="s">
        <v>10964</v>
      </c>
      <c r="D80" s="155" t="n">
        <v>196</v>
      </c>
      <c r="E80" s="158" t="n">
        <f aca="false">MEDIAN($D$73:$D$102)</f>
        <v>190.5</v>
      </c>
      <c r="F80" s="167" t="str">
        <f aca="false">IF(D80=MEDIAN($D$73:$D$102),"",IF(D80&gt;MEDIAN($D$73:$D$102),"above","below"))</f>
        <v>above</v>
      </c>
      <c r="G80" s="161" t="n">
        <f aca="false">IF(F80="",0,IF(F80=F79,0,1))</f>
        <v>0</v>
      </c>
      <c r="H80" s="167" t="str">
        <f aca="false">IF(D80&gt;D79,"up",IF(D80&lt;D79,"down","flat"))</f>
        <v>down</v>
      </c>
      <c r="I80" s="161" t="n">
        <f aca="false">IF(F80="",0,IF(F80=F79,I79+1,1))</f>
        <v>4</v>
      </c>
      <c r="J80" s="161" t="n">
        <f aca="false">IF(H80=H79,J79+1,1)</f>
        <v>1</v>
      </c>
      <c r="K80" s="161"/>
    </row>
    <row r="81" customFormat="false" ht="17.25" hidden="false" customHeight="true" outlineLevel="0" collapsed="false">
      <c r="B81" s="155" t="n">
        <v>9</v>
      </c>
      <c r="C81" s="177" t="s">
        <v>10964</v>
      </c>
      <c r="D81" s="155" t="n">
        <v>190</v>
      </c>
      <c r="E81" s="158" t="n">
        <f aca="false">MEDIAN($D$73:$D$102)</f>
        <v>190.5</v>
      </c>
      <c r="F81" s="167" t="str">
        <f aca="false">IF(D81=MEDIAN($D$73:$D$102),"",IF(D81&gt;MEDIAN($D$73:$D$102),"above","below"))</f>
        <v>below</v>
      </c>
      <c r="G81" s="161" t="n">
        <f aca="false">IF(F81="",0,IF(F81=F80,0,1))</f>
        <v>1</v>
      </c>
      <c r="H81" s="167" t="str">
        <f aca="false">IF(D81&gt;D80,"up",IF(D81&lt;D80,"down","flat"))</f>
        <v>down</v>
      </c>
      <c r="I81" s="161" t="n">
        <f aca="false">IF(F81="",0,IF(F81=F80,I80+1,1))</f>
        <v>1</v>
      </c>
      <c r="J81" s="161" t="n">
        <f aca="false">IF(H81=H80,J80+1,1)</f>
        <v>2</v>
      </c>
      <c r="K81" s="161"/>
    </row>
    <row r="82" customFormat="false" ht="17.25" hidden="false" customHeight="true" outlineLevel="0" collapsed="false">
      <c r="B82" s="155" t="n">
        <v>10</v>
      </c>
      <c r="C82" s="177" t="s">
        <v>10964</v>
      </c>
      <c r="D82" s="155" t="n">
        <v>198</v>
      </c>
      <c r="E82" s="158" t="n">
        <f aca="false">MEDIAN($D$73:$D$102)</f>
        <v>190.5</v>
      </c>
      <c r="F82" s="167" t="str">
        <f aca="false">IF(D82=MEDIAN($D$73:$D$102),"",IF(D82&gt;MEDIAN($D$73:$D$102),"above","below"))</f>
        <v>above</v>
      </c>
      <c r="G82" s="161" t="n">
        <f aca="false">IF(F82="",0,IF(F82=F81,0,1))</f>
        <v>1</v>
      </c>
      <c r="H82" s="167" t="str">
        <f aca="false">IF(D82&gt;D81,"up",IF(D82&lt;D81,"down","flat"))</f>
        <v>up</v>
      </c>
      <c r="I82" s="161" t="n">
        <f aca="false">IF(F82="",0,IF(F82=F81,I81+1,1))</f>
        <v>1</v>
      </c>
      <c r="J82" s="161" t="n">
        <f aca="false">IF(H82=H81,J81+1,1)</f>
        <v>1</v>
      </c>
      <c r="K82" s="161"/>
    </row>
    <row r="83" customFormat="false" ht="17.25" hidden="false" customHeight="true" outlineLevel="0" collapsed="false">
      <c r="B83" s="155" t="n">
        <v>11</v>
      </c>
      <c r="C83" s="177" t="s">
        <v>10965</v>
      </c>
      <c r="D83" s="155" t="n">
        <v>193</v>
      </c>
      <c r="E83" s="158" t="n">
        <f aca="false">MEDIAN($D$73:$D$102)</f>
        <v>190.5</v>
      </c>
      <c r="F83" s="167" t="str">
        <f aca="false">IF(D83=MEDIAN($D$73:$D$102),"",IF(D83&gt;MEDIAN($D$73:$D$102),"above","below"))</f>
        <v>above</v>
      </c>
      <c r="G83" s="161" t="n">
        <f aca="false">IF(F83="",0,IF(F83=F82,0,1))</f>
        <v>0</v>
      </c>
      <c r="H83" s="167" t="str">
        <f aca="false">IF(D83&gt;D82,"up",IF(D83&lt;D82,"down","flat"))</f>
        <v>down</v>
      </c>
      <c r="I83" s="161" t="n">
        <f aca="false">IF(F83="",0,IF(F83=F82,I82+1,1))</f>
        <v>2</v>
      </c>
      <c r="J83" s="161" t="n">
        <f aca="false">IF(H83=H82,J82+1,1)</f>
        <v>1</v>
      </c>
      <c r="K83" s="161"/>
    </row>
    <row r="84" customFormat="false" ht="17.25" hidden="false" customHeight="true" outlineLevel="0" collapsed="false">
      <c r="B84" s="155" t="n">
        <v>12</v>
      </c>
      <c r="C84" s="177" t="s">
        <v>10965</v>
      </c>
      <c r="D84" s="155" t="n">
        <v>202</v>
      </c>
      <c r="E84" s="158" t="n">
        <f aca="false">MEDIAN($D$73:$D$102)</f>
        <v>190.5</v>
      </c>
      <c r="F84" s="167" t="str">
        <f aca="false">IF(D84=MEDIAN($D$73:$D$102),"",IF(D84&gt;MEDIAN($D$73:$D$102),"above","below"))</f>
        <v>above</v>
      </c>
      <c r="G84" s="161" t="n">
        <f aca="false">IF(F84="",0,IF(F84=F83,0,1))</f>
        <v>0</v>
      </c>
      <c r="H84" s="167" t="str">
        <f aca="false">IF(D84&gt;D83,"up",IF(D84&lt;D83,"down","flat"))</f>
        <v>up</v>
      </c>
      <c r="I84" s="161" t="n">
        <f aca="false">IF(F84="",0,IF(F84=F83,I83+1,1))</f>
        <v>3</v>
      </c>
      <c r="J84" s="161" t="n">
        <f aca="false">IF(H84=H83,J83+1,1)</f>
        <v>1</v>
      </c>
      <c r="K84" s="161"/>
    </row>
    <row r="85" customFormat="false" ht="17.25" hidden="false" customHeight="true" outlineLevel="0" collapsed="false">
      <c r="B85" s="155" t="n">
        <v>13</v>
      </c>
      <c r="C85" s="177" t="s">
        <v>10965</v>
      </c>
      <c r="D85" s="155" t="n">
        <v>186</v>
      </c>
      <c r="E85" s="158" t="n">
        <f aca="false">MEDIAN($D$73:$D$102)</f>
        <v>190.5</v>
      </c>
      <c r="F85" s="167" t="str">
        <f aca="false">IF(D85=MEDIAN($D$73:$D$102),"",IF(D85&gt;MEDIAN($D$73:$D$102),"above","below"))</f>
        <v>below</v>
      </c>
      <c r="G85" s="161" t="n">
        <f aca="false">IF(F85="",0,IF(F85=F84,0,1))</f>
        <v>1</v>
      </c>
      <c r="H85" s="167" t="str">
        <f aca="false">IF(D85&gt;D84,"up",IF(D85&lt;D84,"down","flat"))</f>
        <v>down</v>
      </c>
      <c r="I85" s="161" t="n">
        <f aca="false">IF(F85="",0,IF(F85=F84,I84+1,1))</f>
        <v>1</v>
      </c>
      <c r="J85" s="161" t="n">
        <f aca="false">IF(H85=H84,J84+1,1)</f>
        <v>1</v>
      </c>
      <c r="K85" s="161"/>
    </row>
    <row r="86" customFormat="false" ht="17.25" hidden="false" customHeight="true" outlineLevel="0" collapsed="false">
      <c r="B86" s="155" t="n">
        <v>14</v>
      </c>
      <c r="C86" s="177" t="s">
        <v>10965</v>
      </c>
      <c r="D86" s="155" t="n">
        <v>197</v>
      </c>
      <c r="E86" s="158" t="n">
        <f aca="false">MEDIAN($D$73:$D$102)</f>
        <v>190.5</v>
      </c>
      <c r="F86" s="167" t="str">
        <f aca="false">IF(D86=MEDIAN($D$73:$D$102),"",IF(D86&gt;MEDIAN($D$73:$D$102),"above","below"))</f>
        <v>above</v>
      </c>
      <c r="G86" s="161" t="n">
        <f aca="false">IF(F86="",0,IF(F86=F85,0,1))</f>
        <v>1</v>
      </c>
      <c r="H86" s="167" t="str">
        <f aca="false">IF(D86&gt;D85,"up",IF(D86&lt;D85,"down","flat"))</f>
        <v>up</v>
      </c>
      <c r="I86" s="161" t="n">
        <f aca="false">IF(F86="",0,IF(F86=F85,I85+1,1))</f>
        <v>1</v>
      </c>
      <c r="J86" s="161" t="n">
        <f aca="false">IF(H86=H85,J85+1,1)</f>
        <v>1</v>
      </c>
      <c r="K86" s="161"/>
    </row>
    <row r="87" customFormat="false" ht="17.25" hidden="false" customHeight="true" outlineLevel="0" collapsed="false">
      <c r="B87" s="155" t="n">
        <v>15</v>
      </c>
      <c r="C87" s="177" t="s">
        <v>10965</v>
      </c>
      <c r="D87" s="155" t="n">
        <v>191</v>
      </c>
      <c r="E87" s="158" t="n">
        <f aca="false">MEDIAN($D$73:$D$102)</f>
        <v>190.5</v>
      </c>
      <c r="F87" s="167" t="str">
        <f aca="false">IF(D87=MEDIAN($D$73:$D$102),"",IF(D87&gt;MEDIAN($D$73:$D$102),"above","below"))</f>
        <v>above</v>
      </c>
      <c r="G87" s="161" t="n">
        <f aca="false">IF(F87="",0,IF(F87=F86,0,1))</f>
        <v>0</v>
      </c>
      <c r="H87" s="167" t="str">
        <f aca="false">IF(D87&gt;D86,"up",IF(D87&lt;D86,"down","flat"))</f>
        <v>down</v>
      </c>
      <c r="I87" s="161" t="n">
        <f aca="false">IF(F87="",0,IF(F87=F86,I86+1,1))</f>
        <v>2</v>
      </c>
      <c r="J87" s="161" t="n">
        <f aca="false">IF(H87=H86,J86+1,1)</f>
        <v>1</v>
      </c>
      <c r="K87" s="161"/>
    </row>
    <row r="88" customFormat="false" ht="17.25" hidden="false" customHeight="true" outlineLevel="0" collapsed="false">
      <c r="B88" s="155" t="n">
        <v>16</v>
      </c>
      <c r="C88" s="177" t="s">
        <v>10966</v>
      </c>
      <c r="D88" s="155" t="n">
        <v>194</v>
      </c>
      <c r="E88" s="158" t="n">
        <f aca="false">MEDIAN($D$73:$D$102)</f>
        <v>190.5</v>
      </c>
      <c r="F88" s="167" t="str">
        <f aca="false">IF(D88=MEDIAN($D$73:$D$102),"",IF(D88&gt;MEDIAN($D$73:$D$102),"above","below"))</f>
        <v>above</v>
      </c>
      <c r="G88" s="161" t="n">
        <f aca="false">IF(F88="",0,IF(F88=F87,0,1))</f>
        <v>0</v>
      </c>
      <c r="H88" s="167" t="str">
        <f aca="false">IF(D88&gt;D87,"up",IF(D88&lt;D87,"down","flat"))</f>
        <v>up</v>
      </c>
      <c r="I88" s="161" t="n">
        <f aca="false">IF(F88="",0,IF(F88=F87,I87+1,1))</f>
        <v>3</v>
      </c>
      <c r="J88" s="161" t="n">
        <f aca="false">IF(H88=H87,J87+1,1)</f>
        <v>1</v>
      </c>
      <c r="K88" s="161"/>
    </row>
    <row r="89" customFormat="false" ht="17.25" hidden="false" customHeight="true" outlineLevel="0" collapsed="false">
      <c r="B89" s="155" t="n">
        <v>17</v>
      </c>
      <c r="C89" s="177" t="s">
        <v>10966</v>
      </c>
      <c r="D89" s="155" t="n">
        <v>200</v>
      </c>
      <c r="E89" s="158" t="n">
        <f aca="false">MEDIAN($D$73:$D$102)</f>
        <v>190.5</v>
      </c>
      <c r="F89" s="167" t="str">
        <f aca="false">IF(D89=MEDIAN($D$73:$D$102),"",IF(D89&gt;MEDIAN($D$73:$D$102),"above","below"))</f>
        <v>above</v>
      </c>
      <c r="G89" s="161" t="n">
        <f aca="false">IF(F89="",0,IF(F89=F88,0,1))</f>
        <v>0</v>
      </c>
      <c r="H89" s="167" t="str">
        <f aca="false">IF(D89&gt;D88,"up",IF(D89&lt;D88,"down","flat"))</f>
        <v>up</v>
      </c>
      <c r="I89" s="161" t="n">
        <f aca="false">IF(F89="",0,IF(F89=F88,I88+1,1))</f>
        <v>4</v>
      </c>
      <c r="J89" s="161" t="n">
        <f aca="false">IF(H89=H88,J88+1,1)</f>
        <v>2</v>
      </c>
      <c r="K89" s="161"/>
    </row>
    <row r="90" customFormat="false" ht="17.25" hidden="false" customHeight="true" outlineLevel="0" collapsed="false">
      <c r="B90" s="155" t="n">
        <v>18</v>
      </c>
      <c r="C90" s="177" t="s">
        <v>10966</v>
      </c>
      <c r="D90" s="155" t="n">
        <v>189</v>
      </c>
      <c r="E90" s="158" t="n">
        <f aca="false">MEDIAN($D$73:$D$102)</f>
        <v>190.5</v>
      </c>
      <c r="F90" s="167" t="str">
        <f aca="false">IF(D90=MEDIAN($D$73:$D$102),"",IF(D90&gt;MEDIAN($D$73:$D$102),"above","below"))</f>
        <v>below</v>
      </c>
      <c r="G90" s="161" t="n">
        <f aca="false">IF(F90="",0,IF(F90=F89,0,1))</f>
        <v>1</v>
      </c>
      <c r="H90" s="167" t="str">
        <f aca="false">IF(D90&gt;D89,"up",IF(D90&lt;D89,"down","flat"))</f>
        <v>down</v>
      </c>
      <c r="I90" s="161" t="n">
        <f aca="false">IF(F90="",0,IF(F90=F89,I89+1,1))</f>
        <v>1</v>
      </c>
      <c r="J90" s="161" t="n">
        <f aca="false">IF(H90=H89,J89+1,1)</f>
        <v>1</v>
      </c>
      <c r="K90" s="161"/>
    </row>
    <row r="91" customFormat="false" ht="17.25" hidden="false" customHeight="true" outlineLevel="0" collapsed="false">
      <c r="B91" s="155" t="n">
        <v>19</v>
      </c>
      <c r="C91" s="177" t="s">
        <v>10966</v>
      </c>
      <c r="D91" s="155" t="n">
        <v>196</v>
      </c>
      <c r="E91" s="158" t="n">
        <f aca="false">MEDIAN($D$73:$D$102)</f>
        <v>190.5</v>
      </c>
      <c r="F91" s="167" t="str">
        <f aca="false">IF(D91=MEDIAN($D$73:$D$102),"",IF(D91&gt;MEDIAN($D$73:$D$102),"above","below"))</f>
        <v>above</v>
      </c>
      <c r="G91" s="161" t="n">
        <f aca="false">IF(F91="",0,IF(F91=F90,0,1))</f>
        <v>1</v>
      </c>
      <c r="H91" s="167" t="str">
        <f aca="false">IF(D91&gt;D90,"up",IF(D91&lt;D90,"down","flat"))</f>
        <v>up</v>
      </c>
      <c r="I91" s="161" t="n">
        <f aca="false">IF(F91="",0,IF(F91=F90,I90+1,1))</f>
        <v>1</v>
      </c>
      <c r="J91" s="161" t="n">
        <f aca="false">IF(H91=H90,J90+1,1)</f>
        <v>1</v>
      </c>
      <c r="K91" s="161"/>
    </row>
    <row r="92" customFormat="false" ht="17.25" hidden="false" customHeight="true" outlineLevel="0" collapsed="false">
      <c r="B92" s="155" t="n">
        <v>20</v>
      </c>
      <c r="C92" s="177" t="s">
        <v>10966</v>
      </c>
      <c r="D92" s="155" t="n">
        <v>203</v>
      </c>
      <c r="E92" s="158" t="n">
        <f aca="false">MEDIAN($D$73:$D$102)</f>
        <v>190.5</v>
      </c>
      <c r="F92" s="167" t="str">
        <f aca="false">IF(D92=MEDIAN($D$73:$D$102),"",IF(D92&gt;MEDIAN($D$73:$D$102),"above","below"))</f>
        <v>above</v>
      </c>
      <c r="G92" s="161" t="n">
        <f aca="false">IF(F92="",0,IF(F92=F91,0,1))</f>
        <v>0</v>
      </c>
      <c r="H92" s="167" t="str">
        <f aca="false">IF(D92&gt;D91,"up",IF(D92&lt;D91,"down","flat"))</f>
        <v>up</v>
      </c>
      <c r="I92" s="161" t="n">
        <f aca="false">IF(F92="",0,IF(F92=F91,I91+1,1))</f>
        <v>2</v>
      </c>
      <c r="J92" s="161" t="n">
        <f aca="false">IF(H92=H91,J91+1,1)</f>
        <v>2</v>
      </c>
      <c r="K92" s="161"/>
    </row>
    <row r="93" customFormat="false" ht="17.25" hidden="false" customHeight="true" outlineLevel="0" collapsed="false">
      <c r="B93" s="155" t="n">
        <v>21</v>
      </c>
      <c r="C93" s="177" t="s">
        <v>10967</v>
      </c>
      <c r="D93" s="155" t="n">
        <v>72</v>
      </c>
      <c r="E93" s="158" t="n">
        <f aca="false">MEDIAN($D$73:$D$102)</f>
        <v>190.5</v>
      </c>
      <c r="F93" s="167" t="str">
        <f aca="false">IF(D93=MEDIAN($D$73:$D$102),"",IF(D93&gt;MEDIAN($D$73:$D$102),"above","below"))</f>
        <v>below</v>
      </c>
      <c r="G93" s="161" t="n">
        <f aca="false">IF(F93="",0,IF(F93=F92,0,1))</f>
        <v>1</v>
      </c>
      <c r="H93" s="167" t="str">
        <f aca="false">IF(D93&gt;D92,"up",IF(D93&lt;D92,"down","flat"))</f>
        <v>down</v>
      </c>
      <c r="I93" s="161" t="n">
        <f aca="false">IF(F93="",0,IF(F93=F92,I92+1,1))</f>
        <v>1</v>
      </c>
      <c r="J93" s="161" t="n">
        <f aca="false">IF(H93=H92,J92+1,1)</f>
        <v>1</v>
      </c>
      <c r="K93" s="161"/>
    </row>
    <row r="94" customFormat="false" ht="17.25" hidden="false" customHeight="true" outlineLevel="0" collapsed="false">
      <c r="B94" s="155" t="n">
        <v>22</v>
      </c>
      <c r="C94" s="177" t="s">
        <v>10967</v>
      </c>
      <c r="D94" s="155" t="n">
        <v>65</v>
      </c>
      <c r="E94" s="158" t="n">
        <f aca="false">MEDIAN($D$73:$D$102)</f>
        <v>190.5</v>
      </c>
      <c r="F94" s="167" t="str">
        <f aca="false">IF(D94=MEDIAN($D$73:$D$102),"",IF(D94&gt;MEDIAN($D$73:$D$102),"above","below"))</f>
        <v>below</v>
      </c>
      <c r="G94" s="161" t="n">
        <f aca="false">IF(F94="",0,IF(F94=F93,0,1))</f>
        <v>0</v>
      </c>
      <c r="H94" s="167" t="str">
        <f aca="false">IF(D94&gt;D93,"up",IF(D94&lt;D93,"down","flat"))</f>
        <v>down</v>
      </c>
      <c r="I94" s="161" t="n">
        <f aca="false">IF(F94="",0,IF(F94=F93,I93+1,1))</f>
        <v>2</v>
      </c>
      <c r="J94" s="161" t="n">
        <f aca="false">IF(H94=H93,J93+1,1)</f>
        <v>2</v>
      </c>
      <c r="K94" s="161"/>
    </row>
    <row r="95" customFormat="false" ht="17.25" hidden="false" customHeight="true" outlineLevel="0" collapsed="false">
      <c r="B95" s="155" t="n">
        <v>23</v>
      </c>
      <c r="C95" s="177" t="s">
        <v>10967</v>
      </c>
      <c r="D95" s="155" t="n">
        <v>58</v>
      </c>
      <c r="E95" s="158" t="n">
        <f aca="false">MEDIAN($D$73:$D$102)</f>
        <v>190.5</v>
      </c>
      <c r="F95" s="167" t="str">
        <f aca="false">IF(D95=MEDIAN($D$73:$D$102),"",IF(D95&gt;MEDIAN($D$73:$D$102),"above","below"))</f>
        <v>below</v>
      </c>
      <c r="G95" s="161" t="n">
        <f aca="false">IF(F95="",0,IF(F95=F94,0,1))</f>
        <v>0</v>
      </c>
      <c r="H95" s="167" t="str">
        <f aca="false">IF(D95&gt;D94,"up",IF(D95&lt;D94,"down","flat"))</f>
        <v>down</v>
      </c>
      <c r="I95" s="161" t="n">
        <f aca="false">IF(F95="",0,IF(F95=F94,I94+1,1))</f>
        <v>3</v>
      </c>
      <c r="J95" s="161" t="n">
        <f aca="false">IF(H95=H94,J94+1,1)</f>
        <v>3</v>
      </c>
      <c r="K95" s="161"/>
    </row>
    <row r="96" customFormat="false" ht="17.25" hidden="false" customHeight="true" outlineLevel="0" collapsed="false">
      <c r="B96" s="155" t="n">
        <v>24</v>
      </c>
      <c r="C96" s="177" t="s">
        <v>10967</v>
      </c>
      <c r="D96" s="155" t="n">
        <v>61</v>
      </c>
      <c r="E96" s="158" t="n">
        <f aca="false">MEDIAN($D$73:$D$102)</f>
        <v>190.5</v>
      </c>
      <c r="F96" s="167" t="str">
        <f aca="false">IF(D96=MEDIAN($D$73:$D$102),"",IF(D96&gt;MEDIAN($D$73:$D$102),"above","below"))</f>
        <v>below</v>
      </c>
      <c r="G96" s="161" t="n">
        <f aca="false">IF(F96="",0,IF(F96=F95,0,1))</f>
        <v>0</v>
      </c>
      <c r="H96" s="167" t="str">
        <f aca="false">IF(D96&gt;D95,"up",IF(D96&lt;D95,"down","flat"))</f>
        <v>up</v>
      </c>
      <c r="I96" s="161" t="n">
        <f aca="false">IF(F96="",0,IF(F96=F95,I95+1,1))</f>
        <v>4</v>
      </c>
      <c r="J96" s="161" t="n">
        <f aca="false">IF(H96=H95,J95+1,1)</f>
        <v>1</v>
      </c>
      <c r="K96" s="161"/>
    </row>
    <row r="97" customFormat="false" ht="17.25" hidden="false" customHeight="true" outlineLevel="0" collapsed="false">
      <c r="B97" s="155" t="n">
        <v>25</v>
      </c>
      <c r="C97" s="177" t="s">
        <v>10967</v>
      </c>
      <c r="D97" s="155" t="n">
        <v>55</v>
      </c>
      <c r="E97" s="158" t="n">
        <f aca="false">MEDIAN($D$73:$D$102)</f>
        <v>190.5</v>
      </c>
      <c r="F97" s="167" t="str">
        <f aca="false">IF(D97=MEDIAN($D$73:$D$102),"",IF(D97&gt;MEDIAN($D$73:$D$102),"above","below"))</f>
        <v>below</v>
      </c>
      <c r="G97" s="161" t="n">
        <f aca="false">IF(F97="",0,IF(F97=F96,0,1))</f>
        <v>0</v>
      </c>
      <c r="H97" s="167" t="str">
        <f aca="false">IF(D97&gt;D96,"up",IF(D97&lt;D96,"down","flat"))</f>
        <v>down</v>
      </c>
      <c r="I97" s="161" t="n">
        <f aca="false">IF(F97="",0,IF(F97=F96,I96+1,1))</f>
        <v>5</v>
      </c>
      <c r="J97" s="161" t="n">
        <f aca="false">IF(H97=H96,J96+1,1)</f>
        <v>1</v>
      </c>
      <c r="K97" s="161"/>
    </row>
    <row r="98" customFormat="false" ht="17.25" hidden="false" customHeight="true" outlineLevel="0" collapsed="false">
      <c r="B98" s="155" t="n">
        <v>26</v>
      </c>
      <c r="C98" s="177" t="s">
        <v>10968</v>
      </c>
      <c r="D98" s="155" t="n">
        <v>63</v>
      </c>
      <c r="E98" s="158" t="n">
        <f aca="false">MEDIAN($D$73:$D$102)</f>
        <v>190.5</v>
      </c>
      <c r="F98" s="167" t="str">
        <f aca="false">IF(D98=MEDIAN($D$73:$D$102),"",IF(D98&gt;MEDIAN($D$73:$D$102),"above","below"))</f>
        <v>below</v>
      </c>
      <c r="G98" s="161" t="n">
        <f aca="false">IF(F98="",0,IF(F98=F97,0,1))</f>
        <v>0</v>
      </c>
      <c r="H98" s="167" t="str">
        <f aca="false">IF(D98&gt;D97,"up",IF(D98&lt;D97,"down","flat"))</f>
        <v>up</v>
      </c>
      <c r="I98" s="161" t="n">
        <f aca="false">IF(F98="",0,IF(F98=F97,I97+1,1))</f>
        <v>6</v>
      </c>
      <c r="J98" s="161" t="n">
        <f aca="false">IF(H98=H97,J97+1,1)</f>
        <v>1</v>
      </c>
      <c r="K98" s="161"/>
    </row>
    <row r="99" customFormat="false" ht="17.25" hidden="false" customHeight="true" outlineLevel="0" collapsed="false">
      <c r="B99" s="155" t="n">
        <v>27</v>
      </c>
      <c r="C99" s="177" t="s">
        <v>10968</v>
      </c>
      <c r="D99" s="155" t="n">
        <v>57</v>
      </c>
      <c r="E99" s="158" t="n">
        <f aca="false">MEDIAN($D$73:$D$102)</f>
        <v>190.5</v>
      </c>
      <c r="F99" s="167" t="str">
        <f aca="false">IF(D99=MEDIAN($D$73:$D$102),"",IF(D99&gt;MEDIAN($D$73:$D$102),"above","below"))</f>
        <v>below</v>
      </c>
      <c r="G99" s="161" t="n">
        <f aca="false">IF(F99="",0,IF(F99=F98,0,1))</f>
        <v>0</v>
      </c>
      <c r="H99" s="167" t="str">
        <f aca="false">IF(D99&gt;D98,"up",IF(D99&lt;D98,"down","flat"))</f>
        <v>down</v>
      </c>
      <c r="I99" s="161" t="n">
        <f aca="false">IF(F99="",0,IF(F99=F98,I98+1,1))</f>
        <v>7</v>
      </c>
      <c r="J99" s="161" t="n">
        <f aca="false">IF(H99=H98,J98+1,1)</f>
        <v>1</v>
      </c>
      <c r="K99" s="161"/>
    </row>
    <row r="100" customFormat="false" ht="17.25" hidden="false" customHeight="true" outlineLevel="0" collapsed="false">
      <c r="B100" s="155" t="n">
        <v>28</v>
      </c>
      <c r="C100" s="177" t="s">
        <v>10968</v>
      </c>
      <c r="D100" s="155" t="n">
        <v>60</v>
      </c>
      <c r="E100" s="158" t="n">
        <f aca="false">MEDIAN($D$73:$D$102)</f>
        <v>190.5</v>
      </c>
      <c r="F100" s="167" t="str">
        <f aca="false">IF(D100=MEDIAN($D$73:$D$102),"",IF(D100&gt;MEDIAN($D$73:$D$102),"above","below"))</f>
        <v>below</v>
      </c>
      <c r="G100" s="161" t="n">
        <f aca="false">IF(F100="",0,IF(F100=F99,0,1))</f>
        <v>0</v>
      </c>
      <c r="H100" s="167" t="str">
        <f aca="false">IF(D100&gt;D99,"up",IF(D100&lt;D99,"down","flat"))</f>
        <v>up</v>
      </c>
      <c r="I100" s="161" t="n">
        <f aca="false">IF(F100="",0,IF(F100=F99,I99+1,1))</f>
        <v>8</v>
      </c>
      <c r="J100" s="161" t="n">
        <f aca="false">IF(H100=H99,J99+1,1)</f>
        <v>1</v>
      </c>
      <c r="K100" s="161"/>
    </row>
    <row r="101" customFormat="false" ht="17.25" hidden="false" customHeight="true" outlineLevel="0" collapsed="false">
      <c r="B101" s="155" t="n">
        <v>29</v>
      </c>
      <c r="C101" s="177" t="s">
        <v>10968</v>
      </c>
      <c r="D101" s="155" t="n">
        <v>54</v>
      </c>
      <c r="E101" s="158" t="n">
        <f aca="false">MEDIAN($D$73:$D$102)</f>
        <v>190.5</v>
      </c>
      <c r="F101" s="167" t="str">
        <f aca="false">IF(D101=MEDIAN($D$73:$D$102),"",IF(D101&gt;MEDIAN($D$73:$D$102),"above","below"))</f>
        <v>below</v>
      </c>
      <c r="G101" s="161" t="n">
        <f aca="false">IF(F101="",0,IF(F101=F100,0,1))</f>
        <v>0</v>
      </c>
      <c r="H101" s="167" t="str">
        <f aca="false">IF(D101&gt;D100,"up",IF(D101&lt;D100,"down","flat"))</f>
        <v>down</v>
      </c>
      <c r="I101" s="161" t="n">
        <f aca="false">IF(F101="",0,IF(F101=F100,I100+1,1))</f>
        <v>9</v>
      </c>
      <c r="J101" s="161" t="n">
        <f aca="false">IF(H101=H100,J100+1,1)</f>
        <v>1</v>
      </c>
      <c r="K101" s="161"/>
    </row>
    <row r="102" customFormat="false" ht="17.25" hidden="false" customHeight="true" outlineLevel="0" collapsed="false">
      <c r="B102" s="155" t="n">
        <v>30</v>
      </c>
      <c r="C102" s="177" t="s">
        <v>10968</v>
      </c>
      <c r="D102" s="155" t="n">
        <v>59</v>
      </c>
      <c r="E102" s="158" t="n">
        <f aca="false">MEDIAN($D$73:$D$102)</f>
        <v>190.5</v>
      </c>
      <c r="F102" s="167" t="str">
        <f aca="false">IF(D102=MEDIAN($D$73:$D$102),"",IF(D102&gt;MEDIAN($D$73:$D$102),"above","below"))</f>
        <v>below</v>
      </c>
      <c r="G102" s="161" t="n">
        <f aca="false">IF(F102="",0,IF(F102=F101,0,1))</f>
        <v>0</v>
      </c>
      <c r="H102" s="167" t="str">
        <f aca="false">IF(D102&gt;D101,"up",IF(D102&lt;D101,"down","flat"))</f>
        <v>up</v>
      </c>
      <c r="I102" s="161" t="n">
        <f aca="false">IF(F102="",0,IF(F102=F101,I101+1,1))</f>
        <v>10</v>
      </c>
      <c r="J102" s="161" t="n">
        <f aca="false">IF(H102=H101,J101+1,1)</f>
        <v>1</v>
      </c>
      <c r="K102" s="161"/>
    </row>
    <row r="104" customFormat="false" ht="17.25" hidden="false" customHeight="true" outlineLevel="0" collapsed="false">
      <c r="B104" s="107" t="s">
        <v>10969</v>
      </c>
      <c r="C104" s="107"/>
      <c r="D104" s="107"/>
      <c r="E104" s="107"/>
      <c r="F104" s="107"/>
      <c r="G104" s="107"/>
      <c r="H104" s="107"/>
    </row>
    <row r="105" customFormat="false" ht="16.5" hidden="false" customHeight="true" outlineLevel="0" collapsed="false">
      <c r="B105" s="152" t="s">
        <v>9910</v>
      </c>
      <c r="C105" s="152" t="s">
        <v>10970</v>
      </c>
      <c r="D105" s="152" t="s">
        <v>8990</v>
      </c>
      <c r="E105" s="152" t="s">
        <v>10971</v>
      </c>
      <c r="F105" s="152" t="s">
        <v>10972</v>
      </c>
      <c r="G105" s="152" t="s">
        <v>10973</v>
      </c>
    </row>
    <row r="106" customFormat="false" ht="44.25" hidden="false" customHeight="true" outlineLevel="0" collapsed="false">
      <c r="B106" s="15" t="s">
        <v>10974</v>
      </c>
      <c r="C106" s="15" t="s">
        <v>10975</v>
      </c>
      <c r="D106" s="15" t="s">
        <v>10976</v>
      </c>
      <c r="E106" s="161" t="n">
        <f aca="false">SUM(G73:G102)</f>
        <v>11</v>
      </c>
      <c r="F106" s="161" t="n">
        <f aca="false">IFERROR(ROUND(2*COUNTIF(F73:F102,"above")*COUNTIF(F73:F102,"below")/(COUNTIF(F73:F102,"above")+COUNTIF(F73:F102,"below"))+1-1.96*SQRT(2*COUNTIF(F73:F102,"above")*COUNTIF(F73:F102,"below")*(2*COUNTIF(F73:F102,"above")*COUNTIF(F73:F102,"below")-COUNTIF(F73:F102,"above")-COUNTIF(F73:F102,"below"))/((COUNTIF(F73:F102,"above")+COUNTIF(F73:F102,"below"))^2*(COUNTIF(F73:F102,"above")+COUNTIF(F73:F102,"below")-1))),0),0)</f>
        <v>11</v>
      </c>
      <c r="G106" s="167" t="str">
        <f aca="false">IF(E106&lt;F106,"SIGNAL — a shift has occurred","No signal")</f>
        <v>No signal</v>
      </c>
    </row>
    <row r="107" customFormat="false" ht="44.25" hidden="false" customHeight="true" outlineLevel="0" collapsed="false">
      <c r="B107" s="15" t="s">
        <v>10977</v>
      </c>
      <c r="C107" s="15" t="s">
        <v>10978</v>
      </c>
      <c r="D107" s="15" t="s">
        <v>10979</v>
      </c>
      <c r="E107" s="161" t="n">
        <f aca="false">E106</f>
        <v>11</v>
      </c>
      <c r="F107" s="161" t="n">
        <f aca="false">IFERROR(ROUND(2*COUNTIF(F73:F102,"above")*COUNTIF(F73:F102,"below")/(COUNTIF(F73:F102,"above")+COUNTIF(F73:F102,"below"))+1+1.96*SQRT(2*COUNTIF(F73:F102,"above")*COUNTIF(F73:F102,"below")*(2*COUNTIF(F73:F102,"above")*COUNTIF(F73:F102,"below")-COUNTIF(F73:F102,"above")-COUNTIF(F73:F102,"below"))/((COUNTIF(F73:F102,"above")+COUNTIF(F73:F102,"below"))^2*(COUNTIF(F73:F102,"above")+COUNTIF(F73:F102,"below")-1))),0),0)</f>
        <v>21</v>
      </c>
      <c r="G107" s="167" t="str">
        <f aca="false">IF(E107&gt;F107,"SIGNAL — two populations or over-control","No signal")</f>
        <v>No signal</v>
      </c>
    </row>
    <row r="108" customFormat="false" ht="72" hidden="false" customHeight="true" outlineLevel="0" collapsed="false">
      <c r="B108" s="15" t="s">
        <v>10980</v>
      </c>
      <c r="C108" s="15" t="s">
        <v>10981</v>
      </c>
      <c r="D108" s="15" t="s">
        <v>10982</v>
      </c>
      <c r="E108" s="161" t="n">
        <f aca="false">MAX(I73:I102)</f>
        <v>10</v>
      </c>
      <c r="F108" s="15" t="s">
        <v>45</v>
      </c>
      <c r="G108" s="167" t="str">
        <f aca="false">IF(MAX(I73:I102)&gt;=6,"SIGNAL — sustained shift in level","No signal")</f>
        <v>SIGNAL — sustained shift in level</v>
      </c>
    </row>
    <row r="109" customFormat="false" ht="72" hidden="false" customHeight="true" outlineLevel="0" collapsed="false">
      <c r="B109" s="15" t="s">
        <v>10983</v>
      </c>
      <c r="C109" s="15" t="s">
        <v>10984</v>
      </c>
      <c r="D109" s="15" t="s">
        <v>10985</v>
      </c>
      <c r="E109" s="161" t="n">
        <f aca="false">MAX(J73:J102)</f>
        <v>3</v>
      </c>
      <c r="F109" s="15" t="s">
        <v>45</v>
      </c>
      <c r="G109" s="167" t="str">
        <f aca="false">IF(MAX(J73:J102)&gt;=6,"SIGNAL — the process is drifting","No signal")</f>
        <v>No signal</v>
      </c>
    </row>
    <row r="111" customFormat="false" ht="17.25" hidden="false" customHeight="true" outlineLevel="0" collapsed="false">
      <c r="B111" s="152" t="s">
        <v>6689</v>
      </c>
      <c r="C111" s="152" t="s">
        <v>6654</v>
      </c>
      <c r="D111" s="152" t="s">
        <v>88</v>
      </c>
      <c r="E111" s="152"/>
      <c r="F111" s="152"/>
    </row>
    <row r="112" customFormat="false" ht="17.25" hidden="false" customHeight="true" outlineLevel="0" collapsed="false">
      <c r="B112" s="15" t="s">
        <v>10986</v>
      </c>
      <c r="C112" s="161" t="n">
        <f aca="false">COUNT($D$73:$D$102)</f>
        <v>30</v>
      </c>
      <c r="D112" s="15" t="s">
        <v>10987</v>
      </c>
      <c r="E112" s="15"/>
      <c r="F112" s="15"/>
    </row>
    <row r="113" customFormat="false" ht="17.25" hidden="false" customHeight="true" outlineLevel="0" collapsed="false">
      <c r="B113" s="15" t="s">
        <v>10873</v>
      </c>
      <c r="C113" s="158" t="n">
        <f aca="false">MEDIAN($D$73:$D$102)</f>
        <v>190.5</v>
      </c>
      <c r="D113" s="15" t="s">
        <v>10988</v>
      </c>
      <c r="E113" s="15"/>
      <c r="F113" s="15"/>
    </row>
    <row r="114" customFormat="false" ht="17.25" hidden="false" customHeight="true" outlineLevel="0" collapsed="false">
      <c r="B114" s="15" t="s">
        <v>10989</v>
      </c>
      <c r="C114" s="161" t="n">
        <f aca="false">COUNTIF(F73:F102,"above")</f>
        <v>15</v>
      </c>
      <c r="D114" s="15"/>
      <c r="E114" s="15"/>
      <c r="F114" s="15"/>
    </row>
    <row r="115" customFormat="false" ht="17.25" hidden="false" customHeight="true" outlineLevel="0" collapsed="false">
      <c r="B115" s="15" t="s">
        <v>10990</v>
      </c>
      <c r="C115" s="161" t="n">
        <f aca="false">COUNTIF(F73:F102,"below")</f>
        <v>15</v>
      </c>
      <c r="D115" s="15"/>
      <c r="E115" s="15"/>
      <c r="F115" s="15"/>
    </row>
    <row r="116" customFormat="false" ht="17.25" hidden="false" customHeight="true" outlineLevel="0" collapsed="false">
      <c r="B116" s="15" t="s">
        <v>10991</v>
      </c>
      <c r="C116" s="161" t="n">
        <f aca="false">SUM(G73:G102)</f>
        <v>11</v>
      </c>
      <c r="D116" s="15" t="s">
        <v>10992</v>
      </c>
      <c r="E116" s="15"/>
      <c r="F116" s="15"/>
    </row>
    <row r="117" customFormat="false" ht="17.25" hidden="false" customHeight="true" outlineLevel="0" collapsed="false">
      <c r="B117" s="15" t="s">
        <v>10993</v>
      </c>
      <c r="C117" s="158" t="n">
        <f aca="false">AVERAGE($D$73:$D$92)</f>
        <v>195.1</v>
      </c>
      <c r="D117" s="15" t="s">
        <v>10994</v>
      </c>
      <c r="E117" s="15"/>
      <c r="F117" s="15"/>
    </row>
    <row r="118" customFormat="false" ht="17.25" hidden="false" customHeight="true" outlineLevel="0" collapsed="false">
      <c r="B118" s="15" t="s">
        <v>10995</v>
      </c>
      <c r="C118" s="158" t="n">
        <f aca="false">AVERAGE($D$93:$D$102)</f>
        <v>60.4</v>
      </c>
      <c r="D118" s="15" t="s">
        <v>10996</v>
      </c>
      <c r="E118" s="15"/>
      <c r="F118" s="15"/>
    </row>
    <row r="119" customFormat="false" ht="17.25" hidden="false" customHeight="true" outlineLevel="0" collapsed="false">
      <c r="B119" s="15" t="s">
        <v>10997</v>
      </c>
      <c r="C119" s="158" t="n">
        <f aca="false">C118-C117</f>
        <v>-134.7</v>
      </c>
      <c r="D119" s="15" t="s">
        <v>10998</v>
      </c>
      <c r="E119" s="15"/>
      <c r="F119" s="15"/>
    </row>
    <row r="121" customFormat="false" ht="15.75" hidden="false" customHeight="true" outlineLevel="0" collapsed="false">
      <c r="B121" s="103" t="s">
        <v>1493</v>
      </c>
      <c r="C121" s="8"/>
      <c r="D121" s="8"/>
      <c r="E121" s="8"/>
      <c r="F121" s="8"/>
      <c r="G121" s="8"/>
      <c r="H121" s="8"/>
      <c r="I121" s="8"/>
      <c r="J121" s="8"/>
      <c r="K121" s="8"/>
    </row>
    <row r="122" customFormat="false" ht="96" hidden="false" customHeight="true" outlineLevel="0" collapsed="false">
      <c r="B122" s="105" t="s">
        <v>1494</v>
      </c>
      <c r="C122" s="168" t="str">
        <f aca="false">"The chart holds "&amp;TEXT(C112,"0")&amp;" observations with a median of "&amp;TEXT(C113,"0.0")&amp;" min, split into "&amp;TEXT(C116,"0")&amp;" runs. Mean of the first 20 points: "&amp;TEXT(C117,"0.0")&amp;" min; mean of the last 10: "&amp;TEXT(C118,"0.0")&amp;" min, a shift of "&amp;TEXT(C119,"0.0")&amp;" min. "&amp;IF(E106&lt;F106,"Too few runs for the number of points: this is a statistical signal that the process level has SHIFTED, not that it is noisy. Find what changed at that point in time — here, the SMED implementation.",IF(E107&gt;F107,"Too many runs: the data is alternating more than chance allows, which usually means two populations are being plotted together or the process is being over-controlled.","The number of runs is within the expected range, so test 1 alone gives no evidence of a shift."))&amp;IF(MAX(I73:I102)&gt;=6," Test 3 DOES signal: the longest run is "&amp;TEXT(MAX(I73:I102),"0")&amp;" consecutive points on one side of the median, which is a sustained shift in level. This is why all four tests are run, not just the run count.","")&amp;IF(MAX(J73:J102)&gt;=6," Test 4 also signals a trend of "&amp;TEXT(MAX(J73:J102),"0")&amp;" consecutive moves in one direction.","")&amp;" A run chart shows PATTERN over time; for control limits and special-cause rules, go to E-49."</f>
        <v>The chart holds 30 observations with a median of 190.5 min, split into 11 runs. Mean of the first 20 points: 195.1 min; mean of the last 10: 60.4 min, a shift of -134.7 min. The number of runs is within the expected range, so test 1 alone gives no evidence of a shift. Test 3 DOES signal: the longest run is 10 consecutive points on one side of the median, which is a sustained shift in level. This is why all four tests are run, not just the run count. A run chart shows PATTERN over time; for control limits and special-cause rules, go to E-49.</v>
      </c>
      <c r="D122" s="168"/>
      <c r="E122" s="168"/>
      <c r="F122" s="168"/>
      <c r="G122" s="168"/>
    </row>
    <row r="124" customFormat="false" ht="17.25" hidden="false" customHeight="true" outlineLevel="0" collapsed="false">
      <c r="B124" s="152" t="s">
        <v>1495</v>
      </c>
      <c r="C124" s="152" t="s">
        <v>1496</v>
      </c>
      <c r="D124" s="152" t="s">
        <v>1497</v>
      </c>
      <c r="E124" s="152"/>
      <c r="F124" s="152"/>
    </row>
    <row r="125" customFormat="false" ht="44.25" hidden="false" customHeight="true" outlineLevel="0" collapsed="false">
      <c r="B125" s="15" t="s">
        <v>10991</v>
      </c>
      <c r="C125" s="15" t="s">
        <v>10999</v>
      </c>
      <c r="D125" s="15" t="s">
        <v>11000</v>
      </c>
      <c r="E125" s="15"/>
      <c r="F125" s="15"/>
    </row>
    <row r="126" customFormat="false" ht="30.75" hidden="false" customHeight="true" outlineLevel="0" collapsed="false">
      <c r="B126" s="15" t="s">
        <v>11001</v>
      </c>
      <c r="C126" s="15" t="s">
        <v>11002</v>
      </c>
      <c r="D126" s="15" t="s">
        <v>11003</v>
      </c>
      <c r="E126" s="15"/>
      <c r="F126" s="15"/>
    </row>
    <row r="127" customFormat="false" ht="30.75" hidden="false" customHeight="true" outlineLevel="0" collapsed="false">
      <c r="B127" s="15" t="s">
        <v>11004</v>
      </c>
      <c r="C127" s="15" t="s">
        <v>11005</v>
      </c>
      <c r="D127" s="15" t="s">
        <v>11006</v>
      </c>
      <c r="E127" s="15"/>
      <c r="F127" s="15"/>
    </row>
    <row r="128" customFormat="false" ht="31.5" hidden="false" customHeight="true" outlineLevel="0" collapsed="false">
      <c r="B128" s="15" t="s">
        <v>11007</v>
      </c>
      <c r="C128" s="15" t="s">
        <v>7316</v>
      </c>
      <c r="D128" s="15" t="s">
        <v>11008</v>
      </c>
      <c r="E128" s="15"/>
      <c r="F128" s="15"/>
    </row>
    <row r="129" customFormat="false" ht="17.25" hidden="false" customHeight="true" outlineLevel="0" collapsed="false">
      <c r="B129" s="15" t="s">
        <v>11009</v>
      </c>
      <c r="C129" s="15" t="s">
        <v>7316</v>
      </c>
      <c r="D129" s="15" t="s">
        <v>11010</v>
      </c>
      <c r="E129" s="15"/>
      <c r="F129" s="15"/>
    </row>
    <row r="131" customFormat="false" ht="15" hidden="false" customHeight="true" outlineLevel="0" collapsed="false">
      <c r="B131" s="105" t="s">
        <v>1507</v>
      </c>
    </row>
    <row r="132" customFormat="false" ht="17.25" hidden="false" customHeight="true" outlineLevel="0" collapsed="false">
      <c r="B132" s="106" t="s">
        <v>11011</v>
      </c>
      <c r="C132" s="106"/>
      <c r="D132" s="106"/>
      <c r="E132" s="106"/>
      <c r="F132" s="106"/>
      <c r="G132" s="106"/>
      <c r="H132" s="106"/>
    </row>
    <row r="133" customFormat="false" ht="17.25" hidden="false" customHeight="true" outlineLevel="0" collapsed="false">
      <c r="B133" s="106" t="s">
        <v>11012</v>
      </c>
      <c r="C133" s="106"/>
      <c r="D133" s="106"/>
      <c r="E133" s="106"/>
      <c r="F133" s="106"/>
      <c r="G133" s="106"/>
      <c r="H133" s="106"/>
    </row>
    <row r="134" customFormat="false" ht="17.25" hidden="false" customHeight="true" outlineLevel="0" collapsed="false">
      <c r="B134" s="106" t="s">
        <v>11013</v>
      </c>
      <c r="C134" s="106"/>
      <c r="D134" s="106"/>
      <c r="E134" s="106"/>
      <c r="F134" s="106"/>
      <c r="G134" s="106"/>
      <c r="H134" s="106"/>
    </row>
    <row r="135" customFormat="false" ht="17.25" hidden="false" customHeight="true" outlineLevel="0" collapsed="false">
      <c r="B135" s="106" t="s">
        <v>11014</v>
      </c>
      <c r="C135" s="106"/>
      <c r="D135" s="106"/>
      <c r="E135" s="106"/>
      <c r="F135" s="106"/>
      <c r="G135" s="106"/>
      <c r="H135" s="106"/>
    </row>
    <row r="136" customFormat="false" ht="17.25" hidden="false" customHeight="true" outlineLevel="0" collapsed="false">
      <c r="B136" s="106" t="s">
        <v>11015</v>
      </c>
      <c r="C136" s="106"/>
      <c r="D136" s="106"/>
      <c r="E136" s="106"/>
      <c r="F136" s="106"/>
      <c r="G136" s="106"/>
      <c r="H136" s="106"/>
    </row>
    <row r="138" customFormat="false" ht="15.75" hidden="false" customHeight="true" outlineLevel="0" collapsed="false">
      <c r="B138" s="103" t="s">
        <v>1513</v>
      </c>
      <c r="C138" s="8"/>
      <c r="D138" s="8"/>
      <c r="E138" s="8"/>
      <c r="F138" s="8"/>
      <c r="G138" s="8"/>
      <c r="H138" s="8"/>
      <c r="I138" s="8"/>
      <c r="J138" s="8"/>
      <c r="K138" s="8"/>
    </row>
    <row r="139" customFormat="false" ht="17.25" hidden="false" customHeight="true" outlineLevel="0" collapsed="false">
      <c r="B139" s="106" t="s">
        <v>6712</v>
      </c>
      <c r="C139" s="106"/>
      <c r="D139" s="106"/>
      <c r="E139" s="106"/>
      <c r="F139" s="106"/>
      <c r="N139" s="169" t="s">
        <v>1515</v>
      </c>
    </row>
    <row r="140" customFormat="false" ht="44.25" hidden="false" customHeight="true" outlineLevel="0" collapsed="false">
      <c r="B140" s="106" t="s">
        <v>11016</v>
      </c>
      <c r="C140" s="106"/>
      <c r="D140" s="106"/>
      <c r="E140" s="106"/>
      <c r="F140" s="106"/>
      <c r="N140" s="120" t="s">
        <v>11017</v>
      </c>
    </row>
    <row r="141" customFormat="false" ht="44.25" hidden="false" customHeight="true" outlineLevel="0" collapsed="false">
      <c r="B141" s="106" t="s">
        <v>11018</v>
      </c>
      <c r="C141" s="106"/>
      <c r="D141" s="106"/>
      <c r="E141" s="106"/>
      <c r="F141" s="106"/>
      <c r="N141" s="120" t="s">
        <v>11019</v>
      </c>
    </row>
    <row r="142" customFormat="false" ht="44.25" hidden="false" customHeight="true" outlineLevel="0" collapsed="false">
      <c r="B142" s="106" t="s">
        <v>11020</v>
      </c>
      <c r="C142" s="106"/>
      <c r="D142" s="106"/>
      <c r="E142" s="106"/>
      <c r="F142" s="106"/>
      <c r="N142" s="120" t="s">
        <v>11021</v>
      </c>
    </row>
    <row r="144" customFormat="false" ht="15.75" hidden="false" customHeight="true" outlineLevel="0" collapsed="false">
      <c r="B144" s="103" t="s">
        <v>1522</v>
      </c>
      <c r="C144" s="8"/>
      <c r="D144" s="8"/>
      <c r="E144" s="8"/>
      <c r="F144" s="8"/>
      <c r="G144" s="8"/>
      <c r="H144" s="8"/>
      <c r="I144" s="8"/>
      <c r="J144" s="8"/>
      <c r="K144" s="8"/>
    </row>
    <row r="145" customFormat="false" ht="17.25" hidden="false" customHeight="true" outlineLevel="0" collapsed="false">
      <c r="B145" s="152" t="s">
        <v>1523</v>
      </c>
      <c r="C145" s="152" t="s">
        <v>1524</v>
      </c>
      <c r="D145" s="152" t="s">
        <v>6719</v>
      </c>
      <c r="E145" s="152"/>
      <c r="F145" s="152"/>
    </row>
    <row r="146" customFormat="false" ht="17.25" hidden="false" customHeight="true" outlineLevel="0" collapsed="false">
      <c r="B146" s="170" t="s">
        <v>1186</v>
      </c>
      <c r="C146" s="170" t="s">
        <v>7925</v>
      </c>
      <c r="D146" s="171" t="s">
        <v>7465</v>
      </c>
      <c r="E146" s="171"/>
      <c r="F146" s="171"/>
    </row>
  </sheetData>
  <mergeCells count="94">
    <mergeCell ref="B2:J2"/>
    <mergeCell ref="D3:H3"/>
    <mergeCell ref="C6:G6"/>
    <mergeCell ref="C7:G7"/>
    <mergeCell ref="C8:G8"/>
    <mergeCell ref="B11:H13"/>
    <mergeCell ref="B14:H16"/>
    <mergeCell ref="B17:H19"/>
    <mergeCell ref="B20:H23"/>
    <mergeCell ref="B24:H25"/>
    <mergeCell ref="B28:D28"/>
    <mergeCell ref="E28:G28"/>
    <mergeCell ref="B29:D29"/>
    <mergeCell ref="E29:G29"/>
    <mergeCell ref="B30:D30"/>
    <mergeCell ref="E30:G30"/>
    <mergeCell ref="B31:D31"/>
    <mergeCell ref="E31:G31"/>
    <mergeCell ref="B32:H32"/>
    <mergeCell ref="B41:H43"/>
    <mergeCell ref="B45:H45"/>
    <mergeCell ref="B46:H46"/>
    <mergeCell ref="B47:H49"/>
    <mergeCell ref="B52:H52"/>
    <mergeCell ref="B53:H55"/>
    <mergeCell ref="D58:G58"/>
    <mergeCell ref="D59:G59"/>
    <mergeCell ref="D60:G60"/>
    <mergeCell ref="D61:G61"/>
    <mergeCell ref="D62:G62"/>
    <mergeCell ref="D63:G63"/>
    <mergeCell ref="D64:G64"/>
    <mergeCell ref="B67:H68"/>
    <mergeCell ref="C69:E69"/>
    <mergeCell ref="B71:H71"/>
    <mergeCell ref="J72:K72"/>
    <mergeCell ref="J73:K73"/>
    <mergeCell ref="J74:K74"/>
    <mergeCell ref="J75:K75"/>
    <mergeCell ref="J76:K76"/>
    <mergeCell ref="J77:K77"/>
    <mergeCell ref="J78:K78"/>
    <mergeCell ref="J79:K79"/>
    <mergeCell ref="J80:K80"/>
    <mergeCell ref="J81:K81"/>
    <mergeCell ref="J82:K82"/>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B104:H104"/>
    <mergeCell ref="D111:F111"/>
    <mergeCell ref="D112:F112"/>
    <mergeCell ref="D113:F113"/>
    <mergeCell ref="D114:F114"/>
    <mergeCell ref="D115:F115"/>
    <mergeCell ref="D116:F116"/>
    <mergeCell ref="D117:F117"/>
    <mergeCell ref="D118:F118"/>
    <mergeCell ref="D119:F119"/>
    <mergeCell ref="C122:G122"/>
    <mergeCell ref="D124:F124"/>
    <mergeCell ref="D125:F125"/>
    <mergeCell ref="D126:F126"/>
    <mergeCell ref="D127:F127"/>
    <mergeCell ref="D128:F128"/>
    <mergeCell ref="D129:F129"/>
    <mergeCell ref="B132:H132"/>
    <mergeCell ref="B133:H133"/>
    <mergeCell ref="B134:H134"/>
    <mergeCell ref="B135:H135"/>
    <mergeCell ref="B136:H136"/>
    <mergeCell ref="B139:F139"/>
    <mergeCell ref="B140:F140"/>
    <mergeCell ref="B141:F141"/>
    <mergeCell ref="B142:F142"/>
    <mergeCell ref="D145:F145"/>
    <mergeCell ref="D146:F146"/>
  </mergeCells>
  <hyperlinks>
    <hyperlink ref="B3" location="'N-03 Index DMAIC'!A1" display="← Back to Index"/>
    <hyperlink ref="E35" location="'E-06 Data Collection Plan'!A1" display="E-06  Data Collection Plan"/>
    <hyperlink ref="E36" location="'E-60 MSA Bias Linearity'!A1" display="E-60  MSA Bias and Linearity"/>
    <hyperlink ref="E37" location="'E-31 Nonparametric Tests'!A1" display="E-31  Nonparametric Tests"/>
    <hyperlink ref="E38" location="'E-20 Sample Size'!A1" display="E-20  Sample Size Determination"/>
    <hyperlink ref="B146" location="'H-07 Histogram and Box Plot'!A1" display="H-07  Histogram and Box Plot"/>
    <hyperlink ref="C146" location="'E-49 I-MR Chart'!A1" display="E-49  I-MR Chart"/>
    <hyperlink ref="D146" location="'E-47 Common vs Special Cause'!A1" display="E-47  Common vs Special Caus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22"/>
    <col collapsed="false" customWidth="true" hidden="false" outlineLevel="0" max="4" min="4" style="1" width="10"/>
    <col collapsed="false" customWidth="true" hidden="false" outlineLevel="0" max="5" min="5" style="1" width="14"/>
    <col collapsed="false" customWidth="true" hidden="false" outlineLevel="0" max="6" min="6" style="1" width="20"/>
    <col collapsed="false" customWidth="true" hidden="false" outlineLevel="0" max="7" min="7" style="1" width="22"/>
    <col collapsed="false" customWidth="true" hidden="false" outlineLevel="0" max="8" min="8" style="1" width="15"/>
    <col collapsed="false" customWidth="true" hidden="false" outlineLevel="0" max="10" min="9" style="1" width="14"/>
    <col collapsed="false" customWidth="true" hidden="false" outlineLevel="0" max="11" min="11" style="1" width="32"/>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11022</v>
      </c>
      <c r="C2" s="148"/>
      <c r="D2" s="148"/>
      <c r="E2" s="148"/>
      <c r="F2" s="148"/>
      <c r="G2" s="148"/>
      <c r="H2" s="148"/>
      <c r="I2" s="148"/>
      <c r="J2" s="148"/>
      <c r="K2" s="149" t="s">
        <v>2864</v>
      </c>
    </row>
    <row r="3" customFormat="false" ht="42" hidden="false" customHeight="true" outlineLevel="0" collapsed="false">
      <c r="B3" s="150" t="s">
        <v>3</v>
      </c>
      <c r="D3" s="151" t="s">
        <v>11023</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11024</v>
      </c>
      <c r="D6" s="106"/>
      <c r="E6" s="106"/>
      <c r="F6" s="106"/>
    </row>
    <row r="7" customFormat="false" ht="31.5" hidden="false" customHeight="true" outlineLevel="0" collapsed="false">
      <c r="B7" s="105" t="s">
        <v>1394</v>
      </c>
      <c r="C7" s="106" t="s">
        <v>11025</v>
      </c>
      <c r="D7" s="106"/>
      <c r="E7" s="106"/>
      <c r="F7" s="106"/>
    </row>
    <row r="8" customFormat="false" ht="31.5" hidden="false" customHeight="true" outlineLevel="0" collapsed="false">
      <c r="B8" s="105" t="s">
        <v>1396</v>
      </c>
      <c r="C8" s="106" t="s">
        <v>11026</v>
      </c>
      <c r="D8" s="106"/>
      <c r="E8" s="106"/>
      <c r="F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11027</v>
      </c>
      <c r="C11" s="106"/>
      <c r="D11" s="106"/>
      <c r="E11" s="106"/>
      <c r="F11" s="106"/>
      <c r="G11" s="106"/>
      <c r="H11" s="106"/>
      <c r="I11" s="106"/>
    </row>
    <row r="12" customFormat="false" ht="10.5" hidden="false" customHeight="true" outlineLevel="0" collapsed="false">
      <c r="B12" s="106"/>
      <c r="C12" s="106"/>
      <c r="D12" s="106"/>
      <c r="E12" s="106"/>
      <c r="F12" s="106"/>
      <c r="G12" s="106"/>
      <c r="H12" s="106"/>
      <c r="I12" s="106"/>
    </row>
    <row r="13" customFormat="false" ht="10.5" hidden="false" customHeight="true" outlineLevel="0" collapsed="false">
      <c r="B13" s="106"/>
      <c r="C13" s="106"/>
      <c r="D13" s="106"/>
      <c r="E13" s="106"/>
      <c r="F13" s="106"/>
      <c r="G13" s="106"/>
      <c r="H13" s="106"/>
      <c r="I13" s="106"/>
    </row>
    <row r="14" customFormat="false" ht="10.5" hidden="false" customHeight="true" outlineLevel="0" collapsed="false">
      <c r="B14" s="106" t="s">
        <v>11028</v>
      </c>
      <c r="C14" s="106"/>
      <c r="D14" s="106"/>
      <c r="E14" s="106"/>
      <c r="F14" s="106"/>
      <c r="G14" s="106"/>
      <c r="H14" s="106"/>
      <c r="I14" s="106"/>
    </row>
    <row r="15" customFormat="false" ht="10.5" hidden="false" customHeight="true" outlineLevel="0" collapsed="false">
      <c r="B15" s="106"/>
      <c r="C15" s="106"/>
      <c r="D15" s="106"/>
      <c r="E15" s="106"/>
      <c r="F15" s="106"/>
      <c r="G15" s="106"/>
      <c r="H15" s="106"/>
      <c r="I15" s="106"/>
    </row>
    <row r="16" customFormat="false" ht="10.5" hidden="false" customHeight="true" outlineLevel="0" collapsed="false">
      <c r="B16" s="106"/>
      <c r="C16" s="106"/>
      <c r="D16" s="106"/>
      <c r="E16" s="106"/>
      <c r="F16" s="106"/>
      <c r="G16" s="106"/>
      <c r="H16" s="106"/>
      <c r="I16" s="106"/>
    </row>
    <row r="17" customFormat="false" ht="15.75" hidden="false" customHeight="true" outlineLevel="0" collapsed="false">
      <c r="B17" s="106" t="s">
        <v>11029</v>
      </c>
      <c r="C17" s="106"/>
      <c r="D17" s="106"/>
      <c r="E17" s="106"/>
      <c r="F17" s="106"/>
      <c r="G17" s="106"/>
      <c r="H17" s="106"/>
      <c r="I17" s="106"/>
    </row>
    <row r="18" customFormat="false" ht="15.75" hidden="false" customHeight="true" outlineLevel="0" collapsed="false">
      <c r="B18" s="106"/>
      <c r="C18" s="106"/>
      <c r="D18" s="106"/>
      <c r="E18" s="106"/>
      <c r="F18" s="106"/>
      <c r="G18" s="106"/>
      <c r="H18" s="106"/>
      <c r="I18" s="106"/>
    </row>
    <row r="19" customFormat="false" ht="17.25" hidden="false" customHeight="true" outlineLevel="0" collapsed="false">
      <c r="B19" s="106" t="s">
        <v>11030</v>
      </c>
      <c r="C19" s="106"/>
      <c r="D19" s="106"/>
      <c r="E19" s="106"/>
      <c r="F19" s="106"/>
      <c r="G19" s="106"/>
      <c r="H19" s="106"/>
      <c r="I19" s="106"/>
    </row>
    <row r="20" customFormat="false" ht="10.5" hidden="false" customHeight="true" outlineLevel="0" collapsed="false">
      <c r="B20" s="106" t="s">
        <v>11031</v>
      </c>
      <c r="C20" s="106"/>
      <c r="D20" s="106"/>
      <c r="E20" s="106"/>
      <c r="F20" s="106"/>
      <c r="G20" s="106"/>
      <c r="H20" s="106"/>
      <c r="I20" s="106"/>
    </row>
    <row r="21" customFormat="false" ht="10.5" hidden="false" customHeight="true" outlineLevel="0" collapsed="false">
      <c r="B21" s="106"/>
      <c r="C21" s="106"/>
      <c r="D21" s="106"/>
      <c r="E21" s="106"/>
      <c r="F21" s="106"/>
      <c r="G21" s="106"/>
      <c r="H21" s="106"/>
      <c r="I21" s="106"/>
    </row>
    <row r="22" customFormat="false" ht="10.5" hidden="false" customHeight="true" outlineLevel="0" collapsed="false">
      <c r="B22" s="106"/>
      <c r="C22" s="106"/>
      <c r="D22" s="106"/>
      <c r="E22" s="106"/>
      <c r="F22" s="106"/>
      <c r="G22" s="106"/>
      <c r="H22" s="106"/>
      <c r="I22" s="106"/>
    </row>
    <row r="23" customFormat="false" ht="15.75" hidden="false" customHeight="true" outlineLevel="0" collapsed="false">
      <c r="B23" s="106" t="s">
        <v>11032</v>
      </c>
      <c r="C23" s="106"/>
      <c r="D23" s="106"/>
      <c r="E23" s="106"/>
      <c r="F23" s="106"/>
      <c r="G23" s="106"/>
      <c r="H23" s="106"/>
      <c r="I23" s="106"/>
    </row>
    <row r="24" customFormat="false" ht="15.75" hidden="false" customHeight="true" outlineLevel="0" collapsed="false">
      <c r="B24" s="106"/>
      <c r="C24" s="106"/>
      <c r="D24" s="106"/>
      <c r="E24" s="106"/>
      <c r="F24" s="106"/>
      <c r="G24" s="106"/>
      <c r="H24" s="106"/>
      <c r="I24" s="106"/>
    </row>
    <row r="25" customFormat="false" ht="8.25" hidden="false" customHeight="true" outlineLevel="0" collapsed="false">
      <c r="B25" s="106" t="s">
        <v>11033</v>
      </c>
      <c r="C25" s="106"/>
      <c r="D25" s="106"/>
      <c r="E25" s="106"/>
      <c r="F25" s="106"/>
      <c r="G25" s="106"/>
      <c r="H25" s="106"/>
      <c r="I25" s="106"/>
    </row>
    <row r="26" customFormat="false" ht="8.25" hidden="false" customHeight="true" outlineLevel="0" collapsed="false">
      <c r="B26" s="106"/>
      <c r="C26" s="106"/>
      <c r="D26" s="106"/>
      <c r="E26" s="106"/>
      <c r="F26" s="106"/>
      <c r="G26" s="106"/>
      <c r="H26" s="106"/>
      <c r="I26" s="106"/>
    </row>
    <row r="28" customFormat="false" ht="15.75" hidden="false" customHeight="true" outlineLevel="0" collapsed="false">
      <c r="B28" s="103" t="s">
        <v>1406</v>
      </c>
      <c r="C28" s="8"/>
      <c r="D28" s="8"/>
      <c r="E28" s="8"/>
      <c r="F28" s="8"/>
      <c r="G28" s="8"/>
      <c r="H28" s="8"/>
      <c r="I28" s="8"/>
      <c r="J28" s="8"/>
      <c r="K28" s="8"/>
    </row>
    <row r="29" customFormat="false" ht="17.25" hidden="false" customHeight="true" outlineLevel="0" collapsed="false">
      <c r="B29" s="107" t="s">
        <v>1407</v>
      </c>
      <c r="C29" s="107"/>
      <c r="D29" s="107"/>
      <c r="E29" s="107" t="s">
        <v>1408</v>
      </c>
      <c r="F29" s="107"/>
      <c r="G29" s="107"/>
      <c r="H29" s="107"/>
      <c r="I29" s="107"/>
    </row>
    <row r="30" customFormat="false" ht="31.5" hidden="false" customHeight="true" outlineLevel="0" collapsed="false">
      <c r="B30" s="106" t="s">
        <v>11034</v>
      </c>
      <c r="C30" s="106"/>
      <c r="D30" s="106"/>
      <c r="E30" s="106" t="s">
        <v>11035</v>
      </c>
      <c r="F30" s="106"/>
      <c r="G30" s="106"/>
      <c r="H30" s="106"/>
      <c r="I30" s="106"/>
    </row>
    <row r="31" customFormat="false" ht="17.25" hidden="false" customHeight="true" outlineLevel="0" collapsed="false">
      <c r="B31" s="106" t="s">
        <v>11036</v>
      </c>
      <c r="C31" s="106"/>
      <c r="D31" s="106"/>
      <c r="E31" s="106" t="s">
        <v>11037</v>
      </c>
      <c r="F31" s="106"/>
      <c r="G31" s="106"/>
      <c r="H31" s="106"/>
      <c r="I31" s="106"/>
    </row>
    <row r="32" customFormat="false" ht="17.25" hidden="false" customHeight="true" outlineLevel="0" collapsed="false">
      <c r="B32" s="106" t="s">
        <v>11038</v>
      </c>
      <c r="C32" s="106"/>
      <c r="D32" s="106"/>
      <c r="E32" s="106" t="s">
        <v>11039</v>
      </c>
      <c r="F32" s="106"/>
      <c r="G32" s="106"/>
      <c r="H32" s="106"/>
      <c r="I32" s="106"/>
    </row>
    <row r="33" customFormat="false" ht="17.25" hidden="false" customHeight="true" outlineLevel="0" collapsed="false">
      <c r="B33" s="106" t="s">
        <v>11040</v>
      </c>
      <c r="C33" s="106"/>
      <c r="D33" s="106"/>
      <c r="E33" s="106"/>
      <c r="F33" s="106"/>
      <c r="G33" s="106"/>
      <c r="H33" s="106"/>
      <c r="I33" s="106"/>
    </row>
    <row r="35" customFormat="false" ht="44.25" hidden="false" customHeight="true" outlineLevel="0" collapsed="false">
      <c r="B35" s="152" t="s">
        <v>6621</v>
      </c>
      <c r="C35" s="152" t="s">
        <v>1417</v>
      </c>
      <c r="D35" s="152" t="s">
        <v>1418</v>
      </c>
      <c r="E35" s="152" t="s">
        <v>1419</v>
      </c>
      <c r="F35" s="152"/>
    </row>
    <row r="36" customFormat="false" ht="135" hidden="false" customHeight="true" outlineLevel="0" collapsed="false">
      <c r="B36" s="15" t="s">
        <v>11041</v>
      </c>
      <c r="C36" s="15" t="s">
        <v>11042</v>
      </c>
      <c r="D36" s="15" t="s">
        <v>11043</v>
      </c>
      <c r="E36" s="153" t="s">
        <v>9969</v>
      </c>
      <c r="F36" s="153"/>
    </row>
    <row r="37" customFormat="false" ht="127.5" hidden="false" customHeight="true" outlineLevel="0" collapsed="false">
      <c r="B37" s="15" t="s">
        <v>11044</v>
      </c>
      <c r="C37" s="15" t="s">
        <v>11045</v>
      </c>
      <c r="D37" s="15" t="s">
        <v>11046</v>
      </c>
      <c r="E37" s="153" t="s">
        <v>973</v>
      </c>
      <c r="F37" s="153"/>
    </row>
    <row r="38" customFormat="false" ht="114" hidden="false" customHeight="true" outlineLevel="0" collapsed="false">
      <c r="B38" s="15" t="s">
        <v>11047</v>
      </c>
      <c r="C38" s="15" t="s">
        <v>11048</v>
      </c>
      <c r="D38" s="15" t="s">
        <v>11049</v>
      </c>
      <c r="E38" s="153" t="s">
        <v>9973</v>
      </c>
      <c r="F38" s="153"/>
    </row>
    <row r="39" customFormat="false" ht="114" hidden="false" customHeight="true" outlineLevel="0" collapsed="false">
      <c r="B39" s="15" t="s">
        <v>11050</v>
      </c>
      <c r="C39" s="15" t="s">
        <v>11051</v>
      </c>
      <c r="D39" s="15" t="s">
        <v>11052</v>
      </c>
      <c r="E39" s="153" t="s">
        <v>11053</v>
      </c>
      <c r="F39" s="153"/>
    </row>
    <row r="41" customFormat="false" ht="15.75" hidden="false" customHeight="true" outlineLevel="0" collapsed="false">
      <c r="B41" s="103" t="s">
        <v>1429</v>
      </c>
      <c r="C41" s="8"/>
      <c r="D41" s="8"/>
      <c r="E41" s="8"/>
      <c r="F41" s="8"/>
      <c r="G41" s="8"/>
      <c r="H41" s="8"/>
      <c r="I41" s="8"/>
      <c r="J41" s="8"/>
      <c r="K41" s="8"/>
    </row>
    <row r="42" customFormat="false" ht="17.25" hidden="false" customHeight="true" outlineLevel="0" collapsed="false">
      <c r="B42" s="106" t="s">
        <v>11054</v>
      </c>
      <c r="C42" s="106"/>
      <c r="D42" s="106"/>
      <c r="E42" s="106"/>
      <c r="F42" s="106"/>
      <c r="G42" s="106"/>
      <c r="H42" s="106"/>
      <c r="I42" s="106"/>
    </row>
    <row r="43" customFormat="false" ht="16.5" hidden="false" customHeight="true" outlineLevel="0" collapsed="false">
      <c r="B43" s="122" t="s">
        <v>11055</v>
      </c>
    </row>
    <row r="44" customFormat="false" ht="17.25" hidden="false" customHeight="true" outlineLevel="0" collapsed="false">
      <c r="B44" s="106" t="s">
        <v>11056</v>
      </c>
      <c r="C44" s="106"/>
      <c r="D44" s="106"/>
      <c r="E44" s="106"/>
      <c r="F44" s="106"/>
      <c r="G44" s="106"/>
      <c r="H44" s="106"/>
      <c r="I44" s="106"/>
    </row>
    <row r="45" customFormat="false" ht="15" hidden="false" customHeight="true" outlineLevel="0" collapsed="false">
      <c r="B45" s="122"/>
    </row>
    <row r="46" customFormat="false" ht="10.5" hidden="false" customHeight="true" outlineLevel="0" collapsed="false">
      <c r="B46" s="106" t="s">
        <v>11057</v>
      </c>
      <c r="C46" s="106"/>
      <c r="D46" s="106"/>
      <c r="E46" s="106"/>
      <c r="F46" s="106"/>
      <c r="G46" s="106"/>
      <c r="H46" s="106"/>
      <c r="I46" s="106"/>
    </row>
    <row r="47" customFormat="false" ht="10.5" hidden="false" customHeight="true" outlineLevel="0" collapsed="false">
      <c r="B47" s="106"/>
      <c r="C47" s="106"/>
      <c r="D47" s="106"/>
      <c r="E47" s="106"/>
      <c r="F47" s="106"/>
      <c r="G47" s="106"/>
      <c r="H47" s="106"/>
      <c r="I47" s="106"/>
    </row>
    <row r="48" customFormat="false" ht="10.5" hidden="false" customHeight="true" outlineLevel="0" collapsed="false">
      <c r="B48" s="106"/>
      <c r="C48" s="106"/>
      <c r="D48" s="106"/>
      <c r="E48" s="106"/>
      <c r="F48" s="106"/>
      <c r="G48" s="106"/>
      <c r="H48" s="106"/>
      <c r="I48" s="106"/>
    </row>
    <row r="49" customFormat="false" ht="15" hidden="false" customHeight="true" outlineLevel="0" collapsed="false">
      <c r="B49" s="122"/>
    </row>
    <row r="50" customFormat="false" ht="10.5" hidden="false" customHeight="true" outlineLevel="0" collapsed="false">
      <c r="B50" s="106" t="s">
        <v>11058</v>
      </c>
      <c r="C50" s="106"/>
      <c r="D50" s="106"/>
      <c r="E50" s="106"/>
      <c r="F50" s="106"/>
      <c r="G50" s="106"/>
      <c r="H50" s="106"/>
      <c r="I50" s="106"/>
    </row>
    <row r="51" customFormat="false" ht="10.5" hidden="false" customHeight="true" outlineLevel="0" collapsed="false">
      <c r="B51" s="106"/>
      <c r="C51" s="106"/>
      <c r="D51" s="106"/>
      <c r="E51" s="106"/>
      <c r="F51" s="106"/>
      <c r="G51" s="106"/>
      <c r="H51" s="106"/>
      <c r="I51" s="106"/>
    </row>
    <row r="52" customFormat="false" ht="10.5" hidden="false" customHeight="true" outlineLevel="0" collapsed="false">
      <c r="B52" s="106"/>
      <c r="C52" s="106"/>
      <c r="D52" s="106"/>
      <c r="E52" s="106"/>
      <c r="F52" s="106"/>
      <c r="G52" s="106"/>
      <c r="H52" s="106"/>
      <c r="I52" s="106"/>
    </row>
    <row r="53" customFormat="false" ht="15" hidden="false" customHeight="true" outlineLevel="0" collapsed="false">
      <c r="B53" s="122"/>
    </row>
    <row r="54" customFormat="false" ht="17.25" hidden="false" customHeight="true" outlineLevel="0" collapsed="false">
      <c r="B54" s="106" t="s">
        <v>11059</v>
      </c>
      <c r="C54" s="106"/>
      <c r="D54" s="106"/>
      <c r="E54" s="106"/>
      <c r="F54" s="106"/>
      <c r="G54" s="106"/>
      <c r="H54" s="106"/>
      <c r="I54" s="106"/>
    </row>
    <row r="56" customFormat="false" ht="15.75" hidden="false" customHeight="true" outlineLevel="0" collapsed="false">
      <c r="B56" s="103" t="s">
        <v>1437</v>
      </c>
      <c r="C56" s="8"/>
      <c r="D56" s="8"/>
      <c r="E56" s="8"/>
      <c r="F56" s="8"/>
      <c r="G56" s="8"/>
      <c r="H56" s="8"/>
      <c r="I56" s="8"/>
      <c r="J56" s="8"/>
      <c r="K56" s="8"/>
    </row>
    <row r="57" customFormat="false" ht="17.25" hidden="false" customHeight="true" outlineLevel="0" collapsed="false">
      <c r="B57" s="152" t="s">
        <v>1438</v>
      </c>
      <c r="C57" s="152" t="s">
        <v>1439</v>
      </c>
      <c r="D57" s="152" t="s">
        <v>1440</v>
      </c>
      <c r="E57" s="152"/>
      <c r="F57" s="152"/>
      <c r="G57" s="152"/>
    </row>
    <row r="58" customFormat="false" ht="30.75" hidden="false" customHeight="true" outlineLevel="0" collapsed="false">
      <c r="B58" s="15" t="s">
        <v>3677</v>
      </c>
      <c r="C58" s="15" t="s">
        <v>11060</v>
      </c>
      <c r="D58" s="15" t="s">
        <v>11061</v>
      </c>
      <c r="E58" s="15"/>
      <c r="F58" s="15"/>
      <c r="G58" s="15"/>
    </row>
    <row r="59" customFormat="false" ht="17.25" hidden="false" customHeight="true" outlineLevel="0" collapsed="false">
      <c r="B59" s="15" t="s">
        <v>1571</v>
      </c>
      <c r="C59" s="15" t="s">
        <v>11062</v>
      </c>
      <c r="D59" s="15" t="s">
        <v>11063</v>
      </c>
      <c r="E59" s="15"/>
      <c r="F59" s="15"/>
      <c r="G59" s="15"/>
    </row>
    <row r="60" customFormat="false" ht="17.25" hidden="false" customHeight="true" outlineLevel="0" collapsed="false">
      <c r="B60" s="15" t="s">
        <v>10577</v>
      </c>
      <c r="C60" s="15" t="s">
        <v>11064</v>
      </c>
      <c r="D60" s="15" t="s">
        <v>11065</v>
      </c>
      <c r="E60" s="15"/>
      <c r="F60" s="15"/>
      <c r="G60" s="15"/>
    </row>
    <row r="61" customFormat="false" ht="30.75" hidden="false" customHeight="true" outlineLevel="0" collapsed="false">
      <c r="B61" s="15" t="s">
        <v>9464</v>
      </c>
      <c r="C61" s="15" t="s">
        <v>11066</v>
      </c>
      <c r="D61" s="15" t="s">
        <v>11067</v>
      </c>
      <c r="E61" s="15"/>
      <c r="F61" s="15"/>
      <c r="G61" s="15"/>
    </row>
    <row r="62" customFormat="false" ht="44.25" hidden="false" customHeight="true" outlineLevel="0" collapsed="false">
      <c r="B62" s="15" t="s">
        <v>6644</v>
      </c>
      <c r="C62" s="15" t="s">
        <v>11068</v>
      </c>
      <c r="D62" s="15" t="s">
        <v>11069</v>
      </c>
      <c r="E62" s="15"/>
      <c r="F62" s="15"/>
      <c r="G62" s="15"/>
    </row>
    <row r="64" customFormat="false" ht="15.75" hidden="false" customHeight="true" outlineLevel="0" collapsed="false">
      <c r="B64" s="103" t="s">
        <v>1454</v>
      </c>
      <c r="C64" s="8"/>
      <c r="D64" s="8"/>
      <c r="E64" s="8"/>
      <c r="F64" s="8"/>
      <c r="G64" s="8"/>
      <c r="H64" s="8"/>
      <c r="I64" s="8"/>
      <c r="J64" s="8"/>
      <c r="K64" s="8"/>
    </row>
    <row r="65" customFormat="false" ht="10.5" hidden="false" customHeight="true" outlineLevel="0" collapsed="false">
      <c r="B65" s="106" t="s">
        <v>11070</v>
      </c>
      <c r="C65" s="106"/>
      <c r="D65" s="106"/>
      <c r="E65" s="106"/>
      <c r="F65" s="106"/>
      <c r="G65" s="106"/>
      <c r="H65" s="106"/>
      <c r="I65" s="106"/>
    </row>
    <row r="66" customFormat="false" ht="10.5" hidden="false" customHeight="true" outlineLevel="0" collapsed="false">
      <c r="B66" s="106"/>
      <c r="C66" s="106"/>
      <c r="D66" s="106"/>
      <c r="E66" s="106"/>
      <c r="F66" s="106"/>
      <c r="G66" s="106"/>
      <c r="H66" s="106"/>
      <c r="I66" s="106"/>
    </row>
    <row r="67" customFormat="false" ht="10.5" hidden="false" customHeight="true" outlineLevel="0" collapsed="false">
      <c r="B67" s="106"/>
      <c r="C67" s="106"/>
      <c r="D67" s="106"/>
      <c r="E67" s="106"/>
      <c r="F67" s="106"/>
      <c r="G67" s="106"/>
      <c r="H67" s="106"/>
      <c r="I67" s="106"/>
    </row>
    <row r="68" customFormat="false" ht="15" hidden="false" customHeight="true" outlineLevel="0" collapsed="false">
      <c r="B68" s="112" t="s">
        <v>85</v>
      </c>
      <c r="C68" s="154" t="s">
        <v>86</v>
      </c>
    </row>
    <row r="70" customFormat="false" ht="17.25" hidden="false" customHeight="true" outlineLevel="0" collapsed="false">
      <c r="B70" s="107" t="s">
        <v>11071</v>
      </c>
      <c r="C70" s="107"/>
      <c r="D70" s="107"/>
      <c r="E70" s="107"/>
      <c r="F70" s="107"/>
      <c r="G70" s="107"/>
      <c r="H70" s="107"/>
      <c r="I70" s="107"/>
    </row>
    <row r="71" customFormat="false" ht="28.5" hidden="false" customHeight="true" outlineLevel="0" collapsed="false">
      <c r="B71" s="182" t="s">
        <v>11072</v>
      </c>
      <c r="C71" s="182"/>
      <c r="D71" s="182"/>
      <c r="E71" s="182"/>
      <c r="F71" s="182"/>
      <c r="G71" s="182"/>
      <c r="H71" s="182"/>
      <c r="I71" s="182"/>
    </row>
    <row r="73" customFormat="false" ht="30.75" hidden="false" customHeight="true" outlineLevel="0" collapsed="false">
      <c r="B73" s="152" t="s">
        <v>11073</v>
      </c>
      <c r="C73" s="152" t="s">
        <v>1769</v>
      </c>
      <c r="D73" s="152" t="s">
        <v>3697</v>
      </c>
      <c r="E73" s="152" t="s">
        <v>11074</v>
      </c>
      <c r="F73" s="152" t="s">
        <v>11075</v>
      </c>
      <c r="G73" s="152" t="s">
        <v>2679</v>
      </c>
      <c r="H73" s="152" t="s">
        <v>11076</v>
      </c>
      <c r="I73" s="152" t="s">
        <v>11077</v>
      </c>
      <c r="J73" s="152" t="s">
        <v>7522</v>
      </c>
      <c r="K73" s="152"/>
    </row>
    <row r="74" customFormat="false" ht="17.25" hidden="false" customHeight="true" outlineLevel="0" collapsed="false">
      <c r="B74" s="15" t="s">
        <v>3693</v>
      </c>
      <c r="C74" s="155" t="n">
        <v>15</v>
      </c>
      <c r="D74" s="156" t="n">
        <v>502.87</v>
      </c>
      <c r="E74" s="156" t="n">
        <v>0.94</v>
      </c>
      <c r="F74" s="199" t="n">
        <f aca="false">IFERROR(D74-SUMPRODUCT($C$74:$C$77,$D$74:$D$77)/SUM($C$74:$C$77),0)</f>
        <v>-0.495000000000005</v>
      </c>
      <c r="G74" s="176" t="n">
        <f aca="false">IFERROR(E74/SQRT(C74),0)</f>
        <v>0.242706956362331</v>
      </c>
      <c r="H74" s="174" t="n">
        <f aca="false">D74-1.96*G74</f>
        <v>502.39429436553</v>
      </c>
      <c r="I74" s="174" t="n">
        <f aca="false">D74+1.96*G74</f>
        <v>503.34570563447</v>
      </c>
      <c r="J74" s="167" t="str">
        <f aca="false">IF(ABS(F74)&gt;2*E74/SQRT(C74),"DIFFERENT from the overall mean","Consistent with the rest")</f>
        <v>DIFFERENT from the overall mean</v>
      </c>
      <c r="K74" s="167"/>
    </row>
    <row r="75" customFormat="false" ht="17.25" hidden="false" customHeight="true" outlineLevel="0" collapsed="false">
      <c r="B75" s="15" t="s">
        <v>3694</v>
      </c>
      <c r="C75" s="155" t="n">
        <v>15</v>
      </c>
      <c r="D75" s="156" t="n">
        <v>502.44</v>
      </c>
      <c r="E75" s="156" t="n">
        <v>0.68</v>
      </c>
      <c r="F75" s="199" t="n">
        <f aca="false">IFERROR(D75-SUMPRODUCT($C$74:$C$77,$D$74:$D$77)/SUM($C$74:$C$77),0)</f>
        <v>-0.925000000000011</v>
      </c>
      <c r="G75" s="176" t="n">
        <f aca="false">IFERROR(E75/SQRT(C75),0)</f>
        <v>0.17557524502807</v>
      </c>
      <c r="H75" s="174" t="n">
        <f aca="false">D75-1.96*G75</f>
        <v>502.095872519745</v>
      </c>
      <c r="I75" s="174" t="n">
        <f aca="false">D75+1.96*G75</f>
        <v>502.784127480255</v>
      </c>
      <c r="J75" s="167" t="str">
        <f aca="false">IF(ABS(F75)&gt;2*E75/SQRT(C75),"DIFFERENT from the overall mean","Consistent with the rest")</f>
        <v>DIFFERENT from the overall mean</v>
      </c>
      <c r="K75" s="167"/>
    </row>
    <row r="76" customFormat="false" ht="17.25" hidden="false" customHeight="true" outlineLevel="0" collapsed="false">
      <c r="B76" s="15" t="s">
        <v>3695</v>
      </c>
      <c r="C76" s="155" t="n">
        <v>15</v>
      </c>
      <c r="D76" s="156" t="n">
        <v>505.33</v>
      </c>
      <c r="E76" s="156" t="n">
        <v>0.66</v>
      </c>
      <c r="F76" s="199" t="n">
        <f aca="false">IFERROR(D76-SUMPRODUCT($C$74:$C$77,$D$74:$D$77)/SUM($C$74:$C$77),0)</f>
        <v>1.96499999999998</v>
      </c>
      <c r="G76" s="176" t="n">
        <f aca="false">IFERROR(E76/SQRT(C76),0)</f>
        <v>0.170411267233126</v>
      </c>
      <c r="H76" s="174" t="n">
        <f aca="false">D76-1.96*G76</f>
        <v>504.995993916223</v>
      </c>
      <c r="I76" s="174" t="n">
        <f aca="false">D76+1.96*G76</f>
        <v>505.664006083777</v>
      </c>
      <c r="J76" s="167" t="str">
        <f aca="false">IF(ABS(F76)&gt;2*E76/SQRT(C76),"DIFFERENT from the overall mean","Consistent with the rest")</f>
        <v>DIFFERENT from the overall mean</v>
      </c>
      <c r="K76" s="167"/>
    </row>
    <row r="77" customFormat="false" ht="17.25" hidden="false" customHeight="true" outlineLevel="0" collapsed="false">
      <c r="B77" s="15" t="s">
        <v>3696</v>
      </c>
      <c r="C77" s="155" t="n">
        <v>15</v>
      </c>
      <c r="D77" s="156" t="n">
        <v>502.82</v>
      </c>
      <c r="E77" s="156" t="n">
        <v>0.47</v>
      </c>
      <c r="F77" s="199" t="n">
        <f aca="false">IFERROR(D77-SUMPRODUCT($C$74:$C$77,$D$74:$D$77)/SUM($C$74:$C$77),0)</f>
        <v>-0.545000000000016</v>
      </c>
      <c r="G77" s="176" t="n">
        <f aca="false">IFERROR(E77/SQRT(C77),0)</f>
        <v>0.121353478181166</v>
      </c>
      <c r="H77" s="174" t="n">
        <f aca="false">D77-1.96*G77</f>
        <v>502.582147182765</v>
      </c>
      <c r="I77" s="174" t="n">
        <f aca="false">D77+1.96*G77</f>
        <v>503.057852817235</v>
      </c>
      <c r="J77" s="167" t="str">
        <f aca="false">IF(ABS(F77)&gt;2*E77/SQRT(C77),"DIFFERENT from the overall mean","Consistent with the rest")</f>
        <v>DIFFERENT from the overall mean</v>
      </c>
      <c r="K77" s="167"/>
    </row>
    <row r="79" customFormat="false" ht="17.25" hidden="false" customHeight="true" outlineLevel="0" collapsed="false">
      <c r="B79" s="107" t="s">
        <v>11078</v>
      </c>
      <c r="C79" s="107"/>
      <c r="D79" s="107"/>
      <c r="E79" s="107"/>
      <c r="F79" s="107"/>
      <c r="G79" s="107"/>
      <c r="H79" s="107"/>
      <c r="I79" s="107"/>
    </row>
    <row r="80" customFormat="false" ht="17.25" hidden="false" customHeight="true" outlineLevel="0" collapsed="false">
      <c r="B80" s="152" t="s">
        <v>1929</v>
      </c>
      <c r="C80" s="152" t="s">
        <v>6654</v>
      </c>
      <c r="D80" s="152" t="s">
        <v>6575</v>
      </c>
      <c r="E80" s="152" t="s">
        <v>88</v>
      </c>
      <c r="F80" s="152"/>
      <c r="G80" s="152"/>
    </row>
    <row r="81" customFormat="false" ht="17.25" hidden="false" customHeight="true" outlineLevel="0" collapsed="false">
      <c r="B81" s="15" t="s">
        <v>11079</v>
      </c>
      <c r="C81" s="161" t="n">
        <f aca="false">SUM(C74:C77)</f>
        <v>60</v>
      </c>
      <c r="D81" s="15" t="s">
        <v>11080</v>
      </c>
      <c r="E81" s="15"/>
      <c r="F81" s="15"/>
      <c r="G81" s="15"/>
    </row>
    <row r="82" customFormat="false" ht="17.25" hidden="false" customHeight="true" outlineLevel="0" collapsed="false">
      <c r="B82" s="15" t="s">
        <v>11081</v>
      </c>
      <c r="C82" s="174" t="n">
        <f aca="false">IFERROR(SUMPRODUCT(C74:C77,D74:D77)/SUM(C74:C77),0)</f>
        <v>503.365</v>
      </c>
      <c r="D82" s="15" t="s">
        <v>10026</v>
      </c>
      <c r="E82" s="15" t="s">
        <v>11082</v>
      </c>
      <c r="F82" s="15"/>
      <c r="G82" s="15"/>
    </row>
    <row r="83" customFormat="false" ht="17.25" hidden="false" customHeight="true" outlineLevel="0" collapsed="false">
      <c r="B83" s="15" t="s">
        <v>11065</v>
      </c>
      <c r="C83" s="174" t="n">
        <f aca="false">MAX(D74:D77)-MIN(D74:D77)</f>
        <v>2.88999999999999</v>
      </c>
      <c r="D83" s="15" t="s">
        <v>10026</v>
      </c>
      <c r="E83" s="15" t="s">
        <v>11083</v>
      </c>
      <c r="F83" s="15"/>
      <c r="G83" s="15"/>
    </row>
    <row r="84" customFormat="false" ht="17.25" hidden="false" customHeight="true" outlineLevel="0" collapsed="false">
      <c r="B84" s="15" t="s">
        <v>11084</v>
      </c>
      <c r="C84" s="174" t="n">
        <f aca="false">AVERAGE(E74:E77)</f>
        <v>0.6875</v>
      </c>
      <c r="D84" s="15" t="s">
        <v>10026</v>
      </c>
      <c r="E84" s="15" t="s">
        <v>11085</v>
      </c>
      <c r="F84" s="15"/>
      <c r="G84" s="15"/>
    </row>
    <row r="85" customFormat="false" ht="17.25" hidden="false" customHeight="true" outlineLevel="0" collapsed="false">
      <c r="B85" s="15" t="s">
        <v>11086</v>
      </c>
      <c r="C85" s="174" t="n">
        <f aca="false">IFERROR(C83/C84,0)</f>
        <v>4.20363636363634</v>
      </c>
      <c r="D85" s="15"/>
      <c r="E85" s="15" t="s">
        <v>11087</v>
      </c>
      <c r="F85" s="15"/>
      <c r="G85" s="15"/>
    </row>
    <row r="86" customFormat="false" ht="17.25" hidden="false" customHeight="true" outlineLevel="0" collapsed="false">
      <c r="B86" s="15" t="s">
        <v>11088</v>
      </c>
      <c r="C86" s="167" t="str">
        <f aca="false">INDEX(B74:B77,MATCH(MAX(D74:D77),D74:D77,0))</f>
        <v>Shift C</v>
      </c>
      <c r="D86" s="15"/>
      <c r="E86" s="15"/>
      <c r="F86" s="15"/>
      <c r="G86" s="15"/>
    </row>
    <row r="87" customFormat="false" ht="17.25" hidden="false" customHeight="true" outlineLevel="0" collapsed="false">
      <c r="B87" s="15" t="s">
        <v>11089</v>
      </c>
      <c r="C87" s="167" t="str">
        <f aca="false">INDEX(B74:B77,MATCH(MIN(D74:D77),D74:D77,0))</f>
        <v>Shift B</v>
      </c>
      <c r="D87" s="15"/>
      <c r="E87" s="15"/>
      <c r="F87" s="15"/>
      <c r="G87" s="15"/>
    </row>
    <row r="88" customFormat="false" ht="17.25" hidden="false" customHeight="true" outlineLevel="0" collapsed="false">
      <c r="B88" s="15" t="s">
        <v>11090</v>
      </c>
      <c r="C88" s="161" t="n">
        <f aca="false">COUNTIF(J74:J77,"DIFFERENT*")</f>
        <v>4</v>
      </c>
      <c r="D88" s="15" t="s">
        <v>11091</v>
      </c>
      <c r="E88" s="15" t="s">
        <v>11092</v>
      </c>
      <c r="F88" s="15"/>
      <c r="G88" s="15"/>
    </row>
    <row r="90" customFormat="false" ht="17.25" hidden="false" customHeight="true" outlineLevel="0" collapsed="false">
      <c r="B90" s="107" t="s">
        <v>11093</v>
      </c>
      <c r="C90" s="107"/>
      <c r="D90" s="107"/>
      <c r="E90" s="107"/>
      <c r="F90" s="107"/>
      <c r="G90" s="107"/>
      <c r="H90" s="107"/>
      <c r="I90" s="107"/>
    </row>
    <row r="91" customFormat="false" ht="30.75" hidden="false" customHeight="true" outlineLevel="0" collapsed="false">
      <c r="B91" s="152" t="s">
        <v>5269</v>
      </c>
      <c r="C91" s="152" t="s">
        <v>11094</v>
      </c>
      <c r="D91" s="152" t="s">
        <v>11095</v>
      </c>
      <c r="E91" s="152" t="s">
        <v>11096</v>
      </c>
      <c r="F91" s="152"/>
      <c r="G91" s="152"/>
      <c r="H91" s="152"/>
    </row>
    <row r="92" customFormat="false" ht="44.25" hidden="false" customHeight="true" outlineLevel="0" collapsed="false">
      <c r="B92" s="15" t="s">
        <v>11097</v>
      </c>
      <c r="C92" s="15" t="s">
        <v>11098</v>
      </c>
      <c r="D92" s="177" t="s">
        <v>1380</v>
      </c>
      <c r="E92" s="15" t="s">
        <v>11099</v>
      </c>
      <c r="F92" s="15"/>
      <c r="G92" s="15"/>
      <c r="H92" s="15"/>
    </row>
    <row r="93" customFormat="false" ht="44.25" hidden="false" customHeight="true" outlineLevel="0" collapsed="false">
      <c r="B93" s="15" t="s">
        <v>11100</v>
      </c>
      <c r="C93" s="15" t="s">
        <v>11101</v>
      </c>
      <c r="D93" s="177" t="s">
        <v>1380</v>
      </c>
      <c r="E93" s="15" t="s">
        <v>11102</v>
      </c>
      <c r="F93" s="15"/>
      <c r="G93" s="15"/>
      <c r="H93" s="15"/>
    </row>
    <row r="94" customFormat="false" ht="44.25" hidden="false" customHeight="true" outlineLevel="0" collapsed="false">
      <c r="B94" s="15" t="s">
        <v>11103</v>
      </c>
      <c r="C94" s="15" t="s">
        <v>11104</v>
      </c>
      <c r="D94" s="177" t="s">
        <v>98</v>
      </c>
      <c r="E94" s="15" t="s">
        <v>11105</v>
      </c>
      <c r="F94" s="15"/>
      <c r="G94" s="15"/>
      <c r="H94" s="15"/>
    </row>
    <row r="95" customFormat="false" ht="44.25" hidden="false" customHeight="true" outlineLevel="0" collapsed="false">
      <c r="B95" s="15" t="s">
        <v>11106</v>
      </c>
      <c r="C95" s="15" t="s">
        <v>11107</v>
      </c>
      <c r="D95" s="177" t="s">
        <v>98</v>
      </c>
      <c r="E95" s="15" t="s">
        <v>11108</v>
      </c>
      <c r="F95" s="15"/>
      <c r="G95" s="15"/>
      <c r="H95" s="15"/>
    </row>
    <row r="96" customFormat="false" ht="30.75" hidden="false" customHeight="true" outlineLevel="0" collapsed="false">
      <c r="B96" s="15" t="s">
        <v>11109</v>
      </c>
      <c r="C96" s="15" t="s">
        <v>11110</v>
      </c>
      <c r="D96" s="177" t="s">
        <v>1380</v>
      </c>
      <c r="E96" s="15" t="s">
        <v>11111</v>
      </c>
      <c r="F96" s="15"/>
      <c r="G96" s="15"/>
      <c r="H96" s="15"/>
    </row>
    <row r="97" customFormat="false" ht="44.25" hidden="false" customHeight="true" outlineLevel="0" collapsed="false">
      <c r="B97" s="15" t="s">
        <v>11112</v>
      </c>
      <c r="C97" s="15" t="s">
        <v>11113</v>
      </c>
      <c r="D97" s="177" t="s">
        <v>1380</v>
      </c>
      <c r="E97" s="15" t="s">
        <v>11114</v>
      </c>
      <c r="F97" s="15"/>
      <c r="G97" s="15"/>
      <c r="H97" s="15"/>
    </row>
    <row r="98" customFormat="false" ht="30.75" hidden="false" customHeight="true" outlineLevel="0" collapsed="false">
      <c r="B98" s="15" t="s">
        <v>11115</v>
      </c>
      <c r="C98" s="15" t="s">
        <v>11116</v>
      </c>
      <c r="D98" s="177" t="s">
        <v>1380</v>
      </c>
      <c r="E98" s="15" t="s">
        <v>11117</v>
      </c>
      <c r="F98" s="15"/>
      <c r="G98" s="15"/>
      <c r="H98" s="15"/>
    </row>
    <row r="99" customFormat="false" ht="30.75" hidden="false" customHeight="true" outlineLevel="0" collapsed="false">
      <c r="B99" s="15" t="s">
        <v>11118</v>
      </c>
      <c r="C99" s="15" t="s">
        <v>11119</v>
      </c>
      <c r="D99" s="177" t="s">
        <v>98</v>
      </c>
      <c r="E99" s="15" t="s">
        <v>11120</v>
      </c>
      <c r="F99" s="15"/>
      <c r="G99" s="15"/>
      <c r="H99" s="15"/>
    </row>
    <row r="101" customFormat="false" ht="15.75" hidden="false" customHeight="true" outlineLevel="0" collapsed="false">
      <c r="B101" s="103" t="s">
        <v>1493</v>
      </c>
      <c r="C101" s="8"/>
      <c r="D101" s="8"/>
      <c r="E101" s="8"/>
      <c r="F101" s="8"/>
      <c r="G101" s="8"/>
      <c r="H101" s="8"/>
      <c r="I101" s="8"/>
      <c r="J101" s="8"/>
      <c r="K101" s="8"/>
    </row>
    <row r="102" customFormat="false" ht="96" hidden="false" customHeight="true" outlineLevel="0" collapsed="false">
      <c r="B102" s="105" t="s">
        <v>1494</v>
      </c>
      <c r="C102" s="168" t="str">
        <f aca="false">"Overall mean "&amp;TEXT(C82,"0.00")&amp;" ml. The strata range from "&amp;TEXT(MIN(D74:D77),"0.00")&amp;" to "&amp;TEXT(MAX(D74:D77),"0.00")&amp;" ml, a between-stratum spread of "&amp;TEXT(C83,"0.00")&amp;" ml against an average within-stratum SD of "&amp;TEXT(C84,"0.00")&amp;" ml (ratio "&amp;TEXT(C85,"0.00")&amp;"). "&amp;IF(C85&gt;2,"The stratum explains far more variation than it hides: "&amp;C86&amp;" is genuinely different from the others. Stop analysing the pooled data — investigate that stratum specifically, and confirm the difference with ANOVA (E-26) or a 2-sample t-test (E-24).","The strata are similar relative to the within-stratum spread, so this factor does not explain the variation. Try another factor from the list below before concluding that the cause is common to all of them.")</f>
        <v>Overall mean 503.37 ml. The strata range from 502.44 to 505.33 ml, a between-stratum spread of 2.89 ml against an average within-stratum SD of 0.69 ml (ratio 4.20). The stratum explains far more variation than it hides: Shift C is genuinely different from the others. Stop analysing the pooled data — investigate that stratum specifically, and confirm the difference with ANOVA (E-26) or a 2-sample t-test (E-24).</v>
      </c>
      <c r="D102" s="168"/>
      <c r="E102" s="168"/>
      <c r="F102" s="168"/>
      <c r="G102" s="168"/>
    </row>
    <row r="104" customFormat="false" ht="17.25" hidden="false" customHeight="true" outlineLevel="0" collapsed="false">
      <c r="B104" s="152" t="s">
        <v>1495</v>
      </c>
      <c r="C104" s="152" t="s">
        <v>1496</v>
      </c>
      <c r="D104" s="152" t="s">
        <v>1497</v>
      </c>
      <c r="E104" s="152"/>
      <c r="F104" s="152"/>
      <c r="G104" s="152"/>
    </row>
    <row r="105" customFormat="false" ht="17.25" hidden="false" customHeight="true" outlineLevel="0" collapsed="false">
      <c r="B105" s="15" t="s">
        <v>11121</v>
      </c>
      <c r="C105" s="15" t="s">
        <v>11122</v>
      </c>
      <c r="D105" s="15" t="s">
        <v>11123</v>
      </c>
      <c r="E105" s="15"/>
      <c r="F105" s="15"/>
      <c r="G105" s="15"/>
    </row>
    <row r="106" customFormat="false" ht="17.25" hidden="false" customHeight="true" outlineLevel="0" collapsed="false">
      <c r="B106" s="15" t="s">
        <v>11124</v>
      </c>
      <c r="C106" s="15" t="s">
        <v>11125</v>
      </c>
      <c r="D106" s="15" t="s">
        <v>11126</v>
      </c>
      <c r="E106" s="15"/>
      <c r="F106" s="15"/>
      <c r="G106" s="15"/>
    </row>
    <row r="107" customFormat="false" ht="17.25" hidden="false" customHeight="true" outlineLevel="0" collapsed="false">
      <c r="B107" s="15" t="s">
        <v>11127</v>
      </c>
      <c r="C107" s="15" t="s">
        <v>11128</v>
      </c>
      <c r="D107" s="15" t="s">
        <v>11129</v>
      </c>
      <c r="E107" s="15"/>
      <c r="F107" s="15"/>
      <c r="G107" s="15"/>
    </row>
    <row r="108" customFormat="false" ht="17.25" hidden="false" customHeight="true" outlineLevel="0" collapsed="false">
      <c r="B108" s="15" t="s">
        <v>11130</v>
      </c>
      <c r="C108" s="15" t="s">
        <v>7316</v>
      </c>
      <c r="D108" s="15" t="s">
        <v>11131</v>
      </c>
      <c r="E108" s="15"/>
      <c r="F108" s="15"/>
      <c r="G108" s="15"/>
    </row>
    <row r="110" customFormat="false" ht="15" hidden="false" customHeight="true" outlineLevel="0" collapsed="false">
      <c r="B110" s="105" t="s">
        <v>1507</v>
      </c>
    </row>
    <row r="111" customFormat="false" ht="17.25" hidden="false" customHeight="true" outlineLevel="0" collapsed="false">
      <c r="B111" s="106" t="s">
        <v>11132</v>
      </c>
      <c r="C111" s="106"/>
      <c r="D111" s="106"/>
      <c r="E111" s="106"/>
      <c r="F111" s="106"/>
      <c r="G111" s="106"/>
      <c r="H111" s="106"/>
      <c r="I111" s="106"/>
    </row>
    <row r="112" customFormat="false" ht="17.25" hidden="false" customHeight="true" outlineLevel="0" collapsed="false">
      <c r="B112" s="106" t="s">
        <v>11133</v>
      </c>
      <c r="C112" s="106"/>
      <c r="D112" s="106"/>
      <c r="E112" s="106"/>
      <c r="F112" s="106"/>
      <c r="G112" s="106"/>
      <c r="H112" s="106"/>
      <c r="I112" s="106"/>
    </row>
    <row r="113" customFormat="false" ht="17.25" hidden="false" customHeight="true" outlineLevel="0" collapsed="false">
      <c r="B113" s="106" t="s">
        <v>11134</v>
      </c>
      <c r="C113" s="106"/>
      <c r="D113" s="106"/>
      <c r="E113" s="106"/>
      <c r="F113" s="106"/>
      <c r="G113" s="106"/>
      <c r="H113" s="106"/>
      <c r="I113" s="106"/>
    </row>
    <row r="114" customFormat="false" ht="17.25" hidden="false" customHeight="true" outlineLevel="0" collapsed="false">
      <c r="B114" s="106" t="s">
        <v>11135</v>
      </c>
      <c r="C114" s="106"/>
      <c r="D114" s="106"/>
      <c r="E114" s="106"/>
      <c r="F114" s="106"/>
      <c r="G114" s="106"/>
      <c r="H114" s="106"/>
      <c r="I114" s="106"/>
    </row>
    <row r="115" customFormat="false" ht="17.25" hidden="false" customHeight="true" outlineLevel="0" collapsed="false">
      <c r="B115" s="106" t="s">
        <v>11136</v>
      </c>
      <c r="C115" s="106"/>
      <c r="D115" s="106"/>
      <c r="E115" s="106"/>
      <c r="F115" s="106"/>
      <c r="G115" s="106"/>
      <c r="H115" s="106"/>
      <c r="I115" s="106"/>
    </row>
    <row r="117" customFormat="false" ht="15.75" hidden="false" customHeight="true" outlineLevel="0" collapsed="false">
      <c r="B117" s="103" t="s">
        <v>1513</v>
      </c>
      <c r="C117" s="8"/>
      <c r="D117" s="8"/>
      <c r="E117" s="8"/>
      <c r="F117" s="8"/>
      <c r="G117" s="8"/>
      <c r="H117" s="8"/>
      <c r="I117" s="8"/>
      <c r="J117" s="8"/>
      <c r="K117" s="8"/>
    </row>
    <row r="118" customFormat="false" ht="17.25" hidden="false" customHeight="true" outlineLevel="0" collapsed="false">
      <c r="B118" s="106" t="s">
        <v>6712</v>
      </c>
      <c r="C118" s="106"/>
      <c r="D118" s="106"/>
      <c r="E118" s="106"/>
      <c r="F118" s="106"/>
      <c r="N118" s="169" t="s">
        <v>1515</v>
      </c>
    </row>
    <row r="119" customFormat="false" ht="44.25" hidden="false" customHeight="true" outlineLevel="0" collapsed="false">
      <c r="B119" s="106" t="s">
        <v>11137</v>
      </c>
      <c r="C119" s="106"/>
      <c r="D119" s="106"/>
      <c r="E119" s="106"/>
      <c r="F119" s="106"/>
      <c r="N119" s="120" t="s">
        <v>11138</v>
      </c>
    </row>
    <row r="120" customFormat="false" ht="58.5" hidden="false" customHeight="true" outlineLevel="0" collapsed="false">
      <c r="B120" s="106" t="s">
        <v>11139</v>
      </c>
      <c r="C120" s="106"/>
      <c r="D120" s="106"/>
      <c r="E120" s="106"/>
      <c r="F120" s="106"/>
      <c r="N120" s="120" t="s">
        <v>11140</v>
      </c>
    </row>
    <row r="121" customFormat="false" ht="58.5" hidden="false" customHeight="true" outlineLevel="0" collapsed="false">
      <c r="B121" s="106" t="s">
        <v>11141</v>
      </c>
      <c r="C121" s="106"/>
      <c r="D121" s="106"/>
      <c r="E121" s="106"/>
      <c r="F121" s="106"/>
      <c r="N121" s="120" t="s">
        <v>11142</v>
      </c>
    </row>
    <row r="123" customFormat="false" ht="15.75" hidden="false" customHeight="true" outlineLevel="0" collapsed="false">
      <c r="B123" s="103" t="s">
        <v>1522</v>
      </c>
      <c r="C123" s="8"/>
      <c r="D123" s="8"/>
      <c r="E123" s="8"/>
      <c r="F123" s="8"/>
      <c r="G123" s="8"/>
      <c r="H123" s="8"/>
      <c r="I123" s="8"/>
      <c r="J123" s="8"/>
      <c r="K123" s="8"/>
    </row>
    <row r="124" customFormat="false" ht="17.25" hidden="false" customHeight="true" outlineLevel="0" collapsed="false">
      <c r="B124" s="152" t="s">
        <v>1523</v>
      </c>
      <c r="C124" s="152" t="s">
        <v>1524</v>
      </c>
      <c r="D124" s="152" t="s">
        <v>6719</v>
      </c>
      <c r="E124" s="152"/>
      <c r="F124" s="152"/>
    </row>
    <row r="125" customFormat="false" ht="17.25" hidden="false" customHeight="true" outlineLevel="0" collapsed="false">
      <c r="B125" s="170" t="s">
        <v>1186</v>
      </c>
      <c r="C125" s="170" t="s">
        <v>11053</v>
      </c>
      <c r="D125" s="171" t="s">
        <v>1035</v>
      </c>
      <c r="E125" s="171"/>
      <c r="F125" s="171"/>
    </row>
  </sheetData>
  <mergeCells count="82">
    <mergeCell ref="B2:J2"/>
    <mergeCell ref="D3:H3"/>
    <mergeCell ref="C6:F6"/>
    <mergeCell ref="C7:F7"/>
    <mergeCell ref="C8:F8"/>
    <mergeCell ref="B11:I13"/>
    <mergeCell ref="B14:I16"/>
    <mergeCell ref="B17:I18"/>
    <mergeCell ref="B19:I19"/>
    <mergeCell ref="B20:I22"/>
    <mergeCell ref="B23:I24"/>
    <mergeCell ref="B25:I26"/>
    <mergeCell ref="B29:D29"/>
    <mergeCell ref="E29:I29"/>
    <mergeCell ref="B30:D30"/>
    <mergeCell ref="E30:I30"/>
    <mergeCell ref="B31:D31"/>
    <mergeCell ref="E31:I31"/>
    <mergeCell ref="B32:D32"/>
    <mergeCell ref="E32:I32"/>
    <mergeCell ref="B33:I33"/>
    <mergeCell ref="E35:F35"/>
    <mergeCell ref="E36:F36"/>
    <mergeCell ref="E37:F37"/>
    <mergeCell ref="E38:F38"/>
    <mergeCell ref="E39:F39"/>
    <mergeCell ref="B42:I42"/>
    <mergeCell ref="B44:I44"/>
    <mergeCell ref="B46:I48"/>
    <mergeCell ref="B50:I52"/>
    <mergeCell ref="B54:I54"/>
    <mergeCell ref="D57:G57"/>
    <mergeCell ref="D58:G58"/>
    <mergeCell ref="D59:G59"/>
    <mergeCell ref="D60:G60"/>
    <mergeCell ref="D61:G61"/>
    <mergeCell ref="D62:G62"/>
    <mergeCell ref="B65:I67"/>
    <mergeCell ref="B70:I70"/>
    <mergeCell ref="B71:I71"/>
    <mergeCell ref="J73:K73"/>
    <mergeCell ref="J74:K74"/>
    <mergeCell ref="J75:K75"/>
    <mergeCell ref="J76:K76"/>
    <mergeCell ref="J77:K77"/>
    <mergeCell ref="B79:I79"/>
    <mergeCell ref="E80:G80"/>
    <mergeCell ref="E81:G81"/>
    <mergeCell ref="E82:G82"/>
    <mergeCell ref="E83:G83"/>
    <mergeCell ref="E84:G84"/>
    <mergeCell ref="E85:G85"/>
    <mergeCell ref="E86:G86"/>
    <mergeCell ref="E87:G87"/>
    <mergeCell ref="E88:G88"/>
    <mergeCell ref="B90:I90"/>
    <mergeCell ref="E91:H91"/>
    <mergeCell ref="E92:H92"/>
    <mergeCell ref="E93:H93"/>
    <mergeCell ref="E94:H94"/>
    <mergeCell ref="E95:H95"/>
    <mergeCell ref="E96:H96"/>
    <mergeCell ref="E97:H97"/>
    <mergeCell ref="E98:H98"/>
    <mergeCell ref="E99:H99"/>
    <mergeCell ref="C102:G102"/>
    <mergeCell ref="D104:G104"/>
    <mergeCell ref="D105:G105"/>
    <mergeCell ref="D106:G106"/>
    <mergeCell ref="D107:G107"/>
    <mergeCell ref="D108:G108"/>
    <mergeCell ref="B111:I111"/>
    <mergeCell ref="B112:I112"/>
    <mergeCell ref="B113:I113"/>
    <mergeCell ref="B114:I114"/>
    <mergeCell ref="B115:I115"/>
    <mergeCell ref="B118:F118"/>
    <mergeCell ref="B119:F119"/>
    <mergeCell ref="B120:F120"/>
    <mergeCell ref="B121:F121"/>
    <mergeCell ref="D124:F124"/>
    <mergeCell ref="D125:F125"/>
  </mergeCells>
  <hyperlinks>
    <hyperlink ref="B3" location="'N-03 Index DMAIC'!A1" display="← Back to Index"/>
    <hyperlink ref="E36" location="'E-06 Data Collection Plan'!A1" display="E-06  Data Collection Plan"/>
    <hyperlink ref="E37" location="'E-20 Sample Size'!A1" display="E-20  Sample Size Determination"/>
    <hyperlink ref="E38" location="'E-59 Gage R and R'!A1" display="E-59  Gage R and R"/>
    <hyperlink ref="E39" location="'E-26 One-Way ANOVA'!A1" display="E-26  One-Way ANOVA"/>
    <hyperlink ref="B125" location="'H-07 Histogram and Box Plot'!A1" display="H-07  Histogram and Box Plot"/>
    <hyperlink ref="C125" location="'E-26 One-Way ANOVA'!A1" display="E-26  One-Way ANOVA"/>
    <hyperlink ref="D125" location="'E-40 Multi-Vari Analysis'!A1" display="E-40  Multi-Vari Analysi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20"/>
    <col collapsed="false" customWidth="true" hidden="false" outlineLevel="0" max="4" min="4" style="1" width="40"/>
    <col collapsed="false" customWidth="true" hidden="false" outlineLevel="0" max="5" min="5" style="1" width="44"/>
    <col collapsed="false" customWidth="true" hidden="false" outlineLevel="0" max="6" min="6" style="1" width="14"/>
    <col collapsed="false" customWidth="true" hidden="false" outlineLevel="0" max="7" min="7" style="1" width="20"/>
    <col collapsed="false" customWidth="true" hidden="false" outlineLevel="0" max="8" min="8" style="1" width="18"/>
    <col collapsed="false" customWidth="true" hidden="false" outlineLevel="0" max="9" min="9" style="1" width="36"/>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11143</v>
      </c>
      <c r="C2" s="148"/>
      <c r="D2" s="148"/>
      <c r="E2" s="148"/>
      <c r="F2" s="148"/>
      <c r="G2" s="148"/>
      <c r="H2" s="148"/>
      <c r="I2" s="148"/>
      <c r="J2" s="148"/>
      <c r="K2" s="149" t="s">
        <v>2864</v>
      </c>
    </row>
    <row r="3" customFormat="false" ht="42" hidden="false" customHeight="true" outlineLevel="0" collapsed="false">
      <c r="B3" s="150" t="s">
        <v>3</v>
      </c>
      <c r="D3" s="151" t="s">
        <v>11144</v>
      </c>
      <c r="E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11145</v>
      </c>
      <c r="D6" s="106"/>
    </row>
    <row r="7" customFormat="false" ht="31.5" hidden="false" customHeight="true" outlineLevel="0" collapsed="false">
      <c r="B7" s="105" t="s">
        <v>1394</v>
      </c>
      <c r="C7" s="106" t="s">
        <v>11146</v>
      </c>
      <c r="D7" s="106"/>
    </row>
    <row r="8" customFormat="false" ht="31.5" hidden="false" customHeight="true" outlineLevel="0" collapsed="false">
      <c r="B8" s="105" t="s">
        <v>1396</v>
      </c>
      <c r="C8" s="106" t="s">
        <v>11147</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11148</v>
      </c>
      <c r="C11" s="106"/>
      <c r="D11" s="106"/>
      <c r="E11" s="106"/>
    </row>
    <row r="12" customFormat="false" ht="10.5" hidden="false" customHeight="true" outlineLevel="0" collapsed="false">
      <c r="B12" s="106"/>
      <c r="C12" s="106"/>
      <c r="D12" s="106"/>
      <c r="E12" s="106"/>
    </row>
    <row r="13" customFormat="false" ht="10.5" hidden="false" customHeight="true" outlineLevel="0" collapsed="false">
      <c r="B13" s="106"/>
      <c r="C13" s="106"/>
      <c r="D13" s="106"/>
      <c r="E13" s="106"/>
    </row>
    <row r="14" customFormat="false" ht="10.5" hidden="false" customHeight="true" outlineLevel="0" collapsed="false">
      <c r="B14" s="106" t="s">
        <v>11149</v>
      </c>
      <c r="C14" s="106"/>
      <c r="D14" s="106"/>
      <c r="E14" s="106"/>
    </row>
    <row r="15" customFormat="false" ht="10.5" hidden="false" customHeight="true" outlineLevel="0" collapsed="false">
      <c r="B15" s="106"/>
      <c r="C15" s="106"/>
      <c r="D15" s="106"/>
      <c r="E15" s="106"/>
    </row>
    <row r="16" customFormat="false" ht="10.5" hidden="false" customHeight="true" outlineLevel="0" collapsed="false">
      <c r="B16" s="106"/>
      <c r="C16" s="106"/>
      <c r="D16" s="106"/>
      <c r="E16" s="106"/>
    </row>
    <row r="17" customFormat="false" ht="10.5" hidden="false" customHeight="true" outlineLevel="0" collapsed="false">
      <c r="B17" s="106" t="s">
        <v>11150</v>
      </c>
      <c r="C17" s="106"/>
      <c r="D17" s="106"/>
      <c r="E17" s="106"/>
    </row>
    <row r="18" customFormat="false" ht="10.5" hidden="false" customHeight="true" outlineLevel="0" collapsed="false">
      <c r="B18" s="106"/>
      <c r="C18" s="106"/>
      <c r="D18" s="106"/>
      <c r="E18" s="106"/>
    </row>
    <row r="19" customFormat="false" ht="10.5" hidden="false" customHeight="true" outlineLevel="0" collapsed="false">
      <c r="B19" s="106"/>
      <c r="C19" s="106"/>
      <c r="D19" s="106"/>
      <c r="E19" s="106"/>
    </row>
    <row r="20" customFormat="false" ht="10.5" hidden="false" customHeight="true" outlineLevel="0" collapsed="false">
      <c r="B20" s="106" t="s">
        <v>11151</v>
      </c>
      <c r="C20" s="106"/>
      <c r="D20" s="106"/>
      <c r="E20" s="106"/>
    </row>
    <row r="21" customFormat="false" ht="10.5" hidden="false" customHeight="true" outlineLevel="0" collapsed="false">
      <c r="B21" s="106"/>
      <c r="C21" s="106"/>
      <c r="D21" s="106"/>
      <c r="E21" s="106"/>
    </row>
    <row r="22" customFormat="false" ht="10.5" hidden="false" customHeight="true" outlineLevel="0" collapsed="false">
      <c r="B22" s="106"/>
      <c r="C22" s="106"/>
      <c r="D22" s="106"/>
      <c r="E22" s="106"/>
    </row>
    <row r="23" customFormat="false" ht="15.75" hidden="false" customHeight="true" outlineLevel="0" collapsed="false">
      <c r="B23" s="106" t="s">
        <v>11152</v>
      </c>
      <c r="C23" s="106"/>
      <c r="D23" s="106"/>
      <c r="E23" s="106"/>
    </row>
    <row r="24" customFormat="false" ht="15.75" hidden="false" customHeight="true" outlineLevel="0" collapsed="false">
      <c r="B24" s="106"/>
      <c r="C24" s="106"/>
      <c r="D24" s="106"/>
      <c r="E24" s="106"/>
    </row>
    <row r="25" customFormat="false" ht="15" hidden="false" customHeight="true" outlineLevel="0" collapsed="false">
      <c r="B25" s="106" t="s">
        <v>11153</v>
      </c>
      <c r="C25" s="106"/>
      <c r="D25" s="106"/>
      <c r="E25" s="106"/>
    </row>
    <row r="26" customFormat="false" ht="15" hidden="false" customHeight="true" outlineLevel="0" collapsed="false">
      <c r="B26" s="106"/>
      <c r="C26" s="106"/>
      <c r="D26" s="106"/>
      <c r="E26" s="106"/>
    </row>
    <row r="27" customFormat="false" ht="15" hidden="false" customHeight="true" outlineLevel="0" collapsed="false">
      <c r="B27" s="106"/>
      <c r="C27" s="106"/>
      <c r="D27" s="106"/>
      <c r="E27" s="106"/>
    </row>
    <row r="29" customFormat="false" ht="15.75" hidden="false" customHeight="true" outlineLevel="0" collapsed="false">
      <c r="B29" s="103" t="s">
        <v>1406</v>
      </c>
      <c r="C29" s="8"/>
      <c r="D29" s="8"/>
      <c r="E29" s="8"/>
      <c r="F29" s="8"/>
      <c r="G29" s="8"/>
      <c r="H29" s="8"/>
      <c r="I29" s="8"/>
      <c r="J29" s="8"/>
      <c r="K29" s="8"/>
    </row>
    <row r="30" customFormat="false" ht="17.25" hidden="false" customHeight="true" outlineLevel="0" collapsed="false">
      <c r="B30" s="107" t="s">
        <v>1407</v>
      </c>
      <c r="C30" s="107"/>
      <c r="D30" s="107"/>
      <c r="E30" s="105" t="s">
        <v>1408</v>
      </c>
    </row>
    <row r="31" customFormat="false" ht="30.75" hidden="false" customHeight="true" outlineLevel="0" collapsed="false">
      <c r="B31" s="106" t="s">
        <v>11154</v>
      </c>
      <c r="C31" s="106"/>
      <c r="D31" s="106"/>
      <c r="E31" s="122" t="s">
        <v>11155</v>
      </c>
    </row>
    <row r="32" customFormat="false" ht="30.75" hidden="false" customHeight="true" outlineLevel="0" collapsed="false">
      <c r="B32" s="106" t="s">
        <v>11156</v>
      </c>
      <c r="C32" s="106"/>
      <c r="D32" s="106"/>
      <c r="E32" s="122" t="s">
        <v>11157</v>
      </c>
    </row>
    <row r="33" customFormat="false" ht="30.75" hidden="false" customHeight="true" outlineLevel="0" collapsed="false">
      <c r="B33" s="106" t="s">
        <v>11158</v>
      </c>
      <c r="C33" s="106"/>
      <c r="D33" s="106"/>
      <c r="E33" s="122" t="s">
        <v>11159</v>
      </c>
    </row>
    <row r="34" customFormat="false" ht="17.25" hidden="false" customHeight="true" outlineLevel="0" collapsed="false">
      <c r="B34" s="106" t="s">
        <v>11160</v>
      </c>
      <c r="C34" s="106"/>
      <c r="D34" s="106"/>
      <c r="E34" s="106"/>
    </row>
    <row r="36" customFormat="false" ht="16.5" hidden="false" customHeight="true" outlineLevel="0" collapsed="false">
      <c r="B36" s="152" t="s">
        <v>6621</v>
      </c>
      <c r="C36" s="152" t="s">
        <v>1417</v>
      </c>
      <c r="D36" s="152" t="s">
        <v>1418</v>
      </c>
      <c r="E36" s="152" t="s">
        <v>1419</v>
      </c>
    </row>
    <row r="37" customFormat="false" ht="44.25" hidden="false" customHeight="true" outlineLevel="0" collapsed="false">
      <c r="B37" s="15" t="s">
        <v>11161</v>
      </c>
      <c r="C37" s="15" t="s">
        <v>11162</v>
      </c>
      <c r="D37" s="15" t="s">
        <v>11163</v>
      </c>
      <c r="E37" s="153" t="s">
        <v>1250</v>
      </c>
    </row>
    <row r="38" customFormat="false" ht="58.5" hidden="false" customHeight="true" outlineLevel="0" collapsed="false">
      <c r="B38" s="15" t="s">
        <v>11164</v>
      </c>
      <c r="C38" s="15" t="s">
        <v>11165</v>
      </c>
      <c r="D38" s="15" t="s">
        <v>11166</v>
      </c>
      <c r="E38" s="153" t="s">
        <v>1070</v>
      </c>
    </row>
    <row r="39" customFormat="false" ht="44.25" hidden="false" customHeight="true" outlineLevel="0" collapsed="false">
      <c r="B39" s="15" t="s">
        <v>11167</v>
      </c>
      <c r="C39" s="15" t="s">
        <v>11168</v>
      </c>
      <c r="D39" s="15" t="s">
        <v>11169</v>
      </c>
      <c r="E39" s="153" t="s">
        <v>9455</v>
      </c>
    </row>
    <row r="40" customFormat="false" ht="30.75" hidden="false" customHeight="true" outlineLevel="0" collapsed="false">
      <c r="B40" s="15" t="s">
        <v>11170</v>
      </c>
      <c r="C40" s="15" t="s">
        <v>11171</v>
      </c>
      <c r="D40" s="15" t="s">
        <v>11172</v>
      </c>
      <c r="E40" s="153" t="s">
        <v>1113</v>
      </c>
    </row>
    <row r="42" customFormat="false" ht="15.75" hidden="false" customHeight="true" outlineLevel="0" collapsed="false">
      <c r="B42" s="103" t="s">
        <v>1429</v>
      </c>
      <c r="C42" s="8"/>
      <c r="D42" s="8"/>
      <c r="E42" s="8"/>
      <c r="F42" s="8"/>
      <c r="G42" s="8"/>
      <c r="H42" s="8"/>
      <c r="I42" s="8"/>
      <c r="J42" s="8"/>
      <c r="K42" s="8"/>
    </row>
    <row r="43" customFormat="false" ht="17.25" hidden="false" customHeight="true" outlineLevel="0" collapsed="false">
      <c r="B43" s="106" t="s">
        <v>11173</v>
      </c>
      <c r="C43" s="106"/>
      <c r="D43" s="106"/>
      <c r="E43" s="106"/>
    </row>
    <row r="44" customFormat="false" ht="15" hidden="false" customHeight="true" outlineLevel="0" collapsed="false">
      <c r="B44" s="122"/>
    </row>
    <row r="45" customFormat="false" ht="17.25" hidden="false" customHeight="true" outlineLevel="0" collapsed="false">
      <c r="B45" s="106" t="s">
        <v>11174</v>
      </c>
      <c r="C45" s="106"/>
      <c r="D45" s="106"/>
      <c r="E45" s="106"/>
    </row>
    <row r="46" customFormat="false" ht="15" hidden="false" customHeight="true" outlineLevel="0" collapsed="false">
      <c r="B46" s="122"/>
    </row>
    <row r="47" customFormat="false" ht="17.25" hidden="false" customHeight="true" outlineLevel="0" collapsed="false">
      <c r="B47" s="106" t="s">
        <v>11175</v>
      </c>
      <c r="C47" s="106"/>
      <c r="D47" s="106"/>
      <c r="E47" s="106"/>
    </row>
    <row r="48" customFormat="false" ht="16.5" hidden="false" customHeight="true" outlineLevel="0" collapsed="false">
      <c r="B48" s="122" t="s">
        <v>11176</v>
      </c>
    </row>
    <row r="49" customFormat="false" ht="16.5" hidden="false" customHeight="true" outlineLevel="0" collapsed="false">
      <c r="B49" s="122" t="s">
        <v>11177</v>
      </c>
    </row>
    <row r="50" customFormat="false" ht="16.5" hidden="false" customHeight="true" outlineLevel="0" collapsed="false">
      <c r="B50" s="122" t="s">
        <v>11178</v>
      </c>
    </row>
    <row r="51" customFormat="false" ht="15" hidden="false" customHeight="true" outlineLevel="0" collapsed="false">
      <c r="B51" s="122"/>
    </row>
    <row r="52" customFormat="false" ht="16.5" hidden="false" customHeight="true" outlineLevel="0" collapsed="false">
      <c r="B52" s="122" t="s">
        <v>11179</v>
      </c>
    </row>
    <row r="53" customFormat="false" ht="17.25" hidden="false" customHeight="true" outlineLevel="0" collapsed="false">
      <c r="B53" s="106" t="s">
        <v>11180</v>
      </c>
      <c r="C53" s="106"/>
      <c r="D53" s="106"/>
      <c r="E53" s="106"/>
    </row>
    <row r="54" customFormat="false" ht="17.25" hidden="false" customHeight="true" outlineLevel="0" collapsed="false">
      <c r="B54" s="106" t="s">
        <v>11181</v>
      </c>
      <c r="C54" s="106"/>
      <c r="D54" s="106"/>
      <c r="E54" s="106"/>
    </row>
    <row r="55" customFormat="false" ht="17.25" hidden="false" customHeight="true" outlineLevel="0" collapsed="false">
      <c r="B55" s="106" t="s">
        <v>11182</v>
      </c>
      <c r="C55" s="106"/>
      <c r="D55" s="106"/>
      <c r="E55" s="106"/>
    </row>
    <row r="56" customFormat="false" ht="17.25" hidden="false" customHeight="true" outlineLevel="0" collapsed="false">
      <c r="B56" s="106" t="s">
        <v>11183</v>
      </c>
      <c r="C56" s="106"/>
      <c r="D56" s="106"/>
      <c r="E56" s="106"/>
    </row>
    <row r="58" customFormat="false" ht="15.75" hidden="false" customHeight="true" outlineLevel="0" collapsed="false">
      <c r="B58" s="103" t="s">
        <v>1437</v>
      </c>
      <c r="C58" s="8"/>
      <c r="D58" s="8"/>
      <c r="E58" s="8"/>
      <c r="F58" s="8"/>
      <c r="G58" s="8"/>
      <c r="H58" s="8"/>
      <c r="I58" s="8"/>
      <c r="J58" s="8"/>
      <c r="K58" s="8"/>
    </row>
    <row r="59" customFormat="false" ht="16.5" hidden="false" customHeight="true" outlineLevel="0" collapsed="false">
      <c r="B59" s="152" t="s">
        <v>1438</v>
      </c>
      <c r="C59" s="152" t="s">
        <v>1439</v>
      </c>
      <c r="D59" s="152" t="s">
        <v>1440</v>
      </c>
    </row>
    <row r="60" customFormat="false" ht="44.25" hidden="false" customHeight="true" outlineLevel="0" collapsed="false">
      <c r="B60" s="15" t="s">
        <v>3248</v>
      </c>
      <c r="C60" s="15" t="s">
        <v>11184</v>
      </c>
      <c r="D60" s="15" t="s">
        <v>11185</v>
      </c>
    </row>
    <row r="61" customFormat="false" ht="30.75" hidden="false" customHeight="true" outlineLevel="0" collapsed="false">
      <c r="B61" s="15" t="s">
        <v>1920</v>
      </c>
      <c r="C61" s="15" t="s">
        <v>11186</v>
      </c>
      <c r="D61" s="15" t="s">
        <v>11187</v>
      </c>
    </row>
    <row r="62" customFormat="false" ht="44.25" hidden="false" customHeight="true" outlineLevel="0" collapsed="false">
      <c r="B62" s="15" t="s">
        <v>7487</v>
      </c>
      <c r="C62" s="15" t="s">
        <v>11188</v>
      </c>
      <c r="D62" s="15" t="s">
        <v>11189</v>
      </c>
    </row>
    <row r="63" customFormat="false" ht="16.5" hidden="false" customHeight="true" outlineLevel="0" collapsed="false">
      <c r="B63" s="15" t="s">
        <v>1450</v>
      </c>
      <c r="C63" s="15" t="s">
        <v>1451</v>
      </c>
      <c r="D63" s="15" t="s">
        <v>11190</v>
      </c>
    </row>
    <row r="65" customFormat="false" ht="15.75" hidden="false" customHeight="true" outlineLevel="0" collapsed="false">
      <c r="B65" s="103" t="s">
        <v>1454</v>
      </c>
      <c r="C65" s="8"/>
      <c r="D65" s="8"/>
      <c r="E65" s="8"/>
      <c r="F65" s="8"/>
      <c r="G65" s="8"/>
      <c r="H65" s="8"/>
      <c r="I65" s="8"/>
      <c r="J65" s="8"/>
      <c r="K65" s="8"/>
    </row>
    <row r="66" customFormat="false" ht="15.75" hidden="false" customHeight="true" outlineLevel="0" collapsed="false">
      <c r="B66" s="106" t="s">
        <v>11191</v>
      </c>
      <c r="C66" s="106"/>
      <c r="D66" s="106"/>
      <c r="E66" s="106"/>
    </row>
    <row r="67" customFormat="false" ht="15.75" hidden="false" customHeight="true" outlineLevel="0" collapsed="false">
      <c r="B67" s="106"/>
      <c r="C67" s="106"/>
      <c r="D67" s="106"/>
      <c r="E67" s="106"/>
    </row>
    <row r="68" customFormat="false" ht="15" hidden="false" customHeight="true" outlineLevel="0" collapsed="false">
      <c r="B68" s="112" t="s">
        <v>85</v>
      </c>
      <c r="C68" s="154" t="s">
        <v>86</v>
      </c>
    </row>
    <row r="70" customFormat="false" ht="17.25" hidden="false" customHeight="true" outlineLevel="0" collapsed="false">
      <c r="B70" s="107" t="s">
        <v>11192</v>
      </c>
      <c r="C70" s="107"/>
      <c r="D70" s="107"/>
      <c r="E70" s="107"/>
    </row>
    <row r="71" customFormat="false" ht="17.25" hidden="false" customHeight="true" outlineLevel="0" collapsed="false">
      <c r="B71" s="152" t="s">
        <v>8249</v>
      </c>
      <c r="C71" s="152" t="s">
        <v>29</v>
      </c>
      <c r="D71" s="152"/>
    </row>
    <row r="72" customFormat="false" ht="31.5" hidden="false" customHeight="true" outlineLevel="0" collapsed="false">
      <c r="B72" s="15" t="s">
        <v>11193</v>
      </c>
      <c r="C72" s="177" t="s">
        <v>11194</v>
      </c>
      <c r="D72" s="177"/>
    </row>
    <row r="73" customFormat="false" ht="31.5" hidden="false" customHeight="true" outlineLevel="0" collapsed="false">
      <c r="B73" s="15" t="s">
        <v>9482</v>
      </c>
      <c r="C73" s="177" t="s">
        <v>11195</v>
      </c>
      <c r="D73" s="177"/>
    </row>
    <row r="74" customFormat="false" ht="31.5" hidden="false" customHeight="true" outlineLevel="0" collapsed="false">
      <c r="B74" s="15" t="s">
        <v>11196</v>
      </c>
      <c r="C74" s="177" t="s">
        <v>11197</v>
      </c>
      <c r="D74" s="177"/>
    </row>
    <row r="76" customFormat="false" ht="17.25" hidden="false" customHeight="true" outlineLevel="0" collapsed="false">
      <c r="B76" s="107" t="s">
        <v>11198</v>
      </c>
      <c r="C76" s="107"/>
      <c r="D76" s="107"/>
      <c r="E76" s="107"/>
    </row>
    <row r="77" customFormat="false" ht="44.25" hidden="false" customHeight="true" outlineLevel="0" collapsed="false">
      <c r="B77" s="152" t="s">
        <v>11199</v>
      </c>
      <c r="C77" s="152" t="s">
        <v>11200</v>
      </c>
      <c r="D77" s="152" t="s">
        <v>11201</v>
      </c>
      <c r="E77" s="152" t="s">
        <v>11202</v>
      </c>
      <c r="F77" s="152" t="s">
        <v>11203</v>
      </c>
      <c r="G77" s="152" t="s">
        <v>11204</v>
      </c>
      <c r="H77" s="152" t="s">
        <v>10067</v>
      </c>
      <c r="I77" s="152" t="s">
        <v>11205</v>
      </c>
    </row>
    <row r="78" customFormat="false" ht="44.25" hidden="false" customHeight="true" outlineLevel="0" collapsed="false">
      <c r="B78" s="15" t="s">
        <v>11206</v>
      </c>
      <c r="C78" s="177" t="s">
        <v>11207</v>
      </c>
      <c r="D78" s="177" t="s">
        <v>11208</v>
      </c>
      <c r="E78" s="155" t="n">
        <v>4</v>
      </c>
      <c r="F78" s="177" t="s">
        <v>1380</v>
      </c>
      <c r="G78" s="177" t="s">
        <v>11209</v>
      </c>
      <c r="H78" s="177" t="s">
        <v>11210</v>
      </c>
      <c r="I78" s="161" t="n">
        <f aca="false">IF(G78="Verified",E78*2,IF(G78="Ruled out",0,E78))</f>
        <v>8</v>
      </c>
    </row>
    <row r="79" customFormat="false" ht="30.75" hidden="false" customHeight="true" outlineLevel="0" collapsed="false">
      <c r="B79" s="15" t="s">
        <v>11206</v>
      </c>
      <c r="C79" s="177" t="s">
        <v>11211</v>
      </c>
      <c r="D79" s="177" t="s">
        <v>11212</v>
      </c>
      <c r="E79" s="155" t="n">
        <v>3</v>
      </c>
      <c r="F79" s="177" t="s">
        <v>1380</v>
      </c>
      <c r="G79" s="177" t="s">
        <v>11213</v>
      </c>
      <c r="H79" s="177" t="s">
        <v>11214</v>
      </c>
      <c r="I79" s="161" t="n">
        <f aca="false">IF(G79="Verified",E79*2,IF(G79="Ruled out",0,E79))</f>
        <v>0</v>
      </c>
    </row>
    <row r="80" customFormat="false" ht="16.5" hidden="false" customHeight="true" outlineLevel="0" collapsed="false">
      <c r="B80" s="15" t="s">
        <v>11206</v>
      </c>
      <c r="C80" s="177" t="s">
        <v>11215</v>
      </c>
      <c r="D80" s="177" t="s">
        <v>11216</v>
      </c>
      <c r="E80" s="155" t="n">
        <v>4</v>
      </c>
      <c r="F80" s="177" t="s">
        <v>1380</v>
      </c>
      <c r="G80" s="177" t="s">
        <v>11217</v>
      </c>
      <c r="H80" s="177"/>
      <c r="I80" s="161" t="n">
        <f aca="false">IF(G80="Verified",E80*2,IF(G80="Ruled out",0,E80))</f>
        <v>4</v>
      </c>
    </row>
    <row r="81" customFormat="false" ht="44.25" hidden="false" customHeight="true" outlineLevel="0" collapsed="false">
      <c r="B81" s="15" t="s">
        <v>11218</v>
      </c>
      <c r="C81" s="177" t="s">
        <v>11219</v>
      </c>
      <c r="D81" s="177" t="s">
        <v>11220</v>
      </c>
      <c r="E81" s="155" t="n">
        <v>5</v>
      </c>
      <c r="F81" s="177" t="s">
        <v>1380</v>
      </c>
      <c r="G81" s="177" t="s">
        <v>11209</v>
      </c>
      <c r="H81" s="177" t="s">
        <v>11221</v>
      </c>
      <c r="I81" s="161" t="n">
        <f aca="false">IF(G81="Verified",E81*2,IF(G81="Ruled out",0,E81))</f>
        <v>10</v>
      </c>
    </row>
    <row r="82" customFormat="false" ht="44.25" hidden="false" customHeight="true" outlineLevel="0" collapsed="false">
      <c r="B82" s="15" t="s">
        <v>11218</v>
      </c>
      <c r="C82" s="177" t="s">
        <v>11222</v>
      </c>
      <c r="D82" s="177" t="s">
        <v>11223</v>
      </c>
      <c r="E82" s="155" t="n">
        <v>4</v>
      </c>
      <c r="F82" s="177" t="s">
        <v>1380</v>
      </c>
      <c r="G82" s="177" t="s">
        <v>11209</v>
      </c>
      <c r="H82" s="177" t="s">
        <v>11224</v>
      </c>
      <c r="I82" s="161" t="n">
        <f aca="false">IF(G82="Verified",E82*2,IF(G82="Ruled out",0,E82))</f>
        <v>8</v>
      </c>
    </row>
    <row r="83" customFormat="false" ht="44.25" hidden="false" customHeight="true" outlineLevel="0" collapsed="false">
      <c r="B83" s="15" t="s">
        <v>11225</v>
      </c>
      <c r="C83" s="177" t="s">
        <v>11226</v>
      </c>
      <c r="D83" s="177" t="s">
        <v>11227</v>
      </c>
      <c r="E83" s="155" t="n">
        <v>4</v>
      </c>
      <c r="F83" s="177" t="s">
        <v>1380</v>
      </c>
      <c r="G83" s="177" t="s">
        <v>11209</v>
      </c>
      <c r="H83" s="177" t="s">
        <v>11228</v>
      </c>
      <c r="I83" s="161" t="n">
        <f aca="false">IF(G83="Verified",E83*2,IF(G83="Ruled out",0,E83))</f>
        <v>8</v>
      </c>
    </row>
    <row r="84" customFormat="false" ht="30.75" hidden="false" customHeight="true" outlineLevel="0" collapsed="false">
      <c r="B84" s="15" t="s">
        <v>11225</v>
      </c>
      <c r="C84" s="177" t="s">
        <v>11229</v>
      </c>
      <c r="D84" s="177" t="s">
        <v>11230</v>
      </c>
      <c r="E84" s="155" t="n">
        <v>2</v>
      </c>
      <c r="F84" s="177" t="s">
        <v>1380</v>
      </c>
      <c r="G84" s="177" t="s">
        <v>11213</v>
      </c>
      <c r="H84" s="177" t="s">
        <v>11231</v>
      </c>
      <c r="I84" s="161" t="n">
        <f aca="false">IF(G84="Verified",E84*2,IF(G84="Ruled out",0,E84))</f>
        <v>0</v>
      </c>
    </row>
    <row r="85" customFormat="false" ht="44.25" hidden="false" customHeight="true" outlineLevel="0" collapsed="false">
      <c r="B85" s="15" t="s">
        <v>11232</v>
      </c>
      <c r="C85" s="177" t="s">
        <v>11233</v>
      </c>
      <c r="D85" s="177" t="s">
        <v>11234</v>
      </c>
      <c r="E85" s="155" t="n">
        <v>3</v>
      </c>
      <c r="F85" s="177" t="s">
        <v>1380</v>
      </c>
      <c r="G85" s="177" t="s">
        <v>11217</v>
      </c>
      <c r="H85" s="177"/>
      <c r="I85" s="161" t="n">
        <f aca="false">IF(G85="Verified",E85*2,IF(G85="Ruled out",0,E85))</f>
        <v>3</v>
      </c>
    </row>
    <row r="86" customFormat="false" ht="30.75" hidden="false" customHeight="true" outlineLevel="0" collapsed="false">
      <c r="B86" s="15" t="s">
        <v>11232</v>
      </c>
      <c r="C86" s="177" t="s">
        <v>11235</v>
      </c>
      <c r="D86" s="177" t="s">
        <v>11236</v>
      </c>
      <c r="E86" s="155" t="n">
        <v>4</v>
      </c>
      <c r="F86" s="177" t="s">
        <v>1380</v>
      </c>
      <c r="G86" s="177" t="s">
        <v>11217</v>
      </c>
      <c r="H86" s="177"/>
      <c r="I86" s="161" t="n">
        <f aca="false">IF(G86="Verified",E86*2,IF(G86="Ruled out",0,E86))</f>
        <v>4</v>
      </c>
    </row>
    <row r="87" customFormat="false" ht="30.75" hidden="false" customHeight="true" outlineLevel="0" collapsed="false">
      <c r="B87" s="15" t="s">
        <v>11237</v>
      </c>
      <c r="C87" s="177" t="s">
        <v>11238</v>
      </c>
      <c r="D87" s="177" t="s">
        <v>11239</v>
      </c>
      <c r="E87" s="155" t="n">
        <v>3</v>
      </c>
      <c r="F87" s="177" t="s">
        <v>1380</v>
      </c>
      <c r="G87" s="177" t="s">
        <v>11213</v>
      </c>
      <c r="H87" s="177" t="s">
        <v>11240</v>
      </c>
      <c r="I87" s="161" t="n">
        <f aca="false">IF(G87="Verified",E87*2,IF(G87="Ruled out",0,E87))</f>
        <v>0</v>
      </c>
    </row>
    <row r="88" customFormat="false" ht="44.25" hidden="false" customHeight="true" outlineLevel="0" collapsed="false">
      <c r="B88" s="15" t="s">
        <v>11237</v>
      </c>
      <c r="C88" s="177" t="s">
        <v>11241</v>
      </c>
      <c r="D88" s="177" t="s">
        <v>11242</v>
      </c>
      <c r="E88" s="155" t="n">
        <v>3</v>
      </c>
      <c r="F88" s="177" t="s">
        <v>1380</v>
      </c>
      <c r="G88" s="177" t="s">
        <v>11209</v>
      </c>
      <c r="H88" s="177" t="s">
        <v>11243</v>
      </c>
      <c r="I88" s="161" t="n">
        <f aca="false">IF(G88="Verified",E88*2,IF(G88="Ruled out",0,E88))</f>
        <v>6</v>
      </c>
    </row>
    <row r="89" customFormat="false" ht="30.75" hidden="false" customHeight="true" outlineLevel="0" collapsed="false">
      <c r="B89" s="15" t="s">
        <v>11244</v>
      </c>
      <c r="C89" s="177" t="s">
        <v>11245</v>
      </c>
      <c r="D89" s="177" t="s">
        <v>11246</v>
      </c>
      <c r="E89" s="155" t="n">
        <v>2</v>
      </c>
      <c r="F89" s="177" t="s">
        <v>1380</v>
      </c>
      <c r="G89" s="177" t="s">
        <v>11217</v>
      </c>
      <c r="H89" s="177"/>
      <c r="I89" s="161" t="n">
        <f aca="false">IF(G89="Verified",E89*2,IF(G89="Ruled out",0,E89))</f>
        <v>2</v>
      </c>
    </row>
    <row r="91" customFormat="false" ht="16.5" hidden="false" customHeight="true" outlineLevel="0" collapsed="false">
      <c r="B91" s="152" t="s">
        <v>6689</v>
      </c>
      <c r="C91" s="152" t="s">
        <v>6654</v>
      </c>
      <c r="D91" s="152" t="s">
        <v>88</v>
      </c>
    </row>
    <row r="92" customFormat="false" ht="30.75" hidden="false" customHeight="true" outlineLevel="0" collapsed="false">
      <c r="B92" s="15" t="s">
        <v>11247</v>
      </c>
      <c r="C92" s="161" t="n">
        <f aca="false">COUNTA(C78:C89)</f>
        <v>12</v>
      </c>
      <c r="D92" s="15" t="s">
        <v>11248</v>
      </c>
    </row>
    <row r="93" customFormat="false" ht="30.75" hidden="false" customHeight="true" outlineLevel="0" collapsed="false">
      <c r="B93" s="15" t="s">
        <v>11249</v>
      </c>
      <c r="C93" s="161" t="n">
        <f aca="false">COUNTIF(G78:G89,"Verified")</f>
        <v>5</v>
      </c>
      <c r="D93" s="15" t="s">
        <v>11250</v>
      </c>
    </row>
    <row r="94" customFormat="false" ht="30.75" hidden="false" customHeight="true" outlineLevel="0" collapsed="false">
      <c r="B94" s="15" t="s">
        <v>11251</v>
      </c>
      <c r="C94" s="161" t="n">
        <f aca="false">COUNTIF(G78:G89,"Ruled out")</f>
        <v>3</v>
      </c>
      <c r="D94" s="15" t="s">
        <v>11252</v>
      </c>
    </row>
    <row r="95" customFormat="false" ht="16.5" hidden="false" customHeight="true" outlineLevel="0" collapsed="false">
      <c r="B95" s="15" t="s">
        <v>11253</v>
      </c>
      <c r="C95" s="161" t="n">
        <f aca="false">COUNTIF(G78:G89,"Not yet")</f>
        <v>4</v>
      </c>
      <c r="D95" s="15" t="s">
        <v>11254</v>
      </c>
    </row>
    <row r="96" customFormat="false" ht="30.75" hidden="false" customHeight="true" outlineLevel="0" collapsed="false">
      <c r="B96" s="15" t="s">
        <v>11255</v>
      </c>
      <c r="C96" s="167" t="str">
        <f aca="false">INDEX(C78:C89,MATCH(MAX(I78:I89),I78:I89,0))</f>
        <v>No numeric standard for the fill setting</v>
      </c>
      <c r="D96" s="15" t="s">
        <v>11256</v>
      </c>
    </row>
    <row r="97" customFormat="false" ht="30.75" hidden="false" customHeight="true" outlineLevel="0" collapsed="false">
      <c r="B97" s="15" t="s">
        <v>11257</v>
      </c>
      <c r="C97" s="161" t="n">
        <f aca="false">COUNTIF(G78:G89,"Verified")-COUNTIFS(B78:B89,"MACHINE",G78:G89,"Verified")</f>
        <v>4</v>
      </c>
      <c r="D97" s="15" t="s">
        <v>11258</v>
      </c>
    </row>
    <row r="99" customFormat="false" ht="17.25" hidden="false" customHeight="true" outlineLevel="0" collapsed="false">
      <c r="B99" s="107" t="s">
        <v>11259</v>
      </c>
      <c r="C99" s="107"/>
      <c r="D99" s="107"/>
      <c r="E99" s="107"/>
    </row>
    <row r="100" customFormat="false" ht="16.5" hidden="false" customHeight="true" outlineLevel="0" collapsed="false">
      <c r="B100" s="152" t="s">
        <v>7297</v>
      </c>
      <c r="C100" s="152" t="s">
        <v>8567</v>
      </c>
      <c r="D100" s="152" t="s">
        <v>11260</v>
      </c>
    </row>
    <row r="101" customFormat="false" ht="30.75" hidden="false" customHeight="true" outlineLevel="0" collapsed="false">
      <c r="B101" s="15" t="s">
        <v>11206</v>
      </c>
      <c r="C101" s="15" t="s">
        <v>11261</v>
      </c>
      <c r="D101" s="15" t="s">
        <v>11262</v>
      </c>
    </row>
    <row r="102" customFormat="false" ht="44.25" hidden="false" customHeight="true" outlineLevel="0" collapsed="false">
      <c r="B102" s="15" t="s">
        <v>11218</v>
      </c>
      <c r="C102" s="15" t="s">
        <v>11263</v>
      </c>
      <c r="D102" s="15" t="s">
        <v>11264</v>
      </c>
    </row>
    <row r="103" customFormat="false" ht="44.25" hidden="false" customHeight="true" outlineLevel="0" collapsed="false">
      <c r="B103" s="15" t="s">
        <v>11265</v>
      </c>
      <c r="C103" s="15" t="s">
        <v>11266</v>
      </c>
      <c r="D103" s="15" t="s">
        <v>11267</v>
      </c>
    </row>
    <row r="104" customFormat="false" ht="44.25" hidden="false" customHeight="true" outlineLevel="0" collapsed="false">
      <c r="B104" s="15" t="s">
        <v>11232</v>
      </c>
      <c r="C104" s="15" t="s">
        <v>11268</v>
      </c>
      <c r="D104" s="15" t="s">
        <v>11269</v>
      </c>
    </row>
    <row r="105" customFormat="false" ht="44.25" hidden="false" customHeight="true" outlineLevel="0" collapsed="false">
      <c r="B105" s="15" t="s">
        <v>11237</v>
      </c>
      <c r="C105" s="15" t="s">
        <v>11270</v>
      </c>
      <c r="D105" s="15" t="s">
        <v>11271</v>
      </c>
    </row>
    <row r="106" customFormat="false" ht="58.5" hidden="false" customHeight="true" outlineLevel="0" collapsed="false">
      <c r="B106" s="15" t="s">
        <v>11244</v>
      </c>
      <c r="C106" s="15" t="s">
        <v>11272</v>
      </c>
      <c r="D106" s="15" t="s">
        <v>11273</v>
      </c>
    </row>
    <row r="107" customFormat="false" ht="28.5" hidden="false" customHeight="true" outlineLevel="0" collapsed="false">
      <c r="B107" s="182" t="s">
        <v>11274</v>
      </c>
      <c r="C107" s="182"/>
      <c r="D107" s="182"/>
      <c r="E107" s="182"/>
    </row>
    <row r="109" customFormat="false" ht="15.75" hidden="false" customHeight="true" outlineLevel="0" collapsed="false">
      <c r="B109" s="103" t="s">
        <v>1493</v>
      </c>
      <c r="C109" s="8"/>
      <c r="D109" s="8"/>
      <c r="E109" s="8"/>
      <c r="F109" s="8"/>
      <c r="G109" s="8"/>
      <c r="H109" s="8"/>
      <c r="I109" s="8"/>
      <c r="J109" s="8"/>
      <c r="K109" s="8"/>
    </row>
    <row r="110" customFormat="false" ht="65.25" hidden="false" customHeight="true" outlineLevel="0" collapsed="false">
      <c r="B110" s="105" t="s">
        <v>1494</v>
      </c>
      <c r="C110" s="168" t="str">
        <f aca="false">"The fishbone lists "&amp;TEXT(C92,"0")&amp;" possible causes: "&amp;TEXT(C93,"0")&amp;" verified, "&amp;TEXT(C94,"0")&amp;" ruled out with evidence and "&amp;TEXT(C95,"0")&amp;" still unverified. Highest priority: "&amp;C96&amp;". "&amp;IF(C93&gt;=3,"Several causes are verified across more than one 6M category, so no single counter-measure will close the gap. Take the verified causes to the Cause and Effect matrix (H-12) to rank them, then to FMEA (H-13) for the risk view.",IF(C95&gt;C93,"More causes remain unverified than verified: the fishbone is still a hypothesis list. Collect data on the unverified causes before designing any solution.","Verification is well advanced. Rank the verified causes and move to solution design."))</f>
        <v>The fishbone lists 12 possible causes: 5 verified, 3 ruled out with evidence and 4 still unverified. Highest priority: No numeric standard for the fill setting. Several causes are verified across more than one 6M category, so no single counter-measure will close the gap. Take the verified causes to the Cause and Effect matrix (H-12) to rank them, then to FMEA (H-13) for the risk view.</v>
      </c>
      <c r="D110" s="168"/>
      <c r="E110" s="168"/>
    </row>
    <row r="112" customFormat="false" ht="16.5" hidden="false" customHeight="true" outlineLevel="0" collapsed="false">
      <c r="B112" s="152" t="s">
        <v>1495</v>
      </c>
      <c r="C112" s="152" t="s">
        <v>1496</v>
      </c>
      <c r="D112" s="152" t="s">
        <v>1497</v>
      </c>
    </row>
    <row r="113" customFormat="false" ht="30.75" hidden="false" customHeight="true" outlineLevel="0" collapsed="false">
      <c r="B113" s="15" t="s">
        <v>11247</v>
      </c>
      <c r="C113" s="15" t="s">
        <v>11275</v>
      </c>
      <c r="D113" s="15" t="s">
        <v>11276</v>
      </c>
    </row>
    <row r="114" customFormat="false" ht="30.75" hidden="false" customHeight="true" outlineLevel="0" collapsed="false">
      <c r="B114" s="15" t="s">
        <v>11277</v>
      </c>
      <c r="C114" s="15" t="s">
        <v>1958</v>
      </c>
      <c r="D114" s="15" t="s">
        <v>11278</v>
      </c>
    </row>
    <row r="115" customFormat="false" ht="30.75" hidden="false" customHeight="true" outlineLevel="0" collapsed="false">
      <c r="B115" s="15" t="s">
        <v>11279</v>
      </c>
      <c r="C115" s="15" t="s">
        <v>11280</v>
      </c>
      <c r="D115" s="15" t="s">
        <v>11281</v>
      </c>
    </row>
    <row r="116" customFormat="false" ht="30.75" hidden="false" customHeight="true" outlineLevel="0" collapsed="false">
      <c r="B116" s="15" t="s">
        <v>11282</v>
      </c>
      <c r="C116" s="15" t="s">
        <v>7316</v>
      </c>
      <c r="D116" s="15" t="s">
        <v>11283</v>
      </c>
    </row>
    <row r="118" customFormat="false" ht="15" hidden="false" customHeight="true" outlineLevel="0" collapsed="false">
      <c r="B118" s="105" t="s">
        <v>1507</v>
      </c>
    </row>
    <row r="119" customFormat="false" ht="17.25" hidden="false" customHeight="true" outlineLevel="0" collapsed="false">
      <c r="B119" s="106" t="s">
        <v>11284</v>
      </c>
      <c r="C119" s="106"/>
      <c r="D119" s="106"/>
      <c r="E119" s="106"/>
    </row>
    <row r="120" customFormat="false" ht="17.25" hidden="false" customHeight="true" outlineLevel="0" collapsed="false">
      <c r="B120" s="106" t="s">
        <v>11285</v>
      </c>
      <c r="C120" s="106"/>
      <c r="D120" s="106"/>
      <c r="E120" s="106"/>
    </row>
    <row r="121" customFormat="false" ht="17.25" hidden="false" customHeight="true" outlineLevel="0" collapsed="false">
      <c r="B121" s="106" t="s">
        <v>11286</v>
      </c>
      <c r="C121" s="106"/>
      <c r="D121" s="106"/>
      <c r="E121" s="106"/>
    </row>
    <row r="122" customFormat="false" ht="17.25" hidden="false" customHeight="true" outlineLevel="0" collapsed="false">
      <c r="B122" s="106" t="s">
        <v>11287</v>
      </c>
      <c r="C122" s="106"/>
      <c r="D122" s="106"/>
      <c r="E122" s="106"/>
    </row>
    <row r="123" customFormat="false" ht="17.25" hidden="false" customHeight="true" outlineLevel="0" collapsed="false">
      <c r="B123" s="106" t="s">
        <v>11288</v>
      </c>
      <c r="C123" s="106"/>
      <c r="D123" s="106"/>
      <c r="E123" s="106"/>
    </row>
    <row r="125" customFormat="false" ht="15.75" hidden="false" customHeight="true" outlineLevel="0" collapsed="false">
      <c r="B125" s="103" t="s">
        <v>1513</v>
      </c>
      <c r="C125" s="8"/>
      <c r="D125" s="8"/>
      <c r="E125" s="8"/>
      <c r="F125" s="8"/>
      <c r="G125" s="8"/>
      <c r="H125" s="8"/>
      <c r="I125" s="8"/>
      <c r="J125" s="8"/>
      <c r="K125" s="8"/>
    </row>
    <row r="126" customFormat="false" ht="17.25" hidden="false" customHeight="true" outlineLevel="0" collapsed="false">
      <c r="B126" s="106" t="s">
        <v>6712</v>
      </c>
      <c r="C126" s="106"/>
      <c r="D126" s="106"/>
      <c r="E126" s="106"/>
      <c r="N126" s="169" t="s">
        <v>1515</v>
      </c>
    </row>
    <row r="127" customFormat="false" ht="44.25" hidden="false" customHeight="true" outlineLevel="0" collapsed="false">
      <c r="B127" s="106" t="s">
        <v>11289</v>
      </c>
      <c r="C127" s="106"/>
      <c r="D127" s="106"/>
      <c r="E127" s="106"/>
      <c r="N127" s="120" t="s">
        <v>11290</v>
      </c>
    </row>
    <row r="128" customFormat="false" ht="44.25" hidden="false" customHeight="true" outlineLevel="0" collapsed="false">
      <c r="B128" s="106" t="s">
        <v>11291</v>
      </c>
      <c r="C128" s="106"/>
      <c r="D128" s="106"/>
      <c r="E128" s="106"/>
      <c r="N128" s="120" t="s">
        <v>11292</v>
      </c>
    </row>
    <row r="129" customFormat="false" ht="30.75" hidden="false" customHeight="true" outlineLevel="0" collapsed="false">
      <c r="B129" s="106" t="s">
        <v>11293</v>
      </c>
      <c r="C129" s="106"/>
      <c r="D129" s="106"/>
      <c r="E129" s="106"/>
      <c r="N129" s="120" t="s">
        <v>11294</v>
      </c>
    </row>
    <row r="131" customFormat="false" ht="15.75" hidden="false" customHeight="true" outlineLevel="0" collapsed="false">
      <c r="B131" s="103" t="s">
        <v>1522</v>
      </c>
      <c r="C131" s="8"/>
      <c r="D131" s="8"/>
      <c r="E131" s="8"/>
      <c r="F131" s="8"/>
      <c r="G131" s="8"/>
      <c r="H131" s="8"/>
      <c r="I131" s="8"/>
      <c r="J131" s="8"/>
      <c r="K131" s="8"/>
    </row>
    <row r="132" customFormat="false" ht="30.75" hidden="false" customHeight="true" outlineLevel="0" collapsed="false">
      <c r="B132" s="152" t="s">
        <v>1523</v>
      </c>
      <c r="C132" s="152" t="s">
        <v>1524</v>
      </c>
      <c r="D132" s="152" t="s">
        <v>6719</v>
      </c>
    </row>
    <row r="133" customFormat="false" ht="16.5" hidden="false" customHeight="true" outlineLevel="0" collapsed="false">
      <c r="B133" s="170" t="s">
        <v>1070</v>
      </c>
      <c r="C133" s="170" t="s">
        <v>1078</v>
      </c>
      <c r="D133" s="170" t="s">
        <v>9811</v>
      </c>
    </row>
  </sheetData>
  <mergeCells count="42">
    <mergeCell ref="B2:J2"/>
    <mergeCell ref="D3:E3"/>
    <mergeCell ref="C6:D6"/>
    <mergeCell ref="C7:D7"/>
    <mergeCell ref="C8:D8"/>
    <mergeCell ref="B11:E13"/>
    <mergeCell ref="B14:E16"/>
    <mergeCell ref="B17:E19"/>
    <mergeCell ref="B20:E22"/>
    <mergeCell ref="B23:E24"/>
    <mergeCell ref="B25:E27"/>
    <mergeCell ref="B30:D30"/>
    <mergeCell ref="B31:D31"/>
    <mergeCell ref="B32:D32"/>
    <mergeCell ref="B33:D33"/>
    <mergeCell ref="B34:E34"/>
    <mergeCell ref="B43:E43"/>
    <mergeCell ref="B45:E45"/>
    <mergeCell ref="B47:E47"/>
    <mergeCell ref="B53:E53"/>
    <mergeCell ref="B54:E54"/>
    <mergeCell ref="B55:E55"/>
    <mergeCell ref="B56:E56"/>
    <mergeCell ref="B66:E67"/>
    <mergeCell ref="B70:E70"/>
    <mergeCell ref="C71:D71"/>
    <mergeCell ref="C72:D72"/>
    <mergeCell ref="C73:D73"/>
    <mergeCell ref="C74:D74"/>
    <mergeCell ref="B76:E76"/>
    <mergeCell ref="B99:E99"/>
    <mergeCell ref="B107:E107"/>
    <mergeCell ref="C110:E110"/>
    <mergeCell ref="B119:E119"/>
    <mergeCell ref="B120:E120"/>
    <mergeCell ref="B121:E121"/>
    <mergeCell ref="B122:E122"/>
    <mergeCell ref="B123:E123"/>
    <mergeCell ref="B126:E126"/>
    <mergeCell ref="B127:E127"/>
    <mergeCell ref="B128:E128"/>
    <mergeCell ref="B129:E129"/>
  </mergeCells>
  <hyperlinks>
    <hyperlink ref="B3" location="'N-03 Index DMAIC'!A1" display="← Back to Index"/>
    <hyperlink ref="E37" location="'H-01 Project Charter'!A1" display="H-01  Project Charter"/>
    <hyperlink ref="E38" location="'H-09 Stratification'!A1" display="H-09  Stratification"/>
    <hyperlink ref="E39" location="'E-22 Test Selection Roadmap'!A1" display="E-22  Test Selection Roadmap"/>
    <hyperlink ref="E40" location="'L-22 Gemba Walk'!A1" display="L-22  Gemba Walk"/>
    <hyperlink ref="B133" location="'H-09 Stratification'!A1" display="H-09  Stratification"/>
    <hyperlink ref="C133" location="'H-11 5 Whys'!A1" display="H-11  5 Whys"/>
    <hyperlink ref="D133" location="'H-12 Cause Effect Matrix'!A1" display="H-12  Cause and Effect Matri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4"/>
    <col collapsed="false" customWidth="true" hidden="false" outlineLevel="0" max="4" min="4" style="1" width="44"/>
    <col collapsed="false" customWidth="true" hidden="false" outlineLevel="0" max="5" min="5" style="1" width="46"/>
    <col collapsed="false" customWidth="true" hidden="false" outlineLevel="0" max="6" min="6" style="1" width="40"/>
    <col collapsed="false" customWidth="true" hidden="false" outlineLevel="0" max="7" min="7" style="1" width="14"/>
    <col collapsed="false" customWidth="true" hidden="false" outlineLevel="0" max="8" min="8" style="1" width="18"/>
    <col collapsed="false" customWidth="true" hidden="false" outlineLevel="0" max="10" min="9"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11295</v>
      </c>
      <c r="C2" s="148"/>
      <c r="D2" s="148"/>
      <c r="E2" s="148"/>
      <c r="F2" s="148"/>
      <c r="G2" s="148"/>
      <c r="H2" s="148"/>
      <c r="I2" s="148"/>
      <c r="J2" s="148"/>
      <c r="K2" s="149" t="s">
        <v>2864</v>
      </c>
    </row>
    <row r="3" customFormat="false" ht="42" hidden="false" customHeight="true" outlineLevel="0" collapsed="false">
      <c r="B3" s="150" t="s">
        <v>3</v>
      </c>
      <c r="D3" s="151" t="s">
        <v>11296</v>
      </c>
      <c r="E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11297</v>
      </c>
      <c r="D6" s="106"/>
      <c r="E6" s="106"/>
    </row>
    <row r="7" customFormat="false" ht="31.5" hidden="false" customHeight="true" outlineLevel="0" collapsed="false">
      <c r="B7" s="105" t="s">
        <v>1394</v>
      </c>
      <c r="C7" s="106" t="s">
        <v>11298</v>
      </c>
      <c r="D7" s="106"/>
      <c r="E7" s="106"/>
    </row>
    <row r="8" customFormat="false" ht="31.5" hidden="false" customHeight="true" outlineLevel="0" collapsed="false">
      <c r="B8" s="105" t="s">
        <v>1396</v>
      </c>
      <c r="C8" s="106" t="s">
        <v>11299</v>
      </c>
      <c r="D8" s="106"/>
      <c r="E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11300</v>
      </c>
      <c r="C11" s="106"/>
      <c r="D11" s="106"/>
      <c r="E11" s="106"/>
    </row>
    <row r="12" customFormat="false" ht="10.5" hidden="false" customHeight="true" outlineLevel="0" collapsed="false">
      <c r="B12" s="106"/>
      <c r="C12" s="106"/>
      <c r="D12" s="106"/>
      <c r="E12" s="106"/>
    </row>
    <row r="13" customFormat="false" ht="10.5" hidden="false" customHeight="true" outlineLevel="0" collapsed="false">
      <c r="B13" s="106"/>
      <c r="C13" s="106"/>
      <c r="D13" s="106"/>
      <c r="E13" s="106"/>
    </row>
    <row r="14" customFormat="false" ht="11.25" hidden="false" customHeight="true" outlineLevel="0" collapsed="false">
      <c r="B14" s="106" t="s">
        <v>11301</v>
      </c>
      <c r="C14" s="106"/>
      <c r="D14" s="106"/>
      <c r="E14" s="106"/>
    </row>
    <row r="15" customFormat="false" ht="11.25" hidden="false" customHeight="true" outlineLevel="0" collapsed="false">
      <c r="B15" s="106"/>
      <c r="C15" s="106"/>
      <c r="D15" s="106"/>
      <c r="E15" s="106"/>
    </row>
    <row r="16" customFormat="false" ht="11.25" hidden="false" customHeight="true" outlineLevel="0" collapsed="false">
      <c r="B16" s="106"/>
      <c r="C16" s="106"/>
      <c r="D16" s="106"/>
      <c r="E16" s="106"/>
    </row>
    <row r="17" customFormat="false" ht="11.25" hidden="false" customHeight="true" outlineLevel="0" collapsed="false">
      <c r="B17" s="106"/>
      <c r="C17" s="106"/>
      <c r="D17" s="106"/>
      <c r="E17" s="106"/>
    </row>
    <row r="18" customFormat="false" ht="17.25" hidden="false" customHeight="true" outlineLevel="0" collapsed="false">
      <c r="B18" s="106" t="s">
        <v>11302</v>
      </c>
      <c r="C18" s="106"/>
      <c r="D18" s="106"/>
      <c r="E18" s="106"/>
    </row>
    <row r="19" customFormat="false" ht="8.25" hidden="false" customHeight="true" outlineLevel="0" collapsed="false">
      <c r="B19" s="106" t="s">
        <v>11303</v>
      </c>
      <c r="C19" s="106"/>
      <c r="D19" s="106"/>
      <c r="E19" s="106"/>
    </row>
    <row r="20" customFormat="false" ht="8.25" hidden="false" customHeight="true" outlineLevel="0" collapsed="false">
      <c r="B20" s="106"/>
      <c r="C20" s="106"/>
      <c r="D20" s="106"/>
      <c r="E20" s="106"/>
    </row>
    <row r="21" customFormat="false" ht="10.5" hidden="false" customHeight="true" outlineLevel="0" collapsed="false">
      <c r="B21" s="106" t="s">
        <v>11304</v>
      </c>
      <c r="C21" s="106"/>
      <c r="D21" s="106"/>
      <c r="E21" s="106"/>
    </row>
    <row r="22" customFormat="false" ht="10.5" hidden="false" customHeight="true" outlineLevel="0" collapsed="false">
      <c r="B22" s="106"/>
      <c r="C22" s="106"/>
      <c r="D22" s="106"/>
      <c r="E22" s="106"/>
    </row>
    <row r="23" customFormat="false" ht="10.5" hidden="false" customHeight="true" outlineLevel="0" collapsed="false">
      <c r="B23" s="106"/>
      <c r="C23" s="106"/>
      <c r="D23" s="106"/>
      <c r="E23" s="106"/>
    </row>
    <row r="24" customFormat="false" ht="15.75" hidden="false" customHeight="true" outlineLevel="0" collapsed="false">
      <c r="B24" s="106" t="s">
        <v>11305</v>
      </c>
      <c r="C24" s="106"/>
      <c r="D24" s="106"/>
      <c r="E24" s="106"/>
    </row>
    <row r="25" customFormat="false" ht="15.75" hidden="false" customHeight="true" outlineLevel="0" collapsed="false">
      <c r="B25" s="106"/>
      <c r="C25" s="106"/>
      <c r="D25" s="106"/>
      <c r="E25" s="106"/>
    </row>
    <row r="26" customFormat="false" ht="15.75" hidden="false" customHeight="true" outlineLevel="0" collapsed="false">
      <c r="B26" s="106" t="s">
        <v>11306</v>
      </c>
      <c r="C26" s="106"/>
      <c r="D26" s="106"/>
      <c r="E26" s="106"/>
    </row>
    <row r="27" customFormat="false" ht="15.75" hidden="false" customHeight="true" outlineLevel="0" collapsed="false">
      <c r="B27" s="106"/>
      <c r="C27" s="106"/>
      <c r="D27" s="106"/>
      <c r="E27" s="106"/>
    </row>
    <row r="29" customFormat="false" ht="15.75" hidden="false" customHeight="true" outlineLevel="0" collapsed="false">
      <c r="B29" s="103" t="s">
        <v>1406</v>
      </c>
      <c r="C29" s="8"/>
      <c r="D29" s="8"/>
      <c r="E29" s="8"/>
      <c r="F29" s="8"/>
      <c r="G29" s="8"/>
      <c r="H29" s="8"/>
      <c r="I29" s="8"/>
      <c r="J29" s="8"/>
      <c r="K29" s="8"/>
    </row>
    <row r="30" customFormat="false" ht="17.25" hidden="false" customHeight="true" outlineLevel="0" collapsed="false">
      <c r="B30" s="107" t="s">
        <v>1407</v>
      </c>
      <c r="C30" s="107"/>
      <c r="D30" s="107"/>
      <c r="E30" s="105" t="s">
        <v>1408</v>
      </c>
    </row>
    <row r="31" customFormat="false" ht="44.25" hidden="false" customHeight="true" outlineLevel="0" collapsed="false">
      <c r="B31" s="106" t="s">
        <v>11307</v>
      </c>
      <c r="C31" s="106"/>
      <c r="D31" s="106"/>
      <c r="E31" s="122" t="s">
        <v>11308</v>
      </c>
    </row>
    <row r="32" customFormat="false" ht="30.75" hidden="false" customHeight="true" outlineLevel="0" collapsed="false">
      <c r="B32" s="106" t="s">
        <v>11309</v>
      </c>
      <c r="C32" s="106"/>
      <c r="D32" s="106"/>
      <c r="E32" s="122" t="s">
        <v>11310</v>
      </c>
    </row>
    <row r="33" customFormat="false" ht="30.75" hidden="false" customHeight="true" outlineLevel="0" collapsed="false">
      <c r="B33" s="106" t="s">
        <v>11311</v>
      </c>
      <c r="C33" s="106"/>
      <c r="D33" s="106"/>
      <c r="E33" s="122" t="s">
        <v>11312</v>
      </c>
    </row>
    <row r="34" customFormat="false" ht="17.25" hidden="false" customHeight="true" outlineLevel="0" collapsed="false">
      <c r="B34" s="106" t="s">
        <v>11313</v>
      </c>
      <c r="C34" s="106"/>
      <c r="D34" s="106"/>
      <c r="E34" s="106"/>
    </row>
    <row r="36" customFormat="false" ht="30.75" hidden="false" customHeight="true" outlineLevel="0" collapsed="false">
      <c r="B36" s="152" t="s">
        <v>6621</v>
      </c>
      <c r="C36" s="152" t="s">
        <v>1417</v>
      </c>
      <c r="D36" s="152" t="s">
        <v>1418</v>
      </c>
      <c r="E36" s="152" t="s">
        <v>1419</v>
      </c>
    </row>
    <row r="37" customFormat="false" ht="44.25" hidden="false" customHeight="true" outlineLevel="0" collapsed="false">
      <c r="B37" s="15" t="s">
        <v>11314</v>
      </c>
      <c r="C37" s="15" t="s">
        <v>11315</v>
      </c>
      <c r="D37" s="15" t="s">
        <v>11316</v>
      </c>
      <c r="E37" s="153" t="s">
        <v>1250</v>
      </c>
    </row>
    <row r="38" customFormat="false" ht="58.5" hidden="false" customHeight="true" outlineLevel="0" collapsed="false">
      <c r="B38" s="15" t="s">
        <v>11317</v>
      </c>
      <c r="C38" s="15" t="s">
        <v>11318</v>
      </c>
      <c r="D38" s="15" t="s">
        <v>11319</v>
      </c>
      <c r="E38" s="153" t="s">
        <v>6632</v>
      </c>
    </row>
    <row r="39" customFormat="false" ht="72" hidden="false" customHeight="true" outlineLevel="0" collapsed="false">
      <c r="B39" s="15" t="s">
        <v>11320</v>
      </c>
      <c r="C39" s="15" t="s">
        <v>11321</v>
      </c>
      <c r="D39" s="15" t="s">
        <v>11322</v>
      </c>
      <c r="E39" s="153" t="s">
        <v>8637</v>
      </c>
    </row>
    <row r="40" customFormat="false" ht="58.5" hidden="false" customHeight="true" outlineLevel="0" collapsed="false">
      <c r="B40" s="15" t="s">
        <v>11323</v>
      </c>
      <c r="C40" s="15" t="s">
        <v>11324</v>
      </c>
      <c r="D40" s="15" t="s">
        <v>11325</v>
      </c>
      <c r="E40" s="153" t="s">
        <v>7917</v>
      </c>
    </row>
    <row r="42" customFormat="false" ht="15.75" hidden="false" customHeight="true" outlineLevel="0" collapsed="false">
      <c r="B42" s="103" t="s">
        <v>1429</v>
      </c>
      <c r="C42" s="8"/>
      <c r="D42" s="8"/>
      <c r="E42" s="8"/>
      <c r="F42" s="8"/>
      <c r="G42" s="8"/>
      <c r="H42" s="8"/>
      <c r="I42" s="8"/>
      <c r="J42" s="8"/>
      <c r="K42" s="8"/>
    </row>
    <row r="43" customFormat="false" ht="17.25" hidden="false" customHeight="true" outlineLevel="0" collapsed="false">
      <c r="B43" s="106" t="s">
        <v>11326</v>
      </c>
      <c r="C43" s="106"/>
      <c r="D43" s="106"/>
      <c r="E43" s="106"/>
    </row>
    <row r="44" customFormat="false" ht="15" hidden="false" customHeight="true" outlineLevel="0" collapsed="false">
      <c r="B44" s="122"/>
    </row>
    <row r="45" customFormat="false" ht="17.25" hidden="false" customHeight="true" outlineLevel="0" collapsed="false">
      <c r="B45" s="106" t="s">
        <v>11327</v>
      </c>
      <c r="C45" s="106"/>
      <c r="D45" s="106"/>
      <c r="E45" s="106"/>
    </row>
    <row r="46" customFormat="false" ht="17.25" hidden="false" customHeight="true" outlineLevel="0" collapsed="false">
      <c r="B46" s="106" t="s">
        <v>11328</v>
      </c>
      <c r="C46" s="106"/>
      <c r="D46" s="106"/>
      <c r="E46" s="106"/>
    </row>
    <row r="47" customFormat="false" ht="17.25" hidden="false" customHeight="true" outlineLevel="0" collapsed="false">
      <c r="B47" s="106" t="s">
        <v>11329</v>
      </c>
      <c r="C47" s="106"/>
      <c r="D47" s="106"/>
      <c r="E47" s="106"/>
    </row>
    <row r="48" customFormat="false" ht="17.25" hidden="false" customHeight="true" outlineLevel="0" collapsed="false">
      <c r="B48" s="106" t="s">
        <v>11330</v>
      </c>
      <c r="C48" s="106"/>
      <c r="D48" s="106"/>
      <c r="E48" s="106"/>
    </row>
    <row r="49" customFormat="false" ht="17.25" hidden="false" customHeight="true" outlineLevel="0" collapsed="false">
      <c r="B49" s="106" t="s">
        <v>11331</v>
      </c>
      <c r="C49" s="106"/>
      <c r="D49" s="106"/>
      <c r="E49" s="106"/>
    </row>
    <row r="50" customFormat="false" ht="17.25" hidden="false" customHeight="true" outlineLevel="0" collapsed="false">
      <c r="B50" s="106" t="s">
        <v>11332</v>
      </c>
      <c r="C50" s="106"/>
      <c r="D50" s="106"/>
      <c r="E50" s="106"/>
    </row>
    <row r="51" customFormat="false" ht="17.25" hidden="false" customHeight="true" outlineLevel="0" collapsed="false">
      <c r="B51" s="106" t="s">
        <v>11333</v>
      </c>
      <c r="C51" s="106"/>
      <c r="D51" s="106"/>
      <c r="E51" s="106"/>
    </row>
    <row r="52" customFormat="false" ht="15" hidden="false" customHeight="true" outlineLevel="0" collapsed="false">
      <c r="B52" s="122"/>
    </row>
    <row r="53" customFormat="false" ht="17.25" hidden="false" customHeight="true" outlineLevel="0" collapsed="false">
      <c r="B53" s="106" t="s">
        <v>11334</v>
      </c>
      <c r="C53" s="106"/>
      <c r="D53" s="106"/>
      <c r="E53" s="106"/>
    </row>
    <row r="54" customFormat="false" ht="17.25" hidden="false" customHeight="true" outlineLevel="0" collapsed="false">
      <c r="B54" s="106" t="s">
        <v>11335</v>
      </c>
      <c r="C54" s="106"/>
      <c r="D54" s="106"/>
      <c r="E54" s="106"/>
    </row>
    <row r="56" customFormat="false" ht="15.75" hidden="false" customHeight="true" outlineLevel="0" collapsed="false">
      <c r="B56" s="103" t="s">
        <v>1437</v>
      </c>
      <c r="C56" s="8"/>
      <c r="D56" s="8"/>
      <c r="E56" s="8"/>
      <c r="F56" s="8"/>
      <c r="G56" s="8"/>
      <c r="H56" s="8"/>
      <c r="I56" s="8"/>
      <c r="J56" s="8"/>
      <c r="K56" s="8"/>
    </row>
    <row r="57" customFormat="false" ht="16.5" hidden="false" customHeight="true" outlineLevel="0" collapsed="false">
      <c r="B57" s="152" t="s">
        <v>1438</v>
      </c>
      <c r="C57" s="152" t="s">
        <v>1439</v>
      </c>
      <c r="D57" s="152" t="s">
        <v>1440</v>
      </c>
    </row>
    <row r="58" customFormat="false" ht="16.5" hidden="false" customHeight="true" outlineLevel="0" collapsed="false">
      <c r="B58" s="15" t="s">
        <v>11336</v>
      </c>
      <c r="C58" s="15" t="s">
        <v>11337</v>
      </c>
      <c r="D58" s="15" t="s">
        <v>11338</v>
      </c>
    </row>
    <row r="59" customFormat="false" ht="58.5" hidden="false" customHeight="true" outlineLevel="0" collapsed="false">
      <c r="B59" s="15" t="s">
        <v>9748</v>
      </c>
      <c r="C59" s="15" t="s">
        <v>11339</v>
      </c>
      <c r="D59" s="15" t="s">
        <v>11340</v>
      </c>
    </row>
    <row r="60" customFormat="false" ht="16.5" hidden="false" customHeight="true" outlineLevel="0" collapsed="false">
      <c r="B60" s="15" t="s">
        <v>1450</v>
      </c>
      <c r="C60" s="15" t="s">
        <v>1451</v>
      </c>
      <c r="D60" s="15" t="s">
        <v>11341</v>
      </c>
    </row>
    <row r="61" customFormat="false" ht="30.75" hidden="false" customHeight="true" outlineLevel="0" collapsed="false">
      <c r="B61" s="15" t="s">
        <v>11342</v>
      </c>
      <c r="C61" s="15" t="s">
        <v>11343</v>
      </c>
      <c r="D61" s="15" t="s">
        <v>11344</v>
      </c>
    </row>
    <row r="63" customFormat="false" ht="15.75" hidden="false" customHeight="true" outlineLevel="0" collapsed="false">
      <c r="B63" s="103" t="s">
        <v>1454</v>
      </c>
      <c r="C63" s="8"/>
      <c r="D63" s="8"/>
      <c r="E63" s="8"/>
      <c r="F63" s="8"/>
      <c r="G63" s="8"/>
      <c r="H63" s="8"/>
      <c r="I63" s="8"/>
      <c r="J63" s="8"/>
      <c r="K63" s="8"/>
    </row>
    <row r="64" customFormat="false" ht="10.5" hidden="false" customHeight="true" outlineLevel="0" collapsed="false">
      <c r="B64" s="106" t="s">
        <v>11345</v>
      </c>
      <c r="C64" s="106"/>
      <c r="D64" s="106"/>
      <c r="E64" s="106"/>
    </row>
    <row r="65" customFormat="false" ht="10.5" hidden="false" customHeight="true" outlineLevel="0" collapsed="false">
      <c r="B65" s="106"/>
      <c r="C65" s="106"/>
      <c r="D65" s="106"/>
      <c r="E65" s="106"/>
    </row>
    <row r="66" customFormat="false" ht="10.5" hidden="false" customHeight="true" outlineLevel="0" collapsed="false">
      <c r="B66" s="106"/>
      <c r="C66" s="106"/>
      <c r="D66" s="106"/>
      <c r="E66" s="106"/>
    </row>
    <row r="67" customFormat="false" ht="17.25" hidden="false" customHeight="true" outlineLevel="0" collapsed="false">
      <c r="B67" s="112" t="s">
        <v>85</v>
      </c>
      <c r="C67" s="113" t="s">
        <v>86</v>
      </c>
      <c r="D67" s="113"/>
    </row>
    <row r="69" customFormat="false" ht="17.25" hidden="false" customHeight="true" outlineLevel="0" collapsed="false">
      <c r="B69" s="107" t="s">
        <v>11346</v>
      </c>
      <c r="C69" s="107"/>
      <c r="D69" s="107"/>
      <c r="E69" s="107"/>
    </row>
    <row r="70" customFormat="false" ht="17.25" hidden="false" customHeight="true" outlineLevel="0" collapsed="false">
      <c r="B70" s="152" t="s">
        <v>8249</v>
      </c>
      <c r="C70" s="152" t="s">
        <v>29</v>
      </c>
      <c r="D70" s="152"/>
      <c r="E70" s="152"/>
    </row>
    <row r="71" customFormat="false" ht="17.25" hidden="false" customHeight="true" outlineLevel="0" collapsed="false">
      <c r="B71" s="15" t="s">
        <v>11347</v>
      </c>
      <c r="C71" s="177" t="s">
        <v>11348</v>
      </c>
      <c r="D71" s="177"/>
      <c r="E71" s="177"/>
    </row>
    <row r="72" customFormat="false" ht="17.25" hidden="false" customHeight="true" outlineLevel="0" collapsed="false">
      <c r="B72" s="15" t="s">
        <v>11349</v>
      </c>
      <c r="C72" s="177" t="s">
        <v>11350</v>
      </c>
      <c r="D72" s="177"/>
      <c r="E72" s="177"/>
    </row>
    <row r="73" customFormat="false" ht="17.25" hidden="false" customHeight="true" outlineLevel="0" collapsed="false">
      <c r="B73" s="15" t="s">
        <v>11351</v>
      </c>
      <c r="C73" s="177" t="s">
        <v>11352</v>
      </c>
      <c r="D73" s="177"/>
      <c r="E73" s="177"/>
    </row>
    <row r="75" customFormat="false" ht="15" hidden="false" customHeight="true" outlineLevel="0" collapsed="false">
      <c r="B75" s="105" t="s">
        <v>11353</v>
      </c>
    </row>
    <row r="76" customFormat="false" ht="16.5" hidden="false" customHeight="true" outlineLevel="0" collapsed="false">
      <c r="B76" s="152" t="s">
        <v>5293</v>
      </c>
      <c r="C76" s="152" t="s">
        <v>11354</v>
      </c>
      <c r="D76" s="152" t="s">
        <v>1375</v>
      </c>
      <c r="E76" s="152" t="s">
        <v>11355</v>
      </c>
      <c r="F76" s="152" t="s">
        <v>11356</v>
      </c>
    </row>
    <row r="77" customFormat="false" ht="58.5" hidden="false" customHeight="true" outlineLevel="0" collapsed="false">
      <c r="B77" s="15" t="s">
        <v>11357</v>
      </c>
      <c r="C77" s="177" t="s">
        <v>11358</v>
      </c>
      <c r="D77" s="177" t="s">
        <v>11359</v>
      </c>
      <c r="E77" s="177" t="s">
        <v>11360</v>
      </c>
      <c r="F77" s="155" t="n">
        <v>1</v>
      </c>
    </row>
    <row r="78" customFormat="false" ht="44.25" hidden="false" customHeight="true" outlineLevel="0" collapsed="false">
      <c r="B78" s="15" t="s">
        <v>11361</v>
      </c>
      <c r="C78" s="177" t="s">
        <v>11362</v>
      </c>
      <c r="D78" s="177" t="s">
        <v>11363</v>
      </c>
      <c r="E78" s="177" t="s">
        <v>11364</v>
      </c>
      <c r="F78" s="155" t="n">
        <v>1</v>
      </c>
    </row>
    <row r="79" customFormat="false" ht="58.5" hidden="false" customHeight="true" outlineLevel="0" collapsed="false">
      <c r="B79" s="15" t="s">
        <v>11365</v>
      </c>
      <c r="C79" s="177" t="s">
        <v>11366</v>
      </c>
      <c r="D79" s="177" t="s">
        <v>11367</v>
      </c>
      <c r="E79" s="177" t="s">
        <v>11368</v>
      </c>
      <c r="F79" s="155" t="n">
        <v>1</v>
      </c>
    </row>
    <row r="80" customFormat="false" ht="58.5" hidden="false" customHeight="true" outlineLevel="0" collapsed="false">
      <c r="B80" s="15" t="s">
        <v>11369</v>
      </c>
      <c r="C80" s="177" t="s">
        <v>11370</v>
      </c>
      <c r="D80" s="177" t="s">
        <v>11371</v>
      </c>
      <c r="E80" s="177" t="s">
        <v>11372</v>
      </c>
      <c r="F80" s="155" t="n">
        <v>1</v>
      </c>
    </row>
    <row r="81" customFormat="false" ht="30.75" hidden="false" customHeight="true" outlineLevel="0" collapsed="false">
      <c r="B81" s="15" t="s">
        <v>11373</v>
      </c>
      <c r="C81" s="177" t="s">
        <v>11374</v>
      </c>
      <c r="D81" s="177" t="s">
        <v>11375</v>
      </c>
      <c r="E81" s="177" t="s">
        <v>11376</v>
      </c>
      <c r="F81" s="155" t="n">
        <v>1</v>
      </c>
    </row>
    <row r="83" customFormat="false" ht="17.25" hidden="false" customHeight="true" outlineLevel="0" collapsed="false">
      <c r="B83" s="107" t="s">
        <v>11377</v>
      </c>
      <c r="C83" s="107"/>
      <c r="D83" s="107"/>
      <c r="E83" s="107"/>
    </row>
    <row r="84" customFormat="false" ht="16.5" hidden="false" customHeight="true" outlineLevel="0" collapsed="false">
      <c r="B84" s="152" t="s">
        <v>5293</v>
      </c>
      <c r="C84" s="152" t="s">
        <v>11354</v>
      </c>
      <c r="D84" s="152" t="s">
        <v>1375</v>
      </c>
      <c r="E84" s="152" t="s">
        <v>11355</v>
      </c>
      <c r="F84" s="152" t="s">
        <v>11356</v>
      </c>
    </row>
    <row r="85" customFormat="false" ht="58.5" hidden="false" customHeight="true" outlineLevel="0" collapsed="false">
      <c r="B85" s="15" t="s">
        <v>11357</v>
      </c>
      <c r="C85" s="177" t="s">
        <v>11378</v>
      </c>
      <c r="D85" s="177" t="s">
        <v>11379</v>
      </c>
      <c r="E85" s="177" t="s">
        <v>11380</v>
      </c>
      <c r="F85" s="155" t="n">
        <v>1</v>
      </c>
    </row>
    <row r="86" customFormat="false" ht="30.75" hidden="false" customHeight="true" outlineLevel="0" collapsed="false">
      <c r="B86" s="15" t="s">
        <v>11361</v>
      </c>
      <c r="C86" s="177" t="s">
        <v>11381</v>
      </c>
      <c r="D86" s="177" t="s">
        <v>11382</v>
      </c>
      <c r="E86" s="177" t="s">
        <v>11383</v>
      </c>
      <c r="F86" s="155" t="n">
        <v>1</v>
      </c>
    </row>
    <row r="87" customFormat="false" ht="30.75" hidden="false" customHeight="true" outlineLevel="0" collapsed="false">
      <c r="B87" s="15" t="s">
        <v>11365</v>
      </c>
      <c r="C87" s="177" t="s">
        <v>11384</v>
      </c>
      <c r="D87" s="177" t="s">
        <v>11385</v>
      </c>
      <c r="E87" s="177" t="s">
        <v>11386</v>
      </c>
      <c r="F87" s="155" t="n">
        <v>1</v>
      </c>
    </row>
    <row r="88" customFormat="false" ht="44.25" hidden="false" customHeight="true" outlineLevel="0" collapsed="false">
      <c r="B88" s="15" t="s">
        <v>11369</v>
      </c>
      <c r="C88" s="177" t="s">
        <v>11387</v>
      </c>
      <c r="D88" s="177" t="s">
        <v>11388</v>
      </c>
      <c r="E88" s="177" t="s">
        <v>11389</v>
      </c>
      <c r="F88" s="155" t="n">
        <v>1</v>
      </c>
    </row>
    <row r="89" customFormat="false" ht="30.75" hidden="false" customHeight="true" outlineLevel="0" collapsed="false">
      <c r="B89" s="15" t="s">
        <v>11373</v>
      </c>
      <c r="C89" s="177" t="s">
        <v>11390</v>
      </c>
      <c r="D89" s="177" t="s">
        <v>11391</v>
      </c>
      <c r="E89" s="177" t="s">
        <v>11392</v>
      </c>
      <c r="F89" s="155" t="n">
        <v>0</v>
      </c>
    </row>
    <row r="91" customFormat="false" ht="17.25" hidden="false" customHeight="true" outlineLevel="0" collapsed="false">
      <c r="B91" s="107" t="s">
        <v>11393</v>
      </c>
      <c r="C91" s="107"/>
      <c r="D91" s="107"/>
      <c r="E91" s="107"/>
    </row>
    <row r="92" customFormat="false" ht="30.75" hidden="false" customHeight="true" outlineLevel="0" collapsed="false">
      <c r="B92" s="152" t="s">
        <v>7841</v>
      </c>
      <c r="C92" s="152" t="s">
        <v>6914</v>
      </c>
      <c r="D92" s="152" t="s">
        <v>11394</v>
      </c>
      <c r="E92" s="152" t="s">
        <v>15</v>
      </c>
      <c r="F92" s="152" t="s">
        <v>11395</v>
      </c>
      <c r="G92" s="152" t="s">
        <v>11396</v>
      </c>
      <c r="H92" s="152"/>
    </row>
    <row r="93" customFormat="false" ht="58.5" hidden="false" customHeight="true" outlineLevel="0" collapsed="false">
      <c r="B93" s="15" t="s">
        <v>11397</v>
      </c>
      <c r="C93" s="177" t="s">
        <v>11398</v>
      </c>
      <c r="D93" s="177" t="s">
        <v>11399</v>
      </c>
      <c r="E93" s="177" t="s">
        <v>7029</v>
      </c>
      <c r="F93" s="180" t="n">
        <v>46218</v>
      </c>
      <c r="G93" s="155" t="n">
        <v>0</v>
      </c>
      <c r="H93" s="155"/>
    </row>
    <row r="94" customFormat="false" ht="58.5" hidden="false" customHeight="true" outlineLevel="0" collapsed="false">
      <c r="B94" s="15" t="s">
        <v>11400</v>
      </c>
      <c r="C94" s="177" t="s">
        <v>11401</v>
      </c>
      <c r="D94" s="177" t="s">
        <v>11402</v>
      </c>
      <c r="E94" s="177" t="s">
        <v>11403</v>
      </c>
      <c r="F94" s="180" t="n">
        <v>46280</v>
      </c>
      <c r="G94" s="155" t="n">
        <v>1</v>
      </c>
      <c r="H94" s="155"/>
    </row>
    <row r="95" customFormat="false" ht="72" hidden="false" customHeight="true" outlineLevel="0" collapsed="false">
      <c r="B95" s="15" t="s">
        <v>11400</v>
      </c>
      <c r="C95" s="177" t="s">
        <v>11404</v>
      </c>
      <c r="D95" s="177" t="s">
        <v>11405</v>
      </c>
      <c r="E95" s="177" t="s">
        <v>6920</v>
      </c>
      <c r="F95" s="180" t="n">
        <v>46264</v>
      </c>
      <c r="G95" s="155" t="n">
        <v>1</v>
      </c>
      <c r="H95" s="155"/>
    </row>
    <row r="96" customFormat="false" ht="86.25" hidden="false" customHeight="true" outlineLevel="0" collapsed="false">
      <c r="B96" s="15" t="s">
        <v>11400</v>
      </c>
      <c r="C96" s="177" t="s">
        <v>11406</v>
      </c>
      <c r="D96" s="177" t="s">
        <v>11407</v>
      </c>
      <c r="E96" s="177" t="s">
        <v>11408</v>
      </c>
      <c r="F96" s="180" t="n">
        <v>46254</v>
      </c>
      <c r="G96" s="155" t="n">
        <v>1</v>
      </c>
      <c r="H96" s="155"/>
    </row>
    <row r="97" customFormat="false" ht="58.5" hidden="false" customHeight="true" outlineLevel="0" collapsed="false">
      <c r="B97" s="15" t="s">
        <v>11400</v>
      </c>
      <c r="C97" s="177" t="s">
        <v>11409</v>
      </c>
      <c r="D97" s="177" t="s">
        <v>11410</v>
      </c>
      <c r="E97" s="177" t="s">
        <v>8881</v>
      </c>
      <c r="F97" s="180" t="n">
        <v>46242</v>
      </c>
      <c r="G97" s="155" t="n">
        <v>1</v>
      </c>
      <c r="H97" s="155"/>
    </row>
    <row r="98" customFormat="false" ht="72" hidden="false" customHeight="true" outlineLevel="0" collapsed="false">
      <c r="B98" s="15" t="s">
        <v>11411</v>
      </c>
      <c r="C98" s="177" t="s">
        <v>11412</v>
      </c>
      <c r="D98" s="177" t="s">
        <v>11413</v>
      </c>
      <c r="E98" s="177" t="s">
        <v>6925</v>
      </c>
      <c r="F98" s="180" t="n">
        <v>46325</v>
      </c>
      <c r="G98" s="155" t="n">
        <v>1</v>
      </c>
      <c r="H98" s="155"/>
    </row>
    <row r="100" customFormat="false" ht="16.5" hidden="false" customHeight="true" outlineLevel="0" collapsed="false">
      <c r="B100" s="152" t="s">
        <v>6689</v>
      </c>
      <c r="C100" s="152" t="s">
        <v>6654</v>
      </c>
      <c r="D100" s="152" t="s">
        <v>88</v>
      </c>
    </row>
    <row r="101" customFormat="false" ht="16.5" hidden="false" customHeight="true" outlineLevel="0" collapsed="false">
      <c r="B101" s="15" t="s">
        <v>11414</v>
      </c>
      <c r="C101" s="161" t="n">
        <f aca="false">SUM(F77:F81)</f>
        <v>5</v>
      </c>
      <c r="D101" s="15" t="s">
        <v>11415</v>
      </c>
    </row>
    <row r="102" customFormat="false" ht="16.5" hidden="false" customHeight="true" outlineLevel="0" collapsed="false">
      <c r="B102" s="15" t="s">
        <v>11416</v>
      </c>
      <c r="C102" s="161" t="n">
        <f aca="false">SUM(F85:F89)</f>
        <v>4</v>
      </c>
      <c r="D102" s="15" t="s">
        <v>11417</v>
      </c>
    </row>
    <row r="103" customFormat="false" ht="16.5" hidden="false" customHeight="true" outlineLevel="0" collapsed="false">
      <c r="B103" s="15" t="s">
        <v>11418</v>
      </c>
      <c r="C103" s="161" t="n">
        <f aca="false">COUNTA(C93:C98)</f>
        <v>6</v>
      </c>
      <c r="D103" s="15"/>
    </row>
    <row r="104" customFormat="false" ht="16.5" hidden="false" customHeight="true" outlineLevel="0" collapsed="false">
      <c r="B104" s="15" t="s">
        <v>11419</v>
      </c>
      <c r="C104" s="161" t="n">
        <f aca="false">SUM(G93:G98)</f>
        <v>5</v>
      </c>
      <c r="D104" s="15" t="s">
        <v>11420</v>
      </c>
    </row>
    <row r="105" customFormat="false" ht="30.75" hidden="false" customHeight="true" outlineLevel="0" collapsed="false">
      <c r="B105" s="15" t="s">
        <v>11421</v>
      </c>
      <c r="C105" s="161" t="n">
        <f aca="false">C103-C104</f>
        <v>1</v>
      </c>
      <c r="D105" s="15" t="s">
        <v>11422</v>
      </c>
    </row>
    <row r="106" customFormat="false" ht="44.25" hidden="false" customHeight="true" outlineLevel="0" collapsed="false">
      <c r="B106" s="15" t="s">
        <v>11423</v>
      </c>
      <c r="C106" s="167" t="str">
        <f aca="false">IF(AND(SUM(F77:F81)=5,SUM(F85:F89)=5),"YES — both chains fully verified","NO — at least one link is unverified")</f>
        <v>NO — at least one link is unverified</v>
      </c>
      <c r="D106" s="15" t="s">
        <v>11424</v>
      </c>
    </row>
    <row r="107" customFormat="false" ht="28.5" hidden="false" customHeight="true" outlineLevel="0" collapsed="false">
      <c r="B107" s="182" t="s">
        <v>11425</v>
      </c>
      <c r="C107" s="182"/>
      <c r="D107" s="182"/>
      <c r="E107" s="182"/>
    </row>
    <row r="109" customFormat="false" ht="15.75" hidden="false" customHeight="true" outlineLevel="0" collapsed="false">
      <c r="B109" s="103" t="s">
        <v>1493</v>
      </c>
      <c r="C109" s="8"/>
      <c r="D109" s="8"/>
      <c r="E109" s="8"/>
      <c r="F109" s="8"/>
      <c r="G109" s="8"/>
      <c r="H109" s="8"/>
      <c r="I109" s="8"/>
      <c r="J109" s="8"/>
      <c r="K109" s="8"/>
    </row>
    <row r="110" customFormat="false" ht="49.5" hidden="false" customHeight="true" outlineLevel="0" collapsed="false">
      <c r="B110" s="105" t="s">
        <v>1494</v>
      </c>
      <c r="C110" s="168" t="str">
        <f aca="false">"Branch 1 has "&amp;TEXT(C101,"0")&amp;"/5 links verified and branch 2 has "&amp;TEXT(C102,"0")&amp;"/5. "&amp;TEXT(C103,"0")&amp;" counter-measures are defined, of which "&amp;TEXT(C104,"0")&amp;" prevent recurrence and "&amp;TEXT(C105,"0")&amp;" are containment only. "&amp;IF(C106="YES — both chains fully verified","Both chains are evidence-based, and the two branches show why a single why-chain is rarely enough: one explains why the defect occurred, the other why it was not detected for 90 minutes. Both root causes need a counter-measure.","At least one link is asserted rather than verified. Close that link with evidence before committing to the counter-measures that depend on it.")</f>
        <v>Branch 1 has 5/5 links verified and branch 2 has 4/5. 6 counter-measures are defined, of which 5 prevent recurrence and 1 are containment only. At least one link is asserted rather than verified. Close that link with evidence before committing to the counter-measures that depend on it.</v>
      </c>
      <c r="D110" s="168"/>
      <c r="E110" s="168"/>
    </row>
    <row r="112" customFormat="false" ht="16.5" hidden="false" customHeight="true" outlineLevel="0" collapsed="false">
      <c r="B112" s="152" t="s">
        <v>1495</v>
      </c>
      <c r="C112" s="152" t="s">
        <v>1496</v>
      </c>
      <c r="D112" s="152" t="s">
        <v>1497</v>
      </c>
    </row>
    <row r="113" customFormat="false" ht="30.75" hidden="false" customHeight="true" outlineLevel="0" collapsed="false">
      <c r="B113" s="15" t="s">
        <v>11426</v>
      </c>
      <c r="C113" s="15" t="s">
        <v>1958</v>
      </c>
      <c r="D113" s="15" t="s">
        <v>11427</v>
      </c>
    </row>
    <row r="114" customFormat="false" ht="58.5" hidden="false" customHeight="true" outlineLevel="0" collapsed="false">
      <c r="B114" s="15" t="s">
        <v>11428</v>
      </c>
      <c r="C114" s="15" t="s">
        <v>11429</v>
      </c>
      <c r="D114" s="15" t="s">
        <v>11430</v>
      </c>
    </row>
    <row r="115" customFormat="false" ht="44.25" hidden="false" customHeight="true" outlineLevel="0" collapsed="false">
      <c r="B115" s="15" t="s">
        <v>11431</v>
      </c>
      <c r="C115" s="15" t="s">
        <v>11432</v>
      </c>
      <c r="D115" s="15" t="s">
        <v>11433</v>
      </c>
    </row>
    <row r="116" customFormat="false" ht="30.75" hidden="false" customHeight="true" outlineLevel="0" collapsed="false">
      <c r="B116" s="15" t="s">
        <v>11434</v>
      </c>
      <c r="C116" s="15" t="s">
        <v>11435</v>
      </c>
      <c r="D116" s="15" t="s">
        <v>11420</v>
      </c>
    </row>
    <row r="117" customFormat="false" ht="30.75" hidden="false" customHeight="true" outlineLevel="0" collapsed="false">
      <c r="B117" s="15" t="s">
        <v>11436</v>
      </c>
      <c r="C117" s="15" t="s">
        <v>9540</v>
      </c>
      <c r="D117" s="15" t="s">
        <v>11437</v>
      </c>
    </row>
    <row r="119" customFormat="false" ht="15" hidden="false" customHeight="true" outlineLevel="0" collapsed="false">
      <c r="B119" s="105" t="s">
        <v>1507</v>
      </c>
    </row>
    <row r="120" customFormat="false" ht="17.25" hidden="false" customHeight="true" outlineLevel="0" collapsed="false">
      <c r="B120" s="106" t="s">
        <v>11438</v>
      </c>
      <c r="C120" s="106"/>
      <c r="D120" s="106"/>
      <c r="E120" s="106"/>
    </row>
    <row r="121" customFormat="false" ht="17.25" hidden="false" customHeight="true" outlineLevel="0" collapsed="false">
      <c r="B121" s="106" t="s">
        <v>11439</v>
      </c>
      <c r="C121" s="106"/>
      <c r="D121" s="106"/>
      <c r="E121" s="106"/>
    </row>
    <row r="122" customFormat="false" ht="17.25" hidden="false" customHeight="true" outlineLevel="0" collapsed="false">
      <c r="B122" s="106" t="s">
        <v>11440</v>
      </c>
      <c r="C122" s="106"/>
      <c r="D122" s="106"/>
      <c r="E122" s="106"/>
    </row>
    <row r="123" customFormat="false" ht="17.25" hidden="false" customHeight="true" outlineLevel="0" collapsed="false">
      <c r="B123" s="106" t="s">
        <v>11441</v>
      </c>
      <c r="C123" s="106"/>
      <c r="D123" s="106"/>
      <c r="E123" s="106"/>
    </row>
    <row r="124" customFormat="false" ht="17.25" hidden="false" customHeight="true" outlineLevel="0" collapsed="false">
      <c r="B124" s="106" t="s">
        <v>11442</v>
      </c>
      <c r="C124" s="106"/>
      <c r="D124" s="106"/>
      <c r="E124" s="106"/>
    </row>
    <row r="126" customFormat="false" ht="15.75" hidden="false" customHeight="true" outlineLevel="0" collapsed="false">
      <c r="B126" s="103" t="s">
        <v>1513</v>
      </c>
      <c r="C126" s="8"/>
      <c r="D126" s="8"/>
      <c r="E126" s="8"/>
      <c r="F126" s="8"/>
      <c r="G126" s="8"/>
      <c r="H126" s="8"/>
      <c r="I126" s="8"/>
      <c r="J126" s="8"/>
      <c r="K126" s="8"/>
    </row>
    <row r="127" customFormat="false" ht="17.25" hidden="false" customHeight="true" outlineLevel="0" collapsed="false">
      <c r="B127" s="106" t="s">
        <v>6712</v>
      </c>
      <c r="C127" s="106"/>
      <c r="D127" s="106"/>
      <c r="E127" s="106"/>
      <c r="N127" s="169" t="s">
        <v>1515</v>
      </c>
    </row>
    <row r="128" customFormat="false" ht="44.25" hidden="false" customHeight="true" outlineLevel="0" collapsed="false">
      <c r="B128" s="106" t="s">
        <v>11443</v>
      </c>
      <c r="C128" s="106"/>
      <c r="D128" s="106"/>
      <c r="E128" s="106"/>
      <c r="N128" s="120" t="s">
        <v>11444</v>
      </c>
    </row>
    <row r="129" customFormat="false" ht="44.25" hidden="false" customHeight="true" outlineLevel="0" collapsed="false">
      <c r="B129" s="106" t="s">
        <v>11445</v>
      </c>
      <c r="C129" s="106"/>
      <c r="D129" s="106"/>
      <c r="E129" s="106"/>
      <c r="N129" s="120" t="s">
        <v>11446</v>
      </c>
    </row>
    <row r="130" customFormat="false" ht="44.25" hidden="false" customHeight="true" outlineLevel="0" collapsed="false">
      <c r="B130" s="106" t="s">
        <v>11447</v>
      </c>
      <c r="C130" s="106"/>
      <c r="D130" s="106"/>
      <c r="E130" s="106"/>
      <c r="N130" s="120" t="s">
        <v>11448</v>
      </c>
    </row>
    <row r="132" customFormat="false" ht="15.75" hidden="false" customHeight="true" outlineLevel="0" collapsed="false">
      <c r="B132" s="103" t="s">
        <v>1522</v>
      </c>
      <c r="C132" s="8"/>
      <c r="D132" s="8"/>
      <c r="E132" s="8"/>
      <c r="F132" s="8"/>
      <c r="G132" s="8"/>
      <c r="H132" s="8"/>
      <c r="I132" s="8"/>
      <c r="J132" s="8"/>
      <c r="K132" s="8"/>
    </row>
    <row r="133" customFormat="false" ht="16.5" hidden="false" customHeight="true" outlineLevel="0" collapsed="false">
      <c r="B133" s="152" t="s">
        <v>1523</v>
      </c>
      <c r="C133" s="152" t="s">
        <v>1524</v>
      </c>
      <c r="D133" s="152" t="s">
        <v>6719</v>
      </c>
    </row>
    <row r="134" customFormat="false" ht="44.25" hidden="false" customHeight="true" outlineLevel="0" collapsed="false">
      <c r="B134" s="170" t="s">
        <v>9701</v>
      </c>
      <c r="C134" s="170" t="s">
        <v>1167</v>
      </c>
      <c r="D134" s="170" t="s">
        <v>7917</v>
      </c>
    </row>
  </sheetData>
  <mergeCells count="54">
    <mergeCell ref="B2:J2"/>
    <mergeCell ref="D3:E3"/>
    <mergeCell ref="C6:E6"/>
    <mergeCell ref="C7:E7"/>
    <mergeCell ref="C8:E8"/>
    <mergeCell ref="B11:E13"/>
    <mergeCell ref="B14:E17"/>
    <mergeCell ref="B18:E18"/>
    <mergeCell ref="B19:E20"/>
    <mergeCell ref="B21:E23"/>
    <mergeCell ref="B24:E25"/>
    <mergeCell ref="B26:E27"/>
    <mergeCell ref="B30:D30"/>
    <mergeCell ref="B31:D31"/>
    <mergeCell ref="B32:D32"/>
    <mergeCell ref="B33:D33"/>
    <mergeCell ref="B34:E34"/>
    <mergeCell ref="B43:E43"/>
    <mergeCell ref="B45:E45"/>
    <mergeCell ref="B46:E46"/>
    <mergeCell ref="B47:E47"/>
    <mergeCell ref="B48:E48"/>
    <mergeCell ref="B49:E49"/>
    <mergeCell ref="B50:E50"/>
    <mergeCell ref="B51:E51"/>
    <mergeCell ref="B53:E53"/>
    <mergeCell ref="B54:E54"/>
    <mergeCell ref="B64:E66"/>
    <mergeCell ref="C67:D67"/>
    <mergeCell ref="B69:E69"/>
    <mergeCell ref="C70:E70"/>
    <mergeCell ref="C71:E71"/>
    <mergeCell ref="C72:E72"/>
    <mergeCell ref="C73:E73"/>
    <mergeCell ref="B83:E83"/>
    <mergeCell ref="B91:E91"/>
    <mergeCell ref="G92:H92"/>
    <mergeCell ref="G93:H93"/>
    <mergeCell ref="G94:H94"/>
    <mergeCell ref="G95:H95"/>
    <mergeCell ref="G96:H96"/>
    <mergeCell ref="G97:H97"/>
    <mergeCell ref="G98:H98"/>
    <mergeCell ref="B107:E107"/>
    <mergeCell ref="C110:E110"/>
    <mergeCell ref="B120:E120"/>
    <mergeCell ref="B121:E121"/>
    <mergeCell ref="B122:E122"/>
    <mergeCell ref="B123:E123"/>
    <mergeCell ref="B124:E124"/>
    <mergeCell ref="B127:E127"/>
    <mergeCell ref="B128:E128"/>
    <mergeCell ref="B129:E129"/>
    <mergeCell ref="B130:E130"/>
  </mergeCells>
  <hyperlinks>
    <hyperlink ref="B3" location="'N-03 Index DMAIC'!A1" display="← Back to Index"/>
    <hyperlink ref="E37" location="'H-01 Project Charter'!A1" display="H-01  Project Charter"/>
    <hyperlink ref="E38" location="'H-05 Check Sheets'!A1" display="H-05  Check Sheets"/>
    <hyperlink ref="E39" location="'H-13 FMEA AIAG-VDA'!A1" display="H-13  FMEA (AIAG-VDA)"/>
    <hyperlink ref="E40" location="'L-17 Poka-Yoke'!A1" display="L-17  Poka-Yoke"/>
    <hyperlink ref="B134" location="'H-10 Ishikawa'!A1" display="H-10  Ishikawa / Fishbone"/>
    <hyperlink ref="C134" location="'H-15 8D Problem Solving'!A1" display="H-15  8D Problem Solving"/>
    <hyperlink ref="D134" location="'L-17 Poka-Yoke'!A1" display="L-17  Poka-Yok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0"/>
    <col collapsed="false" customWidth="true" hidden="false" outlineLevel="0" max="4" min="4" style="1" width="16"/>
    <col collapsed="false" customWidth="true" hidden="false" outlineLevel="0" max="5" min="5" style="1" width="14"/>
    <col collapsed="false" customWidth="true" hidden="false" outlineLevel="0" max="6" min="6" style="1" width="16"/>
    <col collapsed="false" customWidth="true" hidden="false" outlineLevel="0" max="7" min="7" style="1" width="14"/>
    <col collapsed="false" customWidth="true" hidden="false" outlineLevel="0" max="8" min="8" style="1" width="15"/>
    <col collapsed="false" customWidth="true" hidden="false" outlineLevel="0" max="9" min="9" style="1" width="12"/>
    <col collapsed="false" customWidth="true" hidden="false" outlineLevel="0" max="10" min="10" style="1" width="10"/>
    <col collapsed="false" customWidth="true" hidden="false" outlineLevel="0" max="11" min="11" style="1" width="34"/>
    <col collapsed="false" customWidth="true" hidden="false" outlineLevel="0" max="12" min="12" style="1" width="28"/>
    <col collapsed="false" customWidth="true" hidden="false" outlineLevel="0" max="13" min="13" style="1" width="18"/>
    <col collapsed="false" customWidth="true" hidden="false" outlineLevel="0" max="14" min="14" style="1" width="95"/>
  </cols>
  <sheetData>
    <row r="1" customFormat="false" ht="15" hidden="false" customHeight="true" outlineLevel="0" collapsed="false">
      <c r="A1" s="147" t="s">
        <v>0</v>
      </c>
    </row>
    <row r="2" customFormat="false" ht="22.5" hidden="false" customHeight="true" outlineLevel="0" collapsed="false">
      <c r="B2" s="148" t="s">
        <v>11449</v>
      </c>
      <c r="C2" s="148"/>
      <c r="D2" s="148"/>
      <c r="E2" s="148"/>
      <c r="F2" s="148"/>
      <c r="G2" s="148"/>
      <c r="H2" s="148"/>
      <c r="I2" s="148"/>
      <c r="J2" s="148"/>
      <c r="K2" s="149" t="s">
        <v>2864</v>
      </c>
    </row>
    <row r="3" customFormat="false" ht="42" hidden="false" customHeight="true" outlineLevel="0" collapsed="false">
      <c r="B3" s="150" t="s">
        <v>3</v>
      </c>
      <c r="D3" s="151" t="s">
        <v>11450</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11451</v>
      </c>
      <c r="D6" s="106"/>
      <c r="E6" s="106"/>
    </row>
    <row r="7" customFormat="false" ht="31.5" hidden="false" customHeight="true" outlineLevel="0" collapsed="false">
      <c r="B7" s="105" t="s">
        <v>1394</v>
      </c>
      <c r="C7" s="106" t="s">
        <v>11452</v>
      </c>
      <c r="D7" s="106"/>
      <c r="E7" s="106"/>
    </row>
    <row r="8" customFormat="false" ht="31.5" hidden="false" customHeight="true" outlineLevel="0" collapsed="false">
      <c r="B8" s="105" t="s">
        <v>1396</v>
      </c>
      <c r="C8" s="106" t="s">
        <v>11453</v>
      </c>
      <c r="D8" s="106"/>
      <c r="E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11454</v>
      </c>
      <c r="C11" s="106"/>
      <c r="D11" s="106"/>
      <c r="E11" s="106"/>
      <c r="F11" s="106"/>
      <c r="G11" s="106"/>
      <c r="H11" s="106"/>
    </row>
    <row r="12" customFormat="false" ht="10.5" hidden="false" customHeight="true" outlineLevel="0" collapsed="false">
      <c r="B12" s="106"/>
      <c r="C12" s="106"/>
      <c r="D12" s="106"/>
      <c r="E12" s="106"/>
      <c r="F12" s="106"/>
      <c r="G12" s="106"/>
      <c r="H12" s="106"/>
    </row>
    <row r="13" customFormat="false" ht="10.5" hidden="false" customHeight="true" outlineLevel="0" collapsed="false">
      <c r="B13" s="106"/>
      <c r="C13" s="106"/>
      <c r="D13" s="106"/>
      <c r="E13" s="106"/>
      <c r="F13" s="106"/>
      <c r="G13" s="106"/>
      <c r="H13" s="106"/>
    </row>
    <row r="14" customFormat="false" ht="10.5" hidden="false" customHeight="true" outlineLevel="0" collapsed="false">
      <c r="B14" s="106" t="s">
        <v>11455</v>
      </c>
      <c r="C14" s="106"/>
      <c r="D14" s="106"/>
      <c r="E14" s="106"/>
      <c r="F14" s="106"/>
      <c r="G14" s="106"/>
      <c r="H14" s="106"/>
    </row>
    <row r="15" customFormat="false" ht="10.5" hidden="false" customHeight="true" outlineLevel="0" collapsed="false">
      <c r="B15" s="106"/>
      <c r="C15" s="106"/>
      <c r="D15" s="106"/>
      <c r="E15" s="106"/>
      <c r="F15" s="106"/>
      <c r="G15" s="106"/>
      <c r="H15" s="106"/>
    </row>
    <row r="16" customFormat="false" ht="10.5" hidden="false" customHeight="true" outlineLevel="0" collapsed="false">
      <c r="B16" s="106"/>
      <c r="C16" s="106"/>
      <c r="D16" s="106"/>
      <c r="E16" s="106"/>
      <c r="F16" s="106"/>
      <c r="G16" s="106"/>
      <c r="H16" s="106"/>
    </row>
    <row r="17" customFormat="false" ht="10.5" hidden="false" customHeight="true" outlineLevel="0" collapsed="false">
      <c r="B17" s="106" t="s">
        <v>11456</v>
      </c>
      <c r="C17" s="106"/>
      <c r="D17" s="106"/>
      <c r="E17" s="106"/>
      <c r="F17" s="106"/>
      <c r="G17" s="106"/>
      <c r="H17" s="106"/>
    </row>
    <row r="18" customFormat="false" ht="10.5" hidden="false" customHeight="true" outlineLevel="0" collapsed="false">
      <c r="B18" s="106"/>
      <c r="C18" s="106"/>
      <c r="D18" s="106"/>
      <c r="E18" s="106"/>
      <c r="F18" s="106"/>
      <c r="G18" s="106"/>
      <c r="H18" s="106"/>
    </row>
    <row r="19" customFormat="false" ht="10.5" hidden="false" customHeight="true" outlineLevel="0" collapsed="false">
      <c r="B19" s="106"/>
      <c r="C19" s="106"/>
      <c r="D19" s="106"/>
      <c r="E19" s="106"/>
      <c r="F19" s="106"/>
      <c r="G19" s="106"/>
      <c r="H19" s="106"/>
    </row>
    <row r="20" customFormat="false" ht="10.5" hidden="false" customHeight="true" outlineLevel="0" collapsed="false">
      <c r="B20" s="106" t="s">
        <v>11457</v>
      </c>
      <c r="C20" s="106"/>
      <c r="D20" s="106"/>
      <c r="E20" s="106"/>
      <c r="F20" s="106"/>
      <c r="G20" s="106"/>
      <c r="H20" s="106"/>
    </row>
    <row r="21" customFormat="false" ht="10.5" hidden="false" customHeight="true" outlineLevel="0" collapsed="false">
      <c r="B21" s="106"/>
      <c r="C21" s="106"/>
      <c r="D21" s="106"/>
      <c r="E21" s="106"/>
      <c r="F21" s="106"/>
      <c r="G21" s="106"/>
      <c r="H21" s="106"/>
    </row>
    <row r="22" customFormat="false" ht="10.5" hidden="false" customHeight="true" outlineLevel="0" collapsed="false">
      <c r="B22" s="106"/>
      <c r="C22" s="106"/>
      <c r="D22" s="106"/>
      <c r="E22" s="106"/>
      <c r="F22" s="106"/>
      <c r="G22" s="106"/>
      <c r="H22" s="106"/>
    </row>
    <row r="23" customFormat="false" ht="10.5" hidden="false" customHeight="true" outlineLevel="0" collapsed="false">
      <c r="B23" s="106" t="s">
        <v>11458</v>
      </c>
      <c r="C23" s="106"/>
      <c r="D23" s="106"/>
      <c r="E23" s="106"/>
      <c r="F23" s="106"/>
      <c r="G23" s="106"/>
      <c r="H23" s="106"/>
    </row>
    <row r="24" customFormat="false" ht="10.5" hidden="false" customHeight="true" outlineLevel="0" collapsed="false">
      <c r="B24" s="106"/>
      <c r="C24" s="106"/>
      <c r="D24" s="106"/>
      <c r="E24" s="106"/>
      <c r="F24" s="106"/>
      <c r="G24" s="106"/>
      <c r="H24" s="106"/>
    </row>
    <row r="25" customFormat="false" ht="10.5" hidden="false" customHeight="true" outlineLevel="0" collapsed="false">
      <c r="B25" s="106"/>
      <c r="C25" s="106"/>
      <c r="D25" s="106"/>
      <c r="E25" s="106"/>
      <c r="F25" s="106"/>
      <c r="G25" s="106"/>
      <c r="H25" s="106"/>
    </row>
    <row r="27" customFormat="false" ht="15.75" hidden="false" customHeight="true" outlineLevel="0" collapsed="false">
      <c r="B27" s="103" t="s">
        <v>1406</v>
      </c>
      <c r="C27" s="8"/>
      <c r="D27" s="8"/>
      <c r="E27" s="8"/>
      <c r="F27" s="8"/>
      <c r="G27" s="8"/>
      <c r="H27" s="8"/>
      <c r="I27" s="8"/>
      <c r="J27" s="8"/>
      <c r="K27" s="8"/>
    </row>
    <row r="28" customFormat="false" ht="17.25" hidden="false" customHeight="true" outlineLevel="0" collapsed="false">
      <c r="B28" s="107" t="s">
        <v>1407</v>
      </c>
      <c r="C28" s="107"/>
      <c r="D28" s="107"/>
      <c r="E28" s="107" t="s">
        <v>1408</v>
      </c>
      <c r="F28" s="107"/>
      <c r="G28" s="107"/>
      <c r="H28" s="107"/>
    </row>
    <row r="29" customFormat="false" ht="31.5" hidden="false" customHeight="true" outlineLevel="0" collapsed="false">
      <c r="B29" s="106" t="s">
        <v>11459</v>
      </c>
      <c r="C29" s="106"/>
      <c r="D29" s="106"/>
      <c r="E29" s="106" t="s">
        <v>11460</v>
      </c>
      <c r="F29" s="106"/>
      <c r="G29" s="106"/>
      <c r="H29" s="106"/>
    </row>
    <row r="30" customFormat="false" ht="31.5" hidden="false" customHeight="true" outlineLevel="0" collapsed="false">
      <c r="B30" s="106" t="s">
        <v>11461</v>
      </c>
      <c r="C30" s="106"/>
      <c r="D30" s="106"/>
      <c r="E30" s="106" t="s">
        <v>11462</v>
      </c>
      <c r="F30" s="106"/>
      <c r="G30" s="106"/>
      <c r="H30" s="106"/>
    </row>
    <row r="31" customFormat="false" ht="17.25" hidden="false" customHeight="true" outlineLevel="0" collapsed="false">
      <c r="B31" s="106" t="s">
        <v>11463</v>
      </c>
      <c r="C31" s="106"/>
      <c r="D31" s="106"/>
      <c r="E31" s="106" t="s">
        <v>11464</v>
      </c>
      <c r="F31" s="106"/>
      <c r="G31" s="106"/>
      <c r="H31" s="106"/>
    </row>
    <row r="32" customFormat="false" ht="17.25" hidden="false" customHeight="true" outlineLevel="0" collapsed="false">
      <c r="B32" s="106" t="s">
        <v>11465</v>
      </c>
      <c r="C32" s="106"/>
      <c r="D32" s="106"/>
      <c r="E32" s="106"/>
      <c r="F32" s="106"/>
      <c r="G32" s="106"/>
      <c r="H32" s="106"/>
    </row>
    <row r="34" customFormat="false" ht="30.75" hidden="false" customHeight="true" outlineLevel="0" collapsed="false">
      <c r="B34" s="152" t="s">
        <v>6621</v>
      </c>
      <c r="C34" s="152" t="s">
        <v>1417</v>
      </c>
      <c r="D34" s="152" t="s">
        <v>1418</v>
      </c>
      <c r="E34" s="152" t="s">
        <v>1419</v>
      </c>
      <c r="F34" s="152"/>
    </row>
    <row r="35" customFormat="false" ht="58.5" hidden="false" customHeight="true" outlineLevel="0" collapsed="false">
      <c r="B35" s="15" t="s">
        <v>11466</v>
      </c>
      <c r="C35" s="15" t="s">
        <v>11467</v>
      </c>
      <c r="D35" s="15" t="s">
        <v>11468</v>
      </c>
      <c r="E35" s="153" t="s">
        <v>10132</v>
      </c>
      <c r="F35" s="153"/>
    </row>
    <row r="36" customFormat="false" ht="72" hidden="false" customHeight="true" outlineLevel="0" collapsed="false">
      <c r="B36" s="15" t="s">
        <v>11469</v>
      </c>
      <c r="C36" s="15" t="s">
        <v>11470</v>
      </c>
      <c r="D36" s="15" t="s">
        <v>11471</v>
      </c>
      <c r="E36" s="153" t="s">
        <v>9701</v>
      </c>
      <c r="F36" s="153"/>
    </row>
    <row r="37" customFormat="false" ht="72" hidden="false" customHeight="true" outlineLevel="0" collapsed="false">
      <c r="B37" s="15" t="s">
        <v>11472</v>
      </c>
      <c r="C37" s="15" t="s">
        <v>11473</v>
      </c>
      <c r="D37" s="15" t="s">
        <v>11474</v>
      </c>
      <c r="E37" s="153" t="s">
        <v>1023</v>
      </c>
      <c r="F37" s="153"/>
    </row>
    <row r="38" customFormat="false" ht="44.25" hidden="false" customHeight="true" outlineLevel="0" collapsed="false">
      <c r="B38" s="15" t="s">
        <v>11475</v>
      </c>
      <c r="C38" s="15" t="s">
        <v>11476</v>
      </c>
      <c r="D38" s="15" t="s">
        <v>11477</v>
      </c>
      <c r="E38" s="153" t="s">
        <v>7921</v>
      </c>
      <c r="F38" s="153"/>
    </row>
    <row r="40" customFormat="false" ht="15.75" hidden="false" customHeight="true" outlineLevel="0" collapsed="false">
      <c r="B40" s="103" t="s">
        <v>1429</v>
      </c>
      <c r="C40" s="8"/>
      <c r="D40" s="8"/>
      <c r="E40" s="8"/>
      <c r="F40" s="8"/>
      <c r="G40" s="8"/>
      <c r="H40" s="8"/>
      <c r="I40" s="8"/>
      <c r="J40" s="8"/>
      <c r="K40" s="8"/>
    </row>
    <row r="41" customFormat="false" ht="17.25" hidden="false" customHeight="true" outlineLevel="0" collapsed="false">
      <c r="B41" s="106" t="s">
        <v>11478</v>
      </c>
      <c r="C41" s="106"/>
      <c r="D41" s="106"/>
      <c r="E41" s="106"/>
      <c r="F41" s="106"/>
      <c r="G41" s="106"/>
      <c r="H41" s="106"/>
    </row>
    <row r="42" customFormat="false" ht="15" hidden="false" customHeight="true" outlineLevel="0" collapsed="false">
      <c r="B42" s="122"/>
    </row>
    <row r="43" customFormat="false" ht="8.25" hidden="false" customHeight="true" outlineLevel="0" collapsed="false">
      <c r="B43" s="106" t="s">
        <v>11479</v>
      </c>
      <c r="C43" s="106"/>
      <c r="D43" s="106"/>
      <c r="E43" s="106"/>
      <c r="F43" s="106"/>
      <c r="G43" s="106"/>
      <c r="H43" s="106"/>
    </row>
    <row r="44" customFormat="false" ht="8.25" hidden="false" customHeight="true" outlineLevel="0" collapsed="false">
      <c r="B44" s="106"/>
      <c r="C44" s="106"/>
      <c r="D44" s="106"/>
      <c r="E44" s="106"/>
      <c r="F44" s="106"/>
      <c r="G44" s="106"/>
      <c r="H44" s="106"/>
    </row>
    <row r="45" customFormat="false" ht="15" hidden="false" customHeight="true" outlineLevel="0" collapsed="false">
      <c r="B45" s="122"/>
    </row>
    <row r="46" customFormat="false" ht="8.25" hidden="false" customHeight="true" outlineLevel="0" collapsed="false">
      <c r="B46" s="106" t="s">
        <v>11480</v>
      </c>
      <c r="C46" s="106"/>
      <c r="D46" s="106"/>
      <c r="E46" s="106"/>
      <c r="F46" s="106"/>
      <c r="G46" s="106"/>
      <c r="H46" s="106"/>
    </row>
    <row r="47" customFormat="false" ht="8.25" hidden="false" customHeight="true" outlineLevel="0" collapsed="false">
      <c r="B47" s="106"/>
      <c r="C47" s="106"/>
      <c r="D47" s="106"/>
      <c r="E47" s="106"/>
      <c r="F47" s="106"/>
      <c r="G47" s="106"/>
      <c r="H47" s="106"/>
    </row>
    <row r="48" customFormat="false" ht="15" hidden="false" customHeight="true" outlineLevel="0" collapsed="false">
      <c r="B48" s="122"/>
    </row>
    <row r="49" customFormat="false" ht="17.25" hidden="false" customHeight="true" outlineLevel="0" collapsed="false">
      <c r="B49" s="106" t="s">
        <v>11481</v>
      </c>
      <c r="C49" s="106"/>
      <c r="D49" s="106"/>
      <c r="E49" s="106"/>
      <c r="F49" s="106"/>
      <c r="G49" s="106"/>
      <c r="H49" s="106"/>
    </row>
    <row r="50" customFormat="false" ht="15" hidden="false" customHeight="true" outlineLevel="0" collapsed="false">
      <c r="B50" s="122"/>
    </row>
    <row r="51" customFormat="false" ht="17.25" hidden="false" customHeight="true" outlineLevel="0" collapsed="false">
      <c r="B51" s="106" t="s">
        <v>11482</v>
      </c>
      <c r="C51" s="106"/>
      <c r="D51" s="106"/>
      <c r="E51" s="106"/>
      <c r="F51" s="106"/>
      <c r="G51" s="106"/>
      <c r="H51" s="106"/>
    </row>
    <row r="52" customFormat="false" ht="17.25" hidden="false" customHeight="true" outlineLevel="0" collapsed="false">
      <c r="B52" s="106" t="s">
        <v>11483</v>
      </c>
      <c r="C52" s="106"/>
      <c r="D52" s="106"/>
      <c r="E52" s="106"/>
      <c r="F52" s="106"/>
      <c r="G52" s="106"/>
      <c r="H52" s="106"/>
    </row>
    <row r="54" customFormat="false" ht="15.75" hidden="false" customHeight="true" outlineLevel="0" collapsed="false">
      <c r="B54" s="103" t="s">
        <v>1437</v>
      </c>
      <c r="C54" s="8"/>
      <c r="D54" s="8"/>
      <c r="E54" s="8"/>
      <c r="F54" s="8"/>
      <c r="G54" s="8"/>
      <c r="H54" s="8"/>
      <c r="I54" s="8"/>
      <c r="J54" s="8"/>
      <c r="K54" s="8"/>
    </row>
    <row r="55" customFormat="false" ht="17.25" hidden="false" customHeight="true" outlineLevel="0" collapsed="false">
      <c r="B55" s="152" t="s">
        <v>1438</v>
      </c>
      <c r="C55" s="152" t="s">
        <v>1439</v>
      </c>
      <c r="D55" s="152" t="s">
        <v>1440</v>
      </c>
      <c r="E55" s="152"/>
      <c r="F55" s="152"/>
      <c r="G55" s="152"/>
      <c r="H55" s="152"/>
    </row>
    <row r="56" customFormat="false" ht="31.5" hidden="false" customHeight="true" outlineLevel="0" collapsed="false">
      <c r="B56" s="15" t="s">
        <v>11484</v>
      </c>
      <c r="C56" s="15" t="s">
        <v>11485</v>
      </c>
      <c r="D56" s="15" t="s">
        <v>11486</v>
      </c>
      <c r="E56" s="15"/>
      <c r="F56" s="15"/>
      <c r="G56" s="15"/>
      <c r="H56" s="15"/>
    </row>
    <row r="57" customFormat="false" ht="17.25" hidden="false" customHeight="true" outlineLevel="0" collapsed="false">
      <c r="B57" s="15" t="s">
        <v>2496</v>
      </c>
      <c r="C57" s="15" t="s">
        <v>11487</v>
      </c>
      <c r="D57" s="15" t="s">
        <v>11488</v>
      </c>
      <c r="E57" s="15"/>
      <c r="F57" s="15"/>
      <c r="G57" s="15"/>
      <c r="H57" s="15"/>
    </row>
    <row r="58" customFormat="false" ht="17.25" hidden="false" customHeight="true" outlineLevel="0" collapsed="false">
      <c r="B58" s="15" t="s">
        <v>5349</v>
      </c>
      <c r="C58" s="15" t="s">
        <v>9746</v>
      </c>
      <c r="D58" s="15" t="s">
        <v>11489</v>
      </c>
      <c r="E58" s="15"/>
      <c r="F58" s="15"/>
      <c r="G58" s="15"/>
      <c r="H58" s="15"/>
    </row>
    <row r="59" customFormat="false" ht="17.25" hidden="false" customHeight="true" outlineLevel="0" collapsed="false">
      <c r="B59" s="15" t="s">
        <v>9464</v>
      </c>
      <c r="C59" s="15" t="s">
        <v>11490</v>
      </c>
      <c r="D59" s="15" t="s">
        <v>11491</v>
      </c>
      <c r="E59" s="15"/>
      <c r="F59" s="15"/>
      <c r="G59" s="15"/>
      <c r="H59" s="15"/>
    </row>
    <row r="60" customFormat="false" ht="30.75" hidden="false" customHeight="true" outlineLevel="0" collapsed="false">
      <c r="B60" s="15" t="s">
        <v>11492</v>
      </c>
      <c r="C60" s="15" t="s">
        <v>11493</v>
      </c>
      <c r="D60" s="15" t="s">
        <v>11494</v>
      </c>
      <c r="E60" s="15"/>
      <c r="F60" s="15"/>
      <c r="G60" s="15"/>
      <c r="H60" s="15"/>
    </row>
    <row r="62" customFormat="false" ht="15.75" hidden="false" customHeight="true" outlineLevel="0" collapsed="false">
      <c r="B62" s="103" t="s">
        <v>1454</v>
      </c>
      <c r="C62" s="8"/>
      <c r="D62" s="8"/>
      <c r="E62" s="8"/>
      <c r="F62" s="8"/>
      <c r="G62" s="8"/>
      <c r="H62" s="8"/>
      <c r="I62" s="8"/>
      <c r="J62" s="8"/>
      <c r="K62" s="8"/>
    </row>
    <row r="63" customFormat="false" ht="15.75" hidden="false" customHeight="true" outlineLevel="0" collapsed="false">
      <c r="B63" s="106" t="s">
        <v>11495</v>
      </c>
      <c r="C63" s="106"/>
      <c r="D63" s="106"/>
      <c r="E63" s="106"/>
      <c r="F63" s="106"/>
      <c r="G63" s="106"/>
      <c r="H63" s="106"/>
    </row>
    <row r="64" customFormat="false" ht="15.75" hidden="false" customHeight="true" outlineLevel="0" collapsed="false">
      <c r="B64" s="106"/>
      <c r="C64" s="106"/>
      <c r="D64" s="106"/>
      <c r="E64" s="106"/>
      <c r="F64" s="106"/>
      <c r="G64" s="106"/>
      <c r="H64" s="106"/>
    </row>
    <row r="65" customFormat="false" ht="15" hidden="false" customHeight="true" outlineLevel="0" collapsed="false">
      <c r="B65" s="112" t="s">
        <v>85</v>
      </c>
      <c r="C65" s="154" t="s">
        <v>86</v>
      </c>
    </row>
    <row r="67" customFormat="false" ht="17.25" hidden="false" customHeight="true" outlineLevel="0" collapsed="false">
      <c r="B67" s="107" t="s">
        <v>11496</v>
      </c>
      <c r="C67" s="107"/>
      <c r="D67" s="107"/>
      <c r="E67" s="107"/>
      <c r="F67" s="107"/>
      <c r="G67" s="107"/>
      <c r="H67" s="107"/>
    </row>
    <row r="68" customFormat="false" ht="30.75" hidden="false" customHeight="true" outlineLevel="0" collapsed="false">
      <c r="B68" s="152" t="s">
        <v>11497</v>
      </c>
      <c r="C68" s="152" t="s">
        <v>8303</v>
      </c>
      <c r="D68" s="152" t="s">
        <v>11498</v>
      </c>
      <c r="E68" s="152" t="s">
        <v>11499</v>
      </c>
      <c r="F68" s="152"/>
      <c r="G68" s="152"/>
    </row>
    <row r="69" customFormat="false" ht="17.25" hidden="false" customHeight="true" outlineLevel="0" collapsed="false">
      <c r="B69" s="15" t="s">
        <v>11500</v>
      </c>
      <c r="C69" s="177" t="s">
        <v>11501</v>
      </c>
      <c r="D69" s="155" t="n">
        <v>10</v>
      </c>
      <c r="E69" s="177" t="s">
        <v>11502</v>
      </c>
      <c r="F69" s="177"/>
      <c r="G69" s="177"/>
    </row>
    <row r="70" customFormat="false" ht="17.25" hidden="false" customHeight="true" outlineLevel="0" collapsed="false">
      <c r="B70" s="15" t="s">
        <v>10226</v>
      </c>
      <c r="C70" s="177" t="s">
        <v>11503</v>
      </c>
      <c r="D70" s="155" t="n">
        <v>8</v>
      </c>
      <c r="E70" s="177" t="s">
        <v>11504</v>
      </c>
      <c r="F70" s="177"/>
      <c r="G70" s="177"/>
    </row>
    <row r="71" customFormat="false" ht="17.25" hidden="false" customHeight="true" outlineLevel="0" collapsed="false">
      <c r="B71" s="15" t="s">
        <v>10345</v>
      </c>
      <c r="C71" s="177" t="s">
        <v>11505</v>
      </c>
      <c r="D71" s="155" t="n">
        <v>6</v>
      </c>
      <c r="E71" s="177" t="s">
        <v>11506</v>
      </c>
      <c r="F71" s="177"/>
      <c r="G71" s="177"/>
    </row>
    <row r="72" customFormat="false" ht="17.25" hidden="false" customHeight="true" outlineLevel="0" collapsed="false">
      <c r="B72" s="15" t="s">
        <v>11507</v>
      </c>
      <c r="C72" s="177" t="s">
        <v>11508</v>
      </c>
      <c r="D72" s="155" t="n">
        <v>7</v>
      </c>
      <c r="E72" s="177" t="s">
        <v>11509</v>
      </c>
      <c r="F72" s="177"/>
      <c r="G72" s="177"/>
    </row>
    <row r="74" customFormat="false" ht="17.25" hidden="false" customHeight="true" outlineLevel="0" collapsed="false">
      <c r="B74" s="107" t="s">
        <v>11510</v>
      </c>
      <c r="C74" s="107"/>
      <c r="D74" s="107"/>
      <c r="E74" s="107"/>
      <c r="F74" s="107"/>
      <c r="G74" s="107"/>
      <c r="H74" s="107"/>
    </row>
    <row r="75" customFormat="false" ht="28.5" hidden="false" customHeight="true" outlineLevel="0" collapsed="false">
      <c r="B75" s="182" t="s">
        <v>11511</v>
      </c>
      <c r="C75" s="182"/>
      <c r="D75" s="182"/>
      <c r="E75" s="182"/>
      <c r="F75" s="182"/>
      <c r="G75" s="182"/>
      <c r="H75" s="182"/>
    </row>
    <row r="77" customFormat="false" ht="44.25" hidden="false" customHeight="true" outlineLevel="0" collapsed="false">
      <c r="B77" s="152" t="s">
        <v>11512</v>
      </c>
      <c r="C77" s="152" t="s">
        <v>11513</v>
      </c>
      <c r="D77" s="152" t="s">
        <v>11514</v>
      </c>
      <c r="E77" s="152" t="s">
        <v>11515</v>
      </c>
      <c r="F77" s="152" t="s">
        <v>11516</v>
      </c>
      <c r="G77" s="152" t="s">
        <v>11517</v>
      </c>
      <c r="H77" s="152" t="s">
        <v>7298</v>
      </c>
      <c r="I77" s="152" t="s">
        <v>5376</v>
      </c>
      <c r="J77" s="152" t="s">
        <v>11518</v>
      </c>
      <c r="K77" s="152" t="s">
        <v>9508</v>
      </c>
      <c r="L77" s="152" t="s">
        <v>11519</v>
      </c>
    </row>
    <row r="78" customFormat="false" ht="30.75" hidden="false" customHeight="true" outlineLevel="0" collapsed="false">
      <c r="B78" s="15" t="s">
        <v>11520</v>
      </c>
      <c r="C78" s="155" t="n">
        <v>9</v>
      </c>
      <c r="D78" s="155" t="n">
        <v>1</v>
      </c>
      <c r="E78" s="155" t="n">
        <v>0</v>
      </c>
      <c r="F78" s="155" t="n">
        <v>3</v>
      </c>
      <c r="G78" s="161" t="n">
        <f aca="false">C78*$D$69+D78*$D$70+E78*$D$71+F78*$D$72</f>
        <v>119</v>
      </c>
      <c r="H78" s="160" t="n">
        <f aca="false">IFERROR(G78/SUM($G$78:$G$89),0)</f>
        <v>0.130339539978094</v>
      </c>
      <c r="I78" s="161" t="n">
        <f aca="false">RANK(G78,$G$78:$G$89,0)</f>
        <v>2</v>
      </c>
      <c r="J78" s="177" t="s">
        <v>11521</v>
      </c>
      <c r="K78" s="177" t="s">
        <v>11522</v>
      </c>
      <c r="L78" s="167" t="str">
        <f aca="false">IF(RANK(G78,$G$78:$G$89,0)&lt;=4,"TAKE TO FMEA","Monitor only")</f>
        <v>TAKE TO FMEA</v>
      </c>
    </row>
    <row r="79" customFormat="false" ht="72" hidden="false" customHeight="true" outlineLevel="0" collapsed="false">
      <c r="B79" s="15" t="s">
        <v>11523</v>
      </c>
      <c r="C79" s="155" t="n">
        <v>9</v>
      </c>
      <c r="D79" s="155" t="n">
        <v>0</v>
      </c>
      <c r="E79" s="155" t="n">
        <v>0</v>
      </c>
      <c r="F79" s="155" t="n">
        <v>0</v>
      </c>
      <c r="G79" s="161" t="n">
        <f aca="false">C79*$D$69+D79*$D$70+E79*$D$71+F79*$D$72</f>
        <v>90</v>
      </c>
      <c r="H79" s="160" t="n">
        <f aca="false">IFERROR(G79/SUM($G$78:$G$89),0)</f>
        <v>0.0985761226725082</v>
      </c>
      <c r="I79" s="161" t="n">
        <f aca="false">RANK(G79,$G$78:$G$89,0)</f>
        <v>5</v>
      </c>
      <c r="J79" s="177" t="s">
        <v>11524</v>
      </c>
      <c r="K79" s="177" t="s">
        <v>11525</v>
      </c>
      <c r="L79" s="167" t="str">
        <f aca="false">IF(RANK(G79,$G$78:$G$89,0)&lt;=4,"TAKE TO FMEA","Monitor only")</f>
        <v>Monitor only</v>
      </c>
    </row>
    <row r="80" customFormat="false" ht="44.25" hidden="false" customHeight="true" outlineLevel="0" collapsed="false">
      <c r="B80" s="15" t="s">
        <v>11526</v>
      </c>
      <c r="C80" s="155" t="n">
        <v>9</v>
      </c>
      <c r="D80" s="155" t="n">
        <v>0</v>
      </c>
      <c r="E80" s="155" t="n">
        <v>0</v>
      </c>
      <c r="F80" s="155" t="n">
        <v>1</v>
      </c>
      <c r="G80" s="161" t="n">
        <f aca="false">C80*$D$69+D80*$D$70+E80*$D$71+F80*$D$72</f>
        <v>97</v>
      </c>
      <c r="H80" s="160" t="n">
        <f aca="false">IFERROR(G80/SUM($G$78:$G$89),0)</f>
        <v>0.106243154435926</v>
      </c>
      <c r="I80" s="161" t="n">
        <f aca="false">RANK(G80,$G$78:$G$89,0)</f>
        <v>3</v>
      </c>
      <c r="J80" s="177" t="s">
        <v>11527</v>
      </c>
      <c r="K80" s="177" t="s">
        <v>11528</v>
      </c>
      <c r="L80" s="167" t="str">
        <f aca="false">IF(RANK(G80,$G$78:$G$89,0)&lt;=4,"TAKE TO FMEA","Monitor only")</f>
        <v>TAKE TO FMEA</v>
      </c>
    </row>
    <row r="81" customFormat="false" ht="44.25" hidden="false" customHeight="true" outlineLevel="0" collapsed="false">
      <c r="B81" s="15" t="s">
        <v>11529</v>
      </c>
      <c r="C81" s="155" t="n">
        <v>9</v>
      </c>
      <c r="D81" s="155" t="n">
        <v>0</v>
      </c>
      <c r="E81" s="155" t="n">
        <v>0</v>
      </c>
      <c r="F81" s="155" t="n">
        <v>1</v>
      </c>
      <c r="G81" s="161" t="n">
        <f aca="false">C81*$D$69+D81*$D$70+E81*$D$71+F81*$D$72</f>
        <v>97</v>
      </c>
      <c r="H81" s="160" t="n">
        <f aca="false">IFERROR(G81/SUM($G$78:$G$89),0)</f>
        <v>0.106243154435926</v>
      </c>
      <c r="I81" s="161" t="n">
        <f aca="false">RANK(G81,$G$78:$G$89,0)</f>
        <v>3</v>
      </c>
      <c r="J81" s="177" t="s">
        <v>11530</v>
      </c>
      <c r="K81" s="177" t="s">
        <v>11531</v>
      </c>
      <c r="L81" s="167" t="str">
        <f aca="false">IF(RANK(G81,$G$78:$G$89,0)&lt;=4,"TAKE TO FMEA","Monitor only")</f>
        <v>TAKE TO FMEA</v>
      </c>
    </row>
    <row r="82" customFormat="false" ht="58.5" hidden="false" customHeight="true" outlineLevel="0" collapsed="false">
      <c r="B82" s="15" t="s">
        <v>11532</v>
      </c>
      <c r="C82" s="155" t="n">
        <v>3</v>
      </c>
      <c r="D82" s="155" t="n">
        <v>0</v>
      </c>
      <c r="E82" s="155" t="n">
        <v>0</v>
      </c>
      <c r="F82" s="155" t="n">
        <v>1</v>
      </c>
      <c r="G82" s="161" t="n">
        <f aca="false">C82*$D$69+D82*$D$70+E82*$D$71+F82*$D$72</f>
        <v>37</v>
      </c>
      <c r="H82" s="160" t="n">
        <f aca="false">IFERROR(G82/SUM($G$78:$G$89),0)</f>
        <v>0.04052573932092</v>
      </c>
      <c r="I82" s="161" t="n">
        <f aca="false">RANK(G82,$G$78:$G$89,0)</f>
        <v>10</v>
      </c>
      <c r="J82" s="177" t="s">
        <v>11533</v>
      </c>
      <c r="K82" s="177" t="s">
        <v>11534</v>
      </c>
      <c r="L82" s="167" t="str">
        <f aca="false">IF(RANK(G82,$G$78:$G$89,0)&lt;=4,"TAKE TO FMEA","Monitor only")</f>
        <v>Monitor only</v>
      </c>
    </row>
    <row r="83" customFormat="false" ht="44.25" hidden="false" customHeight="true" outlineLevel="0" collapsed="false">
      <c r="B83" s="15" t="s">
        <v>11535</v>
      </c>
      <c r="C83" s="155" t="n">
        <v>0</v>
      </c>
      <c r="D83" s="155" t="n">
        <v>9</v>
      </c>
      <c r="E83" s="155" t="n">
        <v>0</v>
      </c>
      <c r="F83" s="155" t="n">
        <v>0</v>
      </c>
      <c r="G83" s="161" t="n">
        <f aca="false">C83*$D$69+D83*$D$70+E83*$D$71+F83*$D$72</f>
        <v>72</v>
      </c>
      <c r="H83" s="160" t="n">
        <f aca="false">IFERROR(G83/SUM($G$78:$G$89),0)</f>
        <v>0.0788608981380066</v>
      </c>
      <c r="I83" s="161" t="n">
        <f aca="false">RANK(G83,$G$78:$G$89,0)</f>
        <v>7</v>
      </c>
      <c r="J83" s="177" t="s">
        <v>11536</v>
      </c>
      <c r="K83" s="177" t="s">
        <v>11537</v>
      </c>
      <c r="L83" s="167" t="str">
        <f aca="false">IF(RANK(G83,$G$78:$G$89,0)&lt;=4,"TAKE TO FMEA","Monitor only")</f>
        <v>Monitor only</v>
      </c>
    </row>
    <row r="84" customFormat="false" ht="44.25" hidden="false" customHeight="true" outlineLevel="0" collapsed="false">
      <c r="B84" s="15" t="s">
        <v>11538</v>
      </c>
      <c r="C84" s="155" t="n">
        <v>0</v>
      </c>
      <c r="D84" s="155" t="n">
        <v>9</v>
      </c>
      <c r="E84" s="155" t="n">
        <v>0</v>
      </c>
      <c r="F84" s="155" t="n">
        <v>0</v>
      </c>
      <c r="G84" s="161" t="n">
        <f aca="false">C84*$D$69+D84*$D$70+E84*$D$71+F84*$D$72</f>
        <v>72</v>
      </c>
      <c r="H84" s="160" t="n">
        <f aca="false">IFERROR(G84/SUM($G$78:$G$89),0)</f>
        <v>0.0788608981380066</v>
      </c>
      <c r="I84" s="161" t="n">
        <f aca="false">RANK(G84,$G$78:$G$89,0)</f>
        <v>7</v>
      </c>
      <c r="J84" s="177" t="s">
        <v>11539</v>
      </c>
      <c r="K84" s="177" t="s">
        <v>11540</v>
      </c>
      <c r="L84" s="167" t="str">
        <f aca="false">IF(RANK(G84,$G$78:$G$89,0)&lt;=4,"TAKE TO FMEA","Monitor only")</f>
        <v>Monitor only</v>
      </c>
    </row>
    <row r="85" customFormat="false" ht="44.25" hidden="false" customHeight="true" outlineLevel="0" collapsed="false">
      <c r="B85" s="15" t="s">
        <v>11541</v>
      </c>
      <c r="C85" s="155" t="n">
        <v>0</v>
      </c>
      <c r="D85" s="155" t="n">
        <v>0</v>
      </c>
      <c r="E85" s="155" t="n">
        <v>9</v>
      </c>
      <c r="F85" s="155" t="n">
        <v>0</v>
      </c>
      <c r="G85" s="161" t="n">
        <f aca="false">C85*$D$69+D85*$D$70+E85*$D$71+F85*$D$72</f>
        <v>54</v>
      </c>
      <c r="H85" s="160" t="n">
        <f aca="false">IFERROR(G85/SUM($G$78:$G$89),0)</f>
        <v>0.0591456736035049</v>
      </c>
      <c r="I85" s="161" t="n">
        <f aca="false">RANK(G85,$G$78:$G$89,0)</f>
        <v>9</v>
      </c>
      <c r="J85" s="177" t="s">
        <v>11542</v>
      </c>
      <c r="K85" s="177" t="s">
        <v>11543</v>
      </c>
      <c r="L85" s="167" t="str">
        <f aca="false">IF(RANK(G85,$G$78:$G$89,0)&lt;=4,"TAKE TO FMEA","Monitor only")</f>
        <v>Monitor only</v>
      </c>
    </row>
    <row r="86" customFormat="false" ht="44.25" hidden="false" customHeight="true" outlineLevel="0" collapsed="false">
      <c r="B86" s="15" t="s">
        <v>11544</v>
      </c>
      <c r="C86" s="155" t="n">
        <v>1</v>
      </c>
      <c r="D86" s="155" t="n">
        <v>0</v>
      </c>
      <c r="E86" s="155" t="n">
        <v>3</v>
      </c>
      <c r="F86" s="155" t="n">
        <v>0</v>
      </c>
      <c r="G86" s="161" t="n">
        <f aca="false">C86*$D$69+D86*$D$70+E86*$D$71+F86*$D$72</f>
        <v>28</v>
      </c>
      <c r="H86" s="160" t="n">
        <f aca="false">IFERROR(G86/SUM($G$78:$G$89),0)</f>
        <v>0.0306681270536692</v>
      </c>
      <c r="I86" s="161" t="n">
        <f aca="false">RANK(G86,$G$78:$G$89,0)</f>
        <v>11</v>
      </c>
      <c r="J86" s="177" t="s">
        <v>11545</v>
      </c>
      <c r="K86" s="177" t="s">
        <v>11546</v>
      </c>
      <c r="L86" s="167" t="str">
        <f aca="false">IF(RANK(G86,$G$78:$G$89,0)&lt;=4,"TAKE TO FMEA","Monitor only")</f>
        <v>Monitor only</v>
      </c>
    </row>
    <row r="87" customFormat="false" ht="16.5" hidden="false" customHeight="true" outlineLevel="0" collapsed="false">
      <c r="B87" s="15" t="s">
        <v>11547</v>
      </c>
      <c r="C87" s="155" t="n">
        <v>0</v>
      </c>
      <c r="D87" s="155" t="n">
        <v>1</v>
      </c>
      <c r="E87" s="155" t="n">
        <v>1</v>
      </c>
      <c r="F87" s="155" t="n">
        <v>9</v>
      </c>
      <c r="G87" s="161" t="n">
        <f aca="false">C87*$D$69+D87*$D$70+E87*$D$71+F87*$D$72</f>
        <v>77</v>
      </c>
      <c r="H87" s="160" t="n">
        <f aca="false">IFERROR(G87/SUM($G$78:$G$89),0)</f>
        <v>0.0843373493975904</v>
      </c>
      <c r="I87" s="161" t="n">
        <f aca="false">RANK(G87,$G$78:$G$89,0)</f>
        <v>6</v>
      </c>
      <c r="J87" s="177" t="s">
        <v>11548</v>
      </c>
      <c r="K87" s="177" t="s">
        <v>11549</v>
      </c>
      <c r="L87" s="167" t="str">
        <f aca="false">IF(RANK(G87,$G$78:$G$89,0)&lt;=4,"TAKE TO FMEA","Monitor only")</f>
        <v>Monitor only</v>
      </c>
    </row>
    <row r="88" customFormat="false" ht="58.5" hidden="false" customHeight="true" outlineLevel="0" collapsed="false">
      <c r="B88" s="15" t="s">
        <v>11550</v>
      </c>
      <c r="C88" s="155" t="n">
        <v>9</v>
      </c>
      <c r="D88" s="155" t="n">
        <v>3</v>
      </c>
      <c r="E88" s="155" t="n">
        <v>3</v>
      </c>
      <c r="F88" s="155" t="n">
        <v>3</v>
      </c>
      <c r="G88" s="161" t="n">
        <f aca="false">C88*$D$69+D88*$D$70+E88*$D$71+F88*$D$72</f>
        <v>153</v>
      </c>
      <c r="H88" s="160" t="n">
        <f aca="false">IFERROR(G88/SUM($G$78:$G$89),0)</f>
        <v>0.167579408543264</v>
      </c>
      <c r="I88" s="161" t="n">
        <f aca="false">RANK(G88,$G$78:$G$89,0)</f>
        <v>1</v>
      </c>
      <c r="J88" s="177" t="s">
        <v>11551</v>
      </c>
      <c r="K88" s="177" t="s">
        <v>11552</v>
      </c>
      <c r="L88" s="167" t="str">
        <f aca="false">IF(RANK(G88,$G$78:$G$89,0)&lt;=4,"TAKE TO FMEA","Monitor only")</f>
        <v>TAKE TO FMEA</v>
      </c>
    </row>
    <row r="89" customFormat="false" ht="30.75" hidden="false" customHeight="true" outlineLevel="0" collapsed="false">
      <c r="B89" s="15" t="s">
        <v>11553</v>
      </c>
      <c r="C89" s="155" t="n">
        <v>1</v>
      </c>
      <c r="D89" s="155" t="n">
        <v>0</v>
      </c>
      <c r="E89" s="155" t="n">
        <v>0</v>
      </c>
      <c r="F89" s="155" t="n">
        <v>1</v>
      </c>
      <c r="G89" s="161" t="n">
        <f aca="false">C89*$D$69+D89*$D$70+E89*$D$71+F89*$D$72</f>
        <v>17</v>
      </c>
      <c r="H89" s="160" t="n">
        <f aca="false">IFERROR(G89/SUM($G$78:$G$89),0)</f>
        <v>0.0186199342825849</v>
      </c>
      <c r="I89" s="161" t="n">
        <f aca="false">RANK(G89,$G$78:$G$89,0)</f>
        <v>12</v>
      </c>
      <c r="J89" s="177" t="s">
        <v>11554</v>
      </c>
      <c r="K89" s="177" t="s">
        <v>11540</v>
      </c>
      <c r="L89" s="167" t="str">
        <f aca="false">IF(RANK(G89,$G$78:$G$89,0)&lt;=4,"TAKE TO FMEA","Monitor only")</f>
        <v>Monitor only</v>
      </c>
    </row>
    <row r="91" customFormat="false" ht="17.25" hidden="false" customHeight="true" outlineLevel="0" collapsed="false">
      <c r="B91" s="152" t="s">
        <v>6689</v>
      </c>
      <c r="C91" s="152" t="s">
        <v>6654</v>
      </c>
      <c r="D91" s="152" t="s">
        <v>88</v>
      </c>
      <c r="E91" s="152"/>
      <c r="F91" s="152"/>
      <c r="G91" s="152"/>
    </row>
    <row r="92" customFormat="false" ht="17.25" hidden="false" customHeight="true" outlineLevel="0" collapsed="false">
      <c r="B92" s="15" t="s">
        <v>11555</v>
      </c>
      <c r="C92" s="161" t="n">
        <f aca="false">COUNTA(B78:B89)</f>
        <v>12</v>
      </c>
      <c r="D92" s="15" t="s">
        <v>11556</v>
      </c>
      <c r="E92" s="15"/>
      <c r="F92" s="15"/>
      <c r="G92" s="15"/>
    </row>
    <row r="93" customFormat="false" ht="17.25" hidden="false" customHeight="true" outlineLevel="0" collapsed="false">
      <c r="B93" s="15" t="s">
        <v>11557</v>
      </c>
      <c r="C93" s="161" t="n">
        <f aca="false">MAX(G78:G89)</f>
        <v>153</v>
      </c>
      <c r="D93" s="15"/>
      <c r="E93" s="15"/>
      <c r="F93" s="15"/>
      <c r="G93" s="15"/>
    </row>
    <row r="94" customFormat="false" ht="17.25" hidden="false" customHeight="true" outlineLevel="0" collapsed="false">
      <c r="B94" s="15" t="s">
        <v>11558</v>
      </c>
      <c r="C94" s="167" t="str">
        <f aca="false">INDEX(B78:B89,MATCH(MAX(G78:G89),G78:G89,0))</f>
        <v>Changeover set-up verification</v>
      </c>
      <c r="D94" s="15" t="s">
        <v>11559</v>
      </c>
      <c r="E94" s="15"/>
      <c r="F94" s="15"/>
      <c r="G94" s="15"/>
    </row>
    <row r="95" customFormat="false" ht="17.25" hidden="false" customHeight="true" outlineLevel="0" collapsed="false">
      <c r="B95" s="15" t="s">
        <v>11560</v>
      </c>
      <c r="C95" s="160" t="n">
        <f aca="false">IFERROR((LARGE(G78:G89,1)+LARGE(G78:G89,2)+LARGE(G78:G89,3)+LARGE(G78:G89,4))/SUM(G78:G89),0)</f>
        <v>0.510405257393209</v>
      </c>
      <c r="D95" s="15" t="s">
        <v>11561</v>
      </c>
      <c r="E95" s="15"/>
      <c r="F95" s="15"/>
      <c r="G95" s="15"/>
    </row>
    <row r="96" customFormat="false" ht="17.25" hidden="false" customHeight="true" outlineLevel="0" collapsed="false">
      <c r="B96" s="15" t="s">
        <v>11562</v>
      </c>
      <c r="C96" s="161" t="n">
        <f aca="false">COUNTIF(K78:K89,"None*")</f>
        <v>0</v>
      </c>
      <c r="D96" s="15" t="s">
        <v>11563</v>
      </c>
      <c r="E96" s="15"/>
      <c r="F96" s="15"/>
      <c r="G96" s="15"/>
    </row>
    <row r="97" customFormat="false" ht="17.25" hidden="false" customHeight="true" outlineLevel="0" collapsed="false">
      <c r="B97" s="15" t="s">
        <v>11564</v>
      </c>
      <c r="C97" s="161" t="n">
        <f aca="false">COUNTIF(M78:M89,"TAKE TO FMEA")</f>
        <v>0</v>
      </c>
      <c r="D97" s="15" t="s">
        <v>11565</v>
      </c>
      <c r="E97" s="15"/>
      <c r="F97" s="15"/>
      <c r="G97" s="15"/>
    </row>
    <row r="99" customFormat="false" ht="15.75" hidden="false" customHeight="true" outlineLevel="0" collapsed="false">
      <c r="B99" s="103" t="s">
        <v>1493</v>
      </c>
      <c r="C99" s="8"/>
      <c r="D99" s="8"/>
      <c r="E99" s="8"/>
      <c r="F99" s="8"/>
      <c r="G99" s="8"/>
      <c r="H99" s="8"/>
      <c r="I99" s="8"/>
      <c r="J99" s="8"/>
      <c r="K99" s="8"/>
    </row>
    <row r="100" customFormat="false" ht="65.25" hidden="false" customHeight="true" outlineLevel="0" collapsed="false">
      <c r="B100" s="105" t="s">
        <v>1494</v>
      </c>
      <c r="C100" s="168" t="str">
        <f aca="false">"Of "&amp;TEXT(C92,"0")&amp;" candidate inputs, the strongest relationship is "&amp;C94&amp;" with a weighted score of "&amp;TEXT(C93,"0")&amp;". The top four inputs carry "&amp;TEXT(C95,"0.0%")&amp;" of the total score. "&amp;IF(C95&gt;0.5,"The relationships are concentrated: screening has done its job, so take the top four to FMEA (H-13) and to designed experiments (E-42) rather than investigating all "&amp;TEXT(C92,"0")&amp;".","The scores are spread across many inputs, which usually means the scoring was too generous. Re-score using only 0, 1, 3 and 9, and reserve 9 for relationships the team can demonstrate with data.")&amp;IF(C96&gt;0," Note that "&amp;TEXT(C96,"0")&amp;" input(s) currently have no control at all.","")</f>
        <v>Of 12 candidate inputs, the strongest relationship is Changeover set-up verification with a weighted score of 153. The top four inputs carry 51.0% of the total score. The relationships are concentrated: screening has done its job, so take the top four to FMEA (H-13) and to designed experiments (E-42) rather than investigating all 12.</v>
      </c>
      <c r="D100" s="168"/>
      <c r="E100" s="168"/>
      <c r="F100" s="168"/>
      <c r="G100" s="168"/>
    </row>
    <row r="102" customFormat="false" ht="17.25" hidden="false" customHeight="true" outlineLevel="0" collapsed="false">
      <c r="B102" s="152" t="s">
        <v>1495</v>
      </c>
      <c r="C102" s="152" t="s">
        <v>1496</v>
      </c>
      <c r="D102" s="152" t="s">
        <v>1497</v>
      </c>
      <c r="E102" s="152"/>
      <c r="F102" s="152"/>
      <c r="G102" s="152"/>
      <c r="H102" s="152"/>
    </row>
    <row r="103" customFormat="false" ht="17.25" hidden="false" customHeight="true" outlineLevel="0" collapsed="false">
      <c r="B103" s="15" t="s">
        <v>11560</v>
      </c>
      <c r="C103" s="15" t="s">
        <v>11566</v>
      </c>
      <c r="D103" s="15" t="s">
        <v>11567</v>
      </c>
      <c r="E103" s="15"/>
      <c r="F103" s="15"/>
      <c r="G103" s="15"/>
      <c r="H103" s="15"/>
    </row>
    <row r="104" customFormat="false" ht="17.25" hidden="false" customHeight="true" outlineLevel="0" collapsed="false">
      <c r="B104" s="15" t="s">
        <v>11568</v>
      </c>
      <c r="C104" s="15" t="s">
        <v>11569</v>
      </c>
      <c r="D104" s="15" t="s">
        <v>11570</v>
      </c>
      <c r="E104" s="15"/>
      <c r="F104" s="15"/>
      <c r="G104" s="15"/>
      <c r="H104" s="15"/>
    </row>
    <row r="105" customFormat="false" ht="17.25" hidden="false" customHeight="true" outlineLevel="0" collapsed="false">
      <c r="B105" s="15" t="s">
        <v>11571</v>
      </c>
      <c r="C105" s="15" t="s">
        <v>7316</v>
      </c>
      <c r="D105" s="15" t="s">
        <v>11572</v>
      </c>
      <c r="E105" s="15"/>
      <c r="F105" s="15"/>
      <c r="G105" s="15"/>
      <c r="H105" s="15"/>
    </row>
    <row r="106" customFormat="false" ht="30.75" hidden="false" customHeight="true" outlineLevel="0" collapsed="false">
      <c r="B106" s="15" t="s">
        <v>11573</v>
      </c>
      <c r="C106" s="15" t="s">
        <v>11574</v>
      </c>
      <c r="D106" s="15" t="s">
        <v>11575</v>
      </c>
      <c r="E106" s="15"/>
      <c r="F106" s="15"/>
      <c r="G106" s="15"/>
      <c r="H106" s="15"/>
    </row>
    <row r="108" customFormat="false" ht="15" hidden="false" customHeight="true" outlineLevel="0" collapsed="false">
      <c r="B108" s="105" t="s">
        <v>1507</v>
      </c>
    </row>
    <row r="109" customFormat="false" ht="17.25" hidden="false" customHeight="true" outlineLevel="0" collapsed="false">
      <c r="B109" s="106" t="s">
        <v>11576</v>
      </c>
      <c r="C109" s="106"/>
      <c r="D109" s="106"/>
      <c r="E109" s="106"/>
      <c r="F109" s="106"/>
      <c r="G109" s="106"/>
      <c r="H109" s="106"/>
    </row>
    <row r="110" customFormat="false" ht="17.25" hidden="false" customHeight="true" outlineLevel="0" collapsed="false">
      <c r="B110" s="106" t="s">
        <v>11577</v>
      </c>
      <c r="C110" s="106"/>
      <c r="D110" s="106"/>
      <c r="E110" s="106"/>
      <c r="F110" s="106"/>
      <c r="G110" s="106"/>
      <c r="H110" s="106"/>
    </row>
    <row r="111" customFormat="false" ht="17.25" hidden="false" customHeight="true" outlineLevel="0" collapsed="false">
      <c r="B111" s="106" t="s">
        <v>11578</v>
      </c>
      <c r="C111" s="106"/>
      <c r="D111" s="106"/>
      <c r="E111" s="106"/>
      <c r="F111" s="106"/>
      <c r="G111" s="106"/>
      <c r="H111" s="106"/>
    </row>
    <row r="112" customFormat="false" ht="17.25" hidden="false" customHeight="true" outlineLevel="0" collapsed="false">
      <c r="B112" s="106" t="s">
        <v>11579</v>
      </c>
      <c r="C112" s="106"/>
      <c r="D112" s="106"/>
      <c r="E112" s="106"/>
      <c r="F112" s="106"/>
      <c r="G112" s="106"/>
      <c r="H112" s="106"/>
    </row>
    <row r="113" customFormat="false" ht="17.25" hidden="false" customHeight="true" outlineLevel="0" collapsed="false">
      <c r="B113" s="106" t="s">
        <v>11580</v>
      </c>
      <c r="C113" s="106"/>
      <c r="D113" s="106"/>
      <c r="E113" s="106"/>
      <c r="F113" s="106"/>
      <c r="G113" s="106"/>
      <c r="H113" s="106"/>
    </row>
    <row r="115" customFormat="false" ht="15.75" hidden="false" customHeight="true" outlineLevel="0" collapsed="false">
      <c r="B115" s="103" t="s">
        <v>1513</v>
      </c>
      <c r="C115" s="8"/>
      <c r="D115" s="8"/>
      <c r="E115" s="8"/>
      <c r="F115" s="8"/>
      <c r="G115" s="8"/>
      <c r="H115" s="8"/>
      <c r="I115" s="8"/>
      <c r="J115" s="8"/>
      <c r="K115" s="8"/>
    </row>
    <row r="116" customFormat="false" ht="17.25" hidden="false" customHeight="true" outlineLevel="0" collapsed="false">
      <c r="B116" s="106" t="s">
        <v>6712</v>
      </c>
      <c r="C116" s="106"/>
      <c r="D116" s="106"/>
      <c r="E116" s="106"/>
      <c r="N116" s="169" t="s">
        <v>1515</v>
      </c>
    </row>
    <row r="117" customFormat="false" ht="44.25" hidden="false" customHeight="true" outlineLevel="0" collapsed="false">
      <c r="B117" s="106" t="s">
        <v>11581</v>
      </c>
      <c r="C117" s="106"/>
      <c r="D117" s="106"/>
      <c r="E117" s="106"/>
      <c r="N117" s="120" t="s">
        <v>11582</v>
      </c>
    </row>
    <row r="118" customFormat="false" ht="44.25" hidden="false" customHeight="true" outlineLevel="0" collapsed="false">
      <c r="B118" s="106" t="s">
        <v>11583</v>
      </c>
      <c r="C118" s="106"/>
      <c r="D118" s="106"/>
      <c r="E118" s="106"/>
      <c r="N118" s="120" t="s">
        <v>11584</v>
      </c>
    </row>
    <row r="119" customFormat="false" ht="44.25" hidden="false" customHeight="true" outlineLevel="0" collapsed="false">
      <c r="B119" s="106" t="s">
        <v>11585</v>
      </c>
      <c r="C119" s="106"/>
      <c r="D119" s="106"/>
      <c r="E119" s="106"/>
      <c r="N119" s="120" t="s">
        <v>11586</v>
      </c>
    </row>
    <row r="121" customFormat="false" ht="15.75" hidden="false" customHeight="true" outlineLevel="0" collapsed="false">
      <c r="B121" s="103" t="s">
        <v>1522</v>
      </c>
      <c r="C121" s="8"/>
      <c r="D121" s="8"/>
      <c r="E121" s="8"/>
      <c r="F121" s="8"/>
      <c r="G121" s="8"/>
      <c r="H121" s="8"/>
      <c r="I121" s="8"/>
      <c r="J121" s="8"/>
      <c r="K121" s="8"/>
    </row>
    <row r="122" customFormat="false" ht="17.25" hidden="false" customHeight="true" outlineLevel="0" collapsed="false">
      <c r="B122" s="152" t="s">
        <v>1523</v>
      </c>
      <c r="C122" s="152" t="s">
        <v>1524</v>
      </c>
      <c r="D122" s="152" t="s">
        <v>6719</v>
      </c>
      <c r="E122" s="152"/>
      <c r="F122" s="152"/>
    </row>
    <row r="123" customFormat="false" ht="17.25" hidden="false" customHeight="true" outlineLevel="0" collapsed="false">
      <c r="B123" s="170" t="s">
        <v>9701</v>
      </c>
      <c r="C123" s="170" t="s">
        <v>8637</v>
      </c>
      <c r="D123" s="171" t="s">
        <v>7921</v>
      </c>
      <c r="E123" s="171"/>
      <c r="F123" s="171"/>
    </row>
  </sheetData>
  <mergeCells count="69">
    <mergeCell ref="B2:J2"/>
    <mergeCell ref="D3:H3"/>
    <mergeCell ref="C6:E6"/>
    <mergeCell ref="C7:E7"/>
    <mergeCell ref="C8:E8"/>
    <mergeCell ref="B11:H13"/>
    <mergeCell ref="B14:H16"/>
    <mergeCell ref="B17:H19"/>
    <mergeCell ref="B20:H22"/>
    <mergeCell ref="B23:H25"/>
    <mergeCell ref="B28:D28"/>
    <mergeCell ref="E28:H28"/>
    <mergeCell ref="B29:D29"/>
    <mergeCell ref="E29:H29"/>
    <mergeCell ref="B30:D30"/>
    <mergeCell ref="E30:H30"/>
    <mergeCell ref="B31:D31"/>
    <mergeCell ref="E31:H31"/>
    <mergeCell ref="B32:H32"/>
    <mergeCell ref="E34:F34"/>
    <mergeCell ref="E35:F35"/>
    <mergeCell ref="E36:F36"/>
    <mergeCell ref="E37:F37"/>
    <mergeCell ref="E38:F38"/>
    <mergeCell ref="B41:H41"/>
    <mergeCell ref="B43:H44"/>
    <mergeCell ref="B46:H47"/>
    <mergeCell ref="B49:H49"/>
    <mergeCell ref="B51:H51"/>
    <mergeCell ref="B52:H52"/>
    <mergeCell ref="D55:H55"/>
    <mergeCell ref="D56:H56"/>
    <mergeCell ref="D57:H57"/>
    <mergeCell ref="D58:H58"/>
    <mergeCell ref="D59:H59"/>
    <mergeCell ref="D60:H60"/>
    <mergeCell ref="B63:H64"/>
    <mergeCell ref="B67:H67"/>
    <mergeCell ref="E68:G68"/>
    <mergeCell ref="E69:G69"/>
    <mergeCell ref="E70:G70"/>
    <mergeCell ref="E71:G71"/>
    <mergeCell ref="E72:G72"/>
    <mergeCell ref="B74:H74"/>
    <mergeCell ref="B75:H75"/>
    <mergeCell ref="D91:G91"/>
    <mergeCell ref="D92:G92"/>
    <mergeCell ref="D93:G93"/>
    <mergeCell ref="D94:G94"/>
    <mergeCell ref="D95:G95"/>
    <mergeCell ref="D96:G96"/>
    <mergeCell ref="D97:G97"/>
    <mergeCell ref="C100:G100"/>
    <mergeCell ref="D102:H102"/>
    <mergeCell ref="D103:H103"/>
    <mergeCell ref="D104:H104"/>
    <mergeCell ref="D105:H105"/>
    <mergeCell ref="D106:H106"/>
    <mergeCell ref="B109:H109"/>
    <mergeCell ref="B110:H110"/>
    <mergeCell ref="B111:H111"/>
    <mergeCell ref="B112:H112"/>
    <mergeCell ref="B113:H113"/>
    <mergeCell ref="B116:E116"/>
    <mergeCell ref="B117:E117"/>
    <mergeCell ref="B118:E118"/>
    <mergeCell ref="B119:E119"/>
    <mergeCell ref="D122:F122"/>
    <mergeCell ref="D123:F123"/>
  </mergeCells>
  <hyperlinks>
    <hyperlink ref="B3" location="'N-03 Index DMAIC'!A1" display="← Back to Index"/>
    <hyperlink ref="E35" location="'H-03 VOC and CTQ Tree'!A1" display="H-03  VOC and CTQ Tree"/>
    <hyperlink ref="E36" location="'H-10 Ishikawa'!A1" display="H-10  Ishikawa / Fishbone"/>
    <hyperlink ref="E37" location="'H-02 SIPOC'!A1" display="H-02  SIPOC"/>
    <hyperlink ref="E38" location="'E-42 Full Factorial'!A1" display="E-42  Full Factorial DOE"/>
    <hyperlink ref="B123" location="'H-10 Ishikawa'!A1" display="H-10  Ishikawa / Fishbone"/>
    <hyperlink ref="C123" location="'H-13 FMEA AIAG-VDA'!A1" display="H-13  FMEA (AIAG-VDA)"/>
    <hyperlink ref="D123" location="'E-42 Full Factorial'!A1" display="E-42  Full Factorial DO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R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22"/>
    <col collapsed="false" customWidth="true" hidden="false" outlineLevel="0" max="5" min="4" style="1" width="34"/>
    <col collapsed="false" customWidth="true" hidden="false" outlineLevel="0" max="6" min="6" style="1" width="6"/>
    <col collapsed="false" customWidth="true" hidden="false" outlineLevel="0" max="7" min="7" style="1" width="30"/>
    <col collapsed="false" customWidth="true" hidden="false" outlineLevel="0" max="8" min="8" style="1" width="6"/>
    <col collapsed="false" customWidth="true" hidden="false" outlineLevel="0" max="10" min="9" style="1" width="30"/>
    <col collapsed="false" customWidth="true" hidden="false" outlineLevel="0" max="11" min="11" style="1" width="6"/>
    <col collapsed="false" customWidth="true" hidden="false" outlineLevel="0" max="13" min="12" style="1" width="16"/>
    <col collapsed="false" customWidth="true" hidden="false" outlineLevel="0" max="14" min="14" style="1" width="44"/>
  </cols>
  <sheetData>
    <row r="1" customFormat="false" ht="15" hidden="false" customHeight="true" outlineLevel="0" collapsed="false">
      <c r="A1" s="147" t="s">
        <v>0</v>
      </c>
    </row>
    <row r="2" customFormat="false" ht="22.5" hidden="false" customHeight="true" outlineLevel="0" collapsed="false">
      <c r="B2" s="148" t="s">
        <v>11587</v>
      </c>
      <c r="C2" s="148"/>
      <c r="D2" s="148"/>
      <c r="E2" s="148"/>
      <c r="F2" s="148"/>
      <c r="G2" s="148"/>
      <c r="H2" s="148"/>
      <c r="I2" s="148"/>
      <c r="J2" s="148"/>
      <c r="K2" s="149" t="s">
        <v>2864</v>
      </c>
    </row>
    <row r="3" customFormat="false" ht="42" hidden="false" customHeight="true" outlineLevel="0" collapsed="false">
      <c r="B3" s="150" t="s">
        <v>3</v>
      </c>
      <c r="D3" s="151" t="s">
        <v>11588</v>
      </c>
      <c r="E3" s="151"/>
      <c r="F3" s="151"/>
      <c r="G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11589</v>
      </c>
      <c r="D6" s="106"/>
    </row>
    <row r="7" customFormat="false" ht="31.5" hidden="false" customHeight="true" outlineLevel="0" collapsed="false">
      <c r="B7" s="105" t="s">
        <v>1394</v>
      </c>
      <c r="C7" s="106" t="s">
        <v>11590</v>
      </c>
      <c r="D7" s="106"/>
    </row>
    <row r="8" customFormat="false" ht="45.75" hidden="false" customHeight="true" outlineLevel="0" collapsed="false">
      <c r="B8" s="105" t="s">
        <v>1396</v>
      </c>
      <c r="C8" s="106" t="s">
        <v>11591</v>
      </c>
      <c r="D8" s="106"/>
    </row>
    <row r="10" customFormat="false" ht="15.75" hidden="false" customHeight="true" outlineLevel="0" collapsed="false">
      <c r="B10" s="103" t="s">
        <v>1398</v>
      </c>
      <c r="C10" s="8"/>
      <c r="D10" s="8"/>
      <c r="E10" s="8"/>
      <c r="F10" s="8"/>
      <c r="G10" s="8"/>
      <c r="H10" s="8"/>
      <c r="I10" s="8"/>
      <c r="J10" s="8"/>
      <c r="K10" s="8"/>
    </row>
    <row r="11" customFormat="false" ht="15.75" hidden="false" customHeight="true" outlineLevel="0" collapsed="false">
      <c r="B11" s="106" t="s">
        <v>11592</v>
      </c>
      <c r="C11" s="106"/>
      <c r="D11" s="106"/>
      <c r="E11" s="106"/>
      <c r="F11" s="106"/>
      <c r="G11" s="106"/>
    </row>
    <row r="12" customFormat="false" ht="15.75" hidden="false" customHeight="true" outlineLevel="0" collapsed="false">
      <c r="B12" s="106"/>
      <c r="C12" s="106"/>
      <c r="D12" s="106"/>
      <c r="E12" s="106"/>
      <c r="F12" s="106"/>
      <c r="G12" s="106"/>
    </row>
    <row r="13" customFormat="false" ht="12" hidden="false" customHeight="true" outlineLevel="0" collapsed="false">
      <c r="B13" s="106" t="s">
        <v>11593</v>
      </c>
      <c r="C13" s="106"/>
      <c r="D13" s="106"/>
      <c r="E13" s="106"/>
      <c r="F13" s="106"/>
      <c r="G13" s="106"/>
    </row>
    <row r="14" customFormat="false" ht="12" hidden="false" customHeight="true" outlineLevel="0" collapsed="false">
      <c r="B14" s="106"/>
      <c r="C14" s="106"/>
      <c r="D14" s="106"/>
      <c r="E14" s="106"/>
      <c r="F14" s="106"/>
      <c r="G14" s="106"/>
    </row>
    <row r="15" customFormat="false" ht="12" hidden="false" customHeight="true" outlineLevel="0" collapsed="false">
      <c r="B15" s="106"/>
      <c r="C15" s="106"/>
      <c r="D15" s="106"/>
      <c r="E15" s="106"/>
      <c r="F15" s="106"/>
      <c r="G15" s="106"/>
    </row>
    <row r="16" customFormat="false" ht="12" hidden="false" customHeight="true" outlineLevel="0" collapsed="false">
      <c r="B16" s="106"/>
      <c r="C16" s="106"/>
      <c r="D16" s="106"/>
      <c r="E16" s="106"/>
      <c r="F16" s="106"/>
      <c r="G16" s="106"/>
    </row>
    <row r="17" customFormat="false" ht="12" hidden="false" customHeight="true" outlineLevel="0" collapsed="false">
      <c r="B17" s="106"/>
      <c r="C17" s="106"/>
      <c r="D17" s="106"/>
      <c r="E17" s="106"/>
      <c r="F17" s="106"/>
      <c r="G17" s="106"/>
    </row>
    <row r="18" customFormat="false" ht="11.25" hidden="false" customHeight="true" outlineLevel="0" collapsed="false">
      <c r="B18" s="106" t="s">
        <v>11594</v>
      </c>
      <c r="C18" s="106"/>
      <c r="D18" s="106"/>
      <c r="E18" s="106"/>
      <c r="F18" s="106"/>
      <c r="G18" s="106"/>
    </row>
    <row r="19" customFormat="false" ht="11.25" hidden="false" customHeight="true" outlineLevel="0" collapsed="false">
      <c r="B19" s="106"/>
      <c r="C19" s="106"/>
      <c r="D19" s="106"/>
      <c r="E19" s="106"/>
      <c r="F19" s="106"/>
      <c r="G19" s="106"/>
    </row>
    <row r="20" customFormat="false" ht="11.25" hidden="false" customHeight="true" outlineLevel="0" collapsed="false">
      <c r="B20" s="106"/>
      <c r="C20" s="106"/>
      <c r="D20" s="106"/>
      <c r="E20" s="106"/>
      <c r="F20" s="106"/>
      <c r="G20" s="106"/>
    </row>
    <row r="21" customFormat="false" ht="11.25" hidden="false" customHeight="true" outlineLevel="0" collapsed="false">
      <c r="B21" s="106"/>
      <c r="C21" s="106"/>
      <c r="D21" s="106"/>
      <c r="E21" s="106"/>
      <c r="F21" s="106"/>
      <c r="G21" s="106"/>
    </row>
    <row r="22" customFormat="false" ht="11.25" hidden="false" customHeight="true" outlineLevel="0" collapsed="false">
      <c r="B22" s="106" t="s">
        <v>11595</v>
      </c>
      <c r="C22" s="106"/>
      <c r="D22" s="106"/>
      <c r="E22" s="106"/>
      <c r="F22" s="106"/>
      <c r="G22" s="106"/>
    </row>
    <row r="23" customFormat="false" ht="11.25" hidden="false" customHeight="true" outlineLevel="0" collapsed="false">
      <c r="B23" s="106"/>
      <c r="C23" s="106"/>
      <c r="D23" s="106"/>
      <c r="E23" s="106"/>
      <c r="F23" s="106"/>
      <c r="G23" s="106"/>
    </row>
    <row r="24" customFormat="false" ht="11.25" hidden="false" customHeight="true" outlineLevel="0" collapsed="false">
      <c r="B24" s="106"/>
      <c r="C24" s="106"/>
      <c r="D24" s="106"/>
      <c r="E24" s="106"/>
      <c r="F24" s="106"/>
      <c r="G24" s="106"/>
    </row>
    <row r="25" customFormat="false" ht="11.25" hidden="false" customHeight="true" outlineLevel="0" collapsed="false">
      <c r="B25" s="106"/>
      <c r="C25" s="106"/>
      <c r="D25" s="106"/>
      <c r="E25" s="106"/>
      <c r="F25" s="106"/>
      <c r="G25" s="106"/>
    </row>
    <row r="26" customFormat="false" ht="10.5" hidden="false" customHeight="true" outlineLevel="0" collapsed="false">
      <c r="B26" s="106" t="s">
        <v>11596</v>
      </c>
      <c r="C26" s="106"/>
      <c r="D26" s="106"/>
      <c r="E26" s="106"/>
      <c r="F26" s="106"/>
      <c r="G26" s="106"/>
    </row>
    <row r="27" customFormat="false" ht="10.5" hidden="false" customHeight="true" outlineLevel="0" collapsed="false">
      <c r="B27" s="106"/>
      <c r="C27" s="106"/>
      <c r="D27" s="106"/>
      <c r="E27" s="106"/>
      <c r="F27" s="106"/>
      <c r="G27" s="106"/>
    </row>
    <row r="28" customFormat="false" ht="10.5" hidden="false" customHeight="true" outlineLevel="0" collapsed="false">
      <c r="B28" s="106"/>
      <c r="C28" s="106"/>
      <c r="D28" s="106"/>
      <c r="E28" s="106"/>
      <c r="F28" s="106"/>
      <c r="G28" s="106"/>
    </row>
    <row r="29" customFormat="false" ht="15.75" hidden="false" customHeight="true" outlineLevel="0" collapsed="false">
      <c r="B29" s="106" t="s">
        <v>11597</v>
      </c>
      <c r="C29" s="106"/>
      <c r="D29" s="106"/>
      <c r="E29" s="106"/>
      <c r="F29" s="106"/>
      <c r="G29" s="106"/>
    </row>
    <row r="30" customFormat="false" ht="15.75" hidden="false" customHeight="true" outlineLevel="0" collapsed="false">
      <c r="B30" s="106"/>
      <c r="C30" s="106"/>
      <c r="D30" s="106"/>
      <c r="E30" s="106"/>
      <c r="F30" s="106"/>
      <c r="G30" s="106"/>
    </row>
    <row r="32" customFormat="false" ht="15.75" hidden="false" customHeight="true" outlineLevel="0" collapsed="false">
      <c r="B32" s="103" t="s">
        <v>1406</v>
      </c>
      <c r="C32" s="8"/>
      <c r="D32" s="8"/>
      <c r="E32" s="8"/>
      <c r="F32" s="8"/>
      <c r="G32" s="8"/>
      <c r="H32" s="8"/>
      <c r="I32" s="8"/>
      <c r="J32" s="8"/>
      <c r="K32" s="8"/>
    </row>
    <row r="33" customFormat="false" ht="17.25" hidden="false" customHeight="true" outlineLevel="0" collapsed="false">
      <c r="B33" s="107" t="s">
        <v>1407</v>
      </c>
      <c r="C33" s="107"/>
      <c r="D33" s="107"/>
      <c r="E33" s="107" t="s">
        <v>1408</v>
      </c>
      <c r="F33" s="107"/>
      <c r="G33" s="107"/>
    </row>
    <row r="34" customFormat="false" ht="31.5" hidden="false" customHeight="true" outlineLevel="0" collapsed="false">
      <c r="B34" s="106" t="s">
        <v>11598</v>
      </c>
      <c r="C34" s="106"/>
      <c r="D34" s="106"/>
      <c r="E34" s="106" t="s">
        <v>11599</v>
      </c>
      <c r="F34" s="106"/>
      <c r="G34" s="106"/>
    </row>
    <row r="35" customFormat="false" ht="31.5" hidden="false" customHeight="true" outlineLevel="0" collapsed="false">
      <c r="B35" s="106" t="s">
        <v>11600</v>
      </c>
      <c r="C35" s="106"/>
      <c r="D35" s="106"/>
      <c r="E35" s="106" t="s">
        <v>11601</v>
      </c>
      <c r="F35" s="106"/>
      <c r="G35" s="106"/>
    </row>
    <row r="36" customFormat="false" ht="31.5" hidden="false" customHeight="true" outlineLevel="0" collapsed="false">
      <c r="B36" s="106" t="s">
        <v>11602</v>
      </c>
      <c r="C36" s="106"/>
      <c r="D36" s="106"/>
      <c r="E36" s="106" t="s">
        <v>11603</v>
      </c>
      <c r="F36" s="106"/>
      <c r="G36" s="106"/>
    </row>
    <row r="37" customFormat="false" ht="17.25" hidden="false" customHeight="true" outlineLevel="0" collapsed="false">
      <c r="B37" s="106" t="s">
        <v>11604</v>
      </c>
      <c r="C37" s="106"/>
      <c r="D37" s="106"/>
      <c r="E37" s="106"/>
      <c r="F37" s="106"/>
      <c r="G37" s="106"/>
    </row>
    <row r="39" customFormat="false" ht="17.25" hidden="false" customHeight="true" outlineLevel="0" collapsed="false">
      <c r="B39" s="152" t="s">
        <v>6621</v>
      </c>
      <c r="C39" s="152" t="s">
        <v>1417</v>
      </c>
      <c r="D39" s="152" t="s">
        <v>1418</v>
      </c>
      <c r="E39" s="152" t="s">
        <v>1419</v>
      </c>
      <c r="F39" s="152"/>
      <c r="G39" s="152"/>
    </row>
    <row r="40" customFormat="false" ht="44.25" hidden="false" customHeight="true" outlineLevel="0" collapsed="false">
      <c r="B40" s="15" t="s">
        <v>11605</v>
      </c>
      <c r="C40" s="15" t="s">
        <v>11606</v>
      </c>
      <c r="D40" s="15" t="s">
        <v>11607</v>
      </c>
      <c r="E40" s="153" t="s">
        <v>8094</v>
      </c>
      <c r="F40" s="153"/>
      <c r="G40" s="153"/>
    </row>
    <row r="41" customFormat="false" ht="58.5" hidden="false" customHeight="true" outlineLevel="0" collapsed="false">
      <c r="B41" s="15" t="s">
        <v>11608</v>
      </c>
      <c r="C41" s="15" t="s">
        <v>11609</v>
      </c>
      <c r="D41" s="15" t="s">
        <v>11610</v>
      </c>
      <c r="E41" s="153" t="s">
        <v>7917</v>
      </c>
      <c r="F41" s="153"/>
      <c r="G41" s="153"/>
    </row>
    <row r="42" customFormat="false" ht="44.25" hidden="false" customHeight="true" outlineLevel="0" collapsed="false">
      <c r="B42" s="15" t="s">
        <v>11611</v>
      </c>
      <c r="C42" s="15" t="s">
        <v>11612</v>
      </c>
      <c r="D42" s="15" t="s">
        <v>11613</v>
      </c>
      <c r="E42" s="153" t="s">
        <v>1101</v>
      </c>
      <c r="F42" s="153"/>
      <c r="G42" s="153"/>
    </row>
    <row r="43" customFormat="false" ht="44.25" hidden="false" customHeight="true" outlineLevel="0" collapsed="false">
      <c r="B43" s="15" t="s">
        <v>11614</v>
      </c>
      <c r="C43" s="15" t="s">
        <v>11615</v>
      </c>
      <c r="D43" s="15" t="s">
        <v>11616</v>
      </c>
      <c r="E43" s="153" t="s">
        <v>1113</v>
      </c>
      <c r="F43" s="153"/>
      <c r="G43" s="153"/>
    </row>
    <row r="45" customFormat="false" ht="15.75" hidden="false" customHeight="true" outlineLevel="0" collapsed="false">
      <c r="B45" s="103" t="s">
        <v>1429</v>
      </c>
      <c r="C45" s="8"/>
      <c r="D45" s="8"/>
      <c r="E45" s="8"/>
      <c r="F45" s="8"/>
      <c r="G45" s="8"/>
      <c r="H45" s="8"/>
      <c r="I45" s="8"/>
      <c r="J45" s="8"/>
      <c r="K45" s="8"/>
    </row>
    <row r="46" customFormat="false" ht="17.25" hidden="false" customHeight="true" outlineLevel="0" collapsed="false">
      <c r="B46" s="106" t="s">
        <v>11617</v>
      </c>
      <c r="C46" s="106"/>
      <c r="D46" s="106"/>
      <c r="E46" s="106"/>
      <c r="F46" s="106"/>
      <c r="G46" s="106"/>
    </row>
    <row r="47" customFormat="false" ht="15" hidden="false" customHeight="true" outlineLevel="0" collapsed="false">
      <c r="B47" s="122"/>
    </row>
    <row r="48" customFormat="false" ht="17.25" hidden="false" customHeight="true" outlineLevel="0" collapsed="false">
      <c r="B48" s="106" t="s">
        <v>11618</v>
      </c>
      <c r="C48" s="106"/>
      <c r="D48" s="106"/>
      <c r="E48" s="106"/>
      <c r="F48" s="106"/>
      <c r="G48" s="106"/>
    </row>
    <row r="49" customFormat="false" ht="17.25" hidden="false" customHeight="true" outlineLevel="0" collapsed="false">
      <c r="B49" s="106" t="s">
        <v>11619</v>
      </c>
      <c r="C49" s="106"/>
      <c r="D49" s="106"/>
      <c r="E49" s="106"/>
      <c r="F49" s="106"/>
      <c r="G49" s="106"/>
    </row>
    <row r="50" customFormat="false" ht="17.25" hidden="false" customHeight="true" outlineLevel="0" collapsed="false">
      <c r="B50" s="106" t="s">
        <v>11620</v>
      </c>
      <c r="C50" s="106"/>
      <c r="D50" s="106"/>
      <c r="E50" s="106"/>
      <c r="F50" s="106"/>
      <c r="G50" s="106"/>
    </row>
    <row r="51" customFormat="false" ht="15" hidden="false" customHeight="true" outlineLevel="0" collapsed="false">
      <c r="B51" s="122"/>
    </row>
    <row r="52" customFormat="false" ht="5.25" hidden="false" customHeight="true" outlineLevel="0" collapsed="false">
      <c r="B52" s="106" t="s">
        <v>11621</v>
      </c>
      <c r="C52" s="106"/>
      <c r="D52" s="106"/>
      <c r="E52" s="106"/>
      <c r="F52" s="106"/>
      <c r="G52" s="106"/>
    </row>
    <row r="53" customFormat="false" ht="5.25" hidden="false" customHeight="true" outlineLevel="0" collapsed="false">
      <c r="B53" s="106"/>
      <c r="C53" s="106"/>
      <c r="D53" s="106"/>
      <c r="E53" s="106"/>
      <c r="F53" s="106"/>
      <c r="G53" s="106"/>
    </row>
    <row r="54" customFormat="false" ht="5.25" hidden="false" customHeight="true" outlineLevel="0" collapsed="false">
      <c r="B54" s="106"/>
      <c r="C54" s="106"/>
      <c r="D54" s="106"/>
      <c r="E54" s="106"/>
      <c r="F54" s="106"/>
      <c r="G54" s="106"/>
    </row>
    <row r="55" customFormat="false" ht="15" hidden="false" customHeight="true" outlineLevel="0" collapsed="false">
      <c r="B55" s="122"/>
    </row>
    <row r="56" customFormat="false" ht="15.75" hidden="false" customHeight="true" outlineLevel="0" collapsed="false">
      <c r="B56" s="106" t="s">
        <v>11622</v>
      </c>
      <c r="C56" s="106"/>
      <c r="D56" s="106"/>
      <c r="E56" s="106"/>
      <c r="F56" s="106"/>
      <c r="G56" s="106"/>
    </row>
    <row r="57" customFormat="false" ht="15.75" hidden="false" customHeight="true" outlineLevel="0" collapsed="false">
      <c r="B57" s="106"/>
      <c r="C57" s="106"/>
      <c r="D57" s="106"/>
      <c r="E57" s="106"/>
      <c r="F57" s="106"/>
      <c r="G57" s="106"/>
    </row>
    <row r="58" customFormat="false" ht="15" hidden="false" customHeight="true" outlineLevel="0" collapsed="false">
      <c r="B58" s="122"/>
    </row>
    <row r="59" customFormat="false" ht="16.5" hidden="false" customHeight="true" outlineLevel="0" collapsed="false">
      <c r="B59" s="122" t="s">
        <v>11623</v>
      </c>
    </row>
    <row r="60" customFormat="false" ht="10.5" hidden="false" customHeight="true" outlineLevel="0" collapsed="false">
      <c r="B60" s="106" t="s">
        <v>11624</v>
      </c>
      <c r="C60" s="106"/>
      <c r="D60" s="106"/>
      <c r="E60" s="106"/>
      <c r="F60" s="106"/>
      <c r="G60" s="106"/>
    </row>
    <row r="61" customFormat="false" ht="10.5" hidden="false" customHeight="true" outlineLevel="0" collapsed="false">
      <c r="B61" s="106"/>
      <c r="C61" s="106"/>
      <c r="D61" s="106"/>
      <c r="E61" s="106"/>
      <c r="F61" s="106"/>
      <c r="G61" s="106"/>
    </row>
    <row r="62" customFormat="false" ht="10.5" hidden="false" customHeight="true" outlineLevel="0" collapsed="false">
      <c r="B62" s="106"/>
      <c r="C62" s="106"/>
      <c r="D62" s="106"/>
      <c r="E62" s="106"/>
      <c r="F62" s="106"/>
      <c r="G62" s="106"/>
    </row>
    <row r="64" customFormat="false" ht="15.75" hidden="false" customHeight="true" outlineLevel="0" collapsed="false">
      <c r="B64" s="103" t="s">
        <v>1437</v>
      </c>
      <c r="C64" s="8"/>
      <c r="D64" s="8"/>
      <c r="E64" s="8"/>
      <c r="F64" s="8"/>
      <c r="G64" s="8"/>
      <c r="H64" s="8"/>
      <c r="I64" s="8"/>
      <c r="J64" s="8"/>
      <c r="K64" s="8"/>
    </row>
    <row r="65" customFormat="false" ht="16.5" hidden="false" customHeight="true" outlineLevel="0" collapsed="false">
      <c r="B65" s="152" t="s">
        <v>1438</v>
      </c>
      <c r="C65" s="152" t="s">
        <v>1439</v>
      </c>
      <c r="D65" s="152" t="s">
        <v>1440</v>
      </c>
    </row>
    <row r="66" customFormat="false" ht="30.75" hidden="false" customHeight="true" outlineLevel="0" collapsed="false">
      <c r="B66" s="15" t="s">
        <v>11625</v>
      </c>
      <c r="C66" s="15" t="s">
        <v>11626</v>
      </c>
      <c r="D66" s="15" t="s">
        <v>11627</v>
      </c>
    </row>
    <row r="67" customFormat="false" ht="30.75" hidden="false" customHeight="true" outlineLevel="0" collapsed="false">
      <c r="B67" s="15" t="s">
        <v>11628</v>
      </c>
      <c r="C67" s="15" t="s">
        <v>11629</v>
      </c>
      <c r="D67" s="15" t="s">
        <v>11630</v>
      </c>
    </row>
    <row r="68" customFormat="false" ht="30.75" hidden="false" customHeight="true" outlineLevel="0" collapsed="false">
      <c r="B68" s="15" t="s">
        <v>1920</v>
      </c>
      <c r="C68" s="15" t="s">
        <v>11631</v>
      </c>
      <c r="D68" s="15" t="s">
        <v>11632</v>
      </c>
    </row>
    <row r="69" customFormat="false" ht="44.25" hidden="false" customHeight="true" outlineLevel="0" collapsed="false">
      <c r="B69" s="15" t="s">
        <v>7487</v>
      </c>
      <c r="C69" s="15" t="s">
        <v>11633</v>
      </c>
      <c r="D69" s="15" t="s">
        <v>11634</v>
      </c>
    </row>
    <row r="70" customFormat="false" ht="30.75" hidden="false" customHeight="true" outlineLevel="0" collapsed="false">
      <c r="B70" s="15" t="s">
        <v>8950</v>
      </c>
      <c r="C70" s="15" t="s">
        <v>11635</v>
      </c>
      <c r="D70" s="15" t="s">
        <v>11636</v>
      </c>
    </row>
    <row r="72" customFormat="false" ht="15.75" hidden="false" customHeight="true" outlineLevel="0" collapsed="false">
      <c r="B72" s="103" t="s">
        <v>1454</v>
      </c>
      <c r="C72" s="8"/>
      <c r="D72" s="8"/>
      <c r="E72" s="8"/>
      <c r="F72" s="8"/>
      <c r="G72" s="8"/>
      <c r="H72" s="8"/>
      <c r="I72" s="8"/>
      <c r="J72" s="8"/>
      <c r="K72" s="8"/>
    </row>
    <row r="73" customFormat="false" ht="10.5" hidden="false" customHeight="true" outlineLevel="0" collapsed="false">
      <c r="B73" s="106" t="s">
        <v>11637</v>
      </c>
      <c r="C73" s="106"/>
      <c r="D73" s="106"/>
      <c r="E73" s="106"/>
      <c r="F73" s="106"/>
      <c r="G73" s="106"/>
    </row>
    <row r="74" customFormat="false" ht="10.5" hidden="false" customHeight="true" outlineLevel="0" collapsed="false">
      <c r="B74" s="106"/>
      <c r="C74" s="106"/>
      <c r="D74" s="106"/>
      <c r="E74" s="106"/>
      <c r="F74" s="106"/>
      <c r="G74" s="106"/>
    </row>
    <row r="75" customFormat="false" ht="10.5" hidden="false" customHeight="true" outlineLevel="0" collapsed="false">
      <c r="B75" s="106"/>
      <c r="C75" s="106"/>
      <c r="D75" s="106"/>
      <c r="E75" s="106"/>
      <c r="F75" s="106"/>
      <c r="G75" s="106"/>
    </row>
    <row r="76" customFormat="false" ht="15" hidden="false" customHeight="true" outlineLevel="0" collapsed="false">
      <c r="B76" s="112" t="s">
        <v>85</v>
      </c>
      <c r="C76" s="154" t="s">
        <v>86</v>
      </c>
    </row>
    <row r="78" customFormat="false" ht="17.25" hidden="false" customHeight="true" outlineLevel="0" collapsed="false">
      <c r="B78" s="107" t="s">
        <v>11638</v>
      </c>
      <c r="C78" s="107"/>
      <c r="D78" s="107"/>
      <c r="E78" s="107"/>
      <c r="F78" s="107"/>
      <c r="G78" s="107"/>
    </row>
    <row r="79" customFormat="false" ht="42" hidden="false" customHeight="true" outlineLevel="0" collapsed="false">
      <c r="B79" s="182" t="s">
        <v>11639</v>
      </c>
      <c r="C79" s="182"/>
      <c r="D79" s="182"/>
      <c r="E79" s="182"/>
      <c r="F79" s="182"/>
      <c r="G79" s="182"/>
    </row>
    <row r="81" customFormat="false" ht="16.5" hidden="false" customHeight="true" outlineLevel="0" collapsed="false">
      <c r="B81" s="152" t="s">
        <v>11640</v>
      </c>
      <c r="C81" s="152" t="s">
        <v>11641</v>
      </c>
      <c r="D81" s="152" t="s">
        <v>11642</v>
      </c>
      <c r="E81" s="152" t="s">
        <v>11643</v>
      </c>
      <c r="F81" s="152" t="s">
        <v>11644</v>
      </c>
      <c r="G81" s="152" t="s">
        <v>11645</v>
      </c>
    </row>
    <row r="82" customFormat="false" ht="16.5" hidden="false" customHeight="true" outlineLevel="0" collapsed="false">
      <c r="B82" s="15" t="s">
        <v>11646</v>
      </c>
      <c r="C82" s="15" t="s">
        <v>11647</v>
      </c>
      <c r="D82" s="177" t="s">
        <v>41</v>
      </c>
      <c r="E82" s="177" t="s">
        <v>41</v>
      </c>
      <c r="F82" s="177" t="s">
        <v>41</v>
      </c>
      <c r="G82" s="177" t="s">
        <v>41</v>
      </c>
    </row>
    <row r="83" customFormat="false" ht="16.5" hidden="false" customHeight="true" outlineLevel="0" collapsed="false">
      <c r="B83" s="15" t="s">
        <v>11646</v>
      </c>
      <c r="C83" s="15" t="s">
        <v>11648</v>
      </c>
      <c r="D83" s="177" t="s">
        <v>41</v>
      </c>
      <c r="E83" s="177" t="s">
        <v>41</v>
      </c>
      <c r="F83" s="177" t="s">
        <v>41</v>
      </c>
      <c r="G83" s="177" t="s">
        <v>41</v>
      </c>
    </row>
    <row r="84" customFormat="false" ht="16.5" hidden="false" customHeight="true" outlineLevel="0" collapsed="false">
      <c r="B84" s="15" t="s">
        <v>11646</v>
      </c>
      <c r="C84" s="15" t="s">
        <v>11649</v>
      </c>
      <c r="D84" s="177" t="s">
        <v>41</v>
      </c>
      <c r="E84" s="177" t="s">
        <v>41</v>
      </c>
      <c r="F84" s="177" t="s">
        <v>41</v>
      </c>
      <c r="G84" s="177" t="s">
        <v>224</v>
      </c>
    </row>
    <row r="85" customFormat="false" ht="16.5" hidden="false" customHeight="true" outlineLevel="0" collapsed="false">
      <c r="B85" s="15" t="s">
        <v>11646</v>
      </c>
      <c r="C85" s="15" t="s">
        <v>11650</v>
      </c>
      <c r="D85" s="177" t="s">
        <v>41</v>
      </c>
      <c r="E85" s="177" t="s">
        <v>224</v>
      </c>
      <c r="F85" s="177" t="s">
        <v>224</v>
      </c>
      <c r="G85" s="177" t="s">
        <v>38</v>
      </c>
    </row>
    <row r="86" customFormat="false" ht="16.5" hidden="false" customHeight="true" outlineLevel="0" collapsed="false">
      <c r="B86" s="15" t="s">
        <v>11646</v>
      </c>
      <c r="C86" s="15" t="s">
        <v>34</v>
      </c>
      <c r="D86" s="177" t="s">
        <v>224</v>
      </c>
      <c r="E86" s="177" t="s">
        <v>38</v>
      </c>
      <c r="F86" s="177" t="s">
        <v>38</v>
      </c>
      <c r="G86" s="177" t="s">
        <v>38</v>
      </c>
    </row>
    <row r="87" customFormat="false" ht="16.5" hidden="false" customHeight="true" outlineLevel="0" collapsed="false">
      <c r="B87" s="15" t="s">
        <v>11651</v>
      </c>
      <c r="C87" s="15" t="s">
        <v>11647</v>
      </c>
      <c r="D87" s="177" t="s">
        <v>41</v>
      </c>
      <c r="E87" s="177" t="s">
        <v>41</v>
      </c>
      <c r="F87" s="177" t="s">
        <v>41</v>
      </c>
      <c r="G87" s="177" t="s">
        <v>224</v>
      </c>
    </row>
    <row r="88" customFormat="false" ht="16.5" hidden="false" customHeight="true" outlineLevel="0" collapsed="false">
      <c r="B88" s="15" t="s">
        <v>11651</v>
      </c>
      <c r="C88" s="15" t="s">
        <v>11648</v>
      </c>
      <c r="D88" s="177" t="s">
        <v>41</v>
      </c>
      <c r="E88" s="177" t="s">
        <v>41</v>
      </c>
      <c r="F88" s="177" t="s">
        <v>224</v>
      </c>
      <c r="G88" s="177" t="s">
        <v>224</v>
      </c>
    </row>
    <row r="89" customFormat="false" ht="16.5" hidden="false" customHeight="true" outlineLevel="0" collapsed="false">
      <c r="B89" s="15" t="s">
        <v>11651</v>
      </c>
      <c r="C89" s="15" t="s">
        <v>11649</v>
      </c>
      <c r="D89" s="177" t="s">
        <v>41</v>
      </c>
      <c r="E89" s="177" t="s">
        <v>224</v>
      </c>
      <c r="F89" s="177" t="s">
        <v>224</v>
      </c>
      <c r="G89" s="177" t="s">
        <v>38</v>
      </c>
    </row>
    <row r="90" customFormat="false" ht="16.5" hidden="false" customHeight="true" outlineLevel="0" collapsed="false">
      <c r="B90" s="15" t="s">
        <v>11651</v>
      </c>
      <c r="C90" s="15" t="s">
        <v>11650</v>
      </c>
      <c r="D90" s="177" t="s">
        <v>224</v>
      </c>
      <c r="E90" s="177" t="s">
        <v>224</v>
      </c>
      <c r="F90" s="177" t="s">
        <v>38</v>
      </c>
      <c r="G90" s="177" t="s">
        <v>38</v>
      </c>
    </row>
    <row r="91" customFormat="false" ht="16.5" hidden="false" customHeight="true" outlineLevel="0" collapsed="false">
      <c r="B91" s="15" t="s">
        <v>11651</v>
      </c>
      <c r="C91" s="15" t="s">
        <v>34</v>
      </c>
      <c r="D91" s="177" t="s">
        <v>38</v>
      </c>
      <c r="E91" s="177" t="s">
        <v>38</v>
      </c>
      <c r="F91" s="177" t="s">
        <v>38</v>
      </c>
      <c r="G91" s="177" t="s">
        <v>38</v>
      </c>
    </row>
    <row r="92" customFormat="false" ht="16.5" hidden="false" customHeight="true" outlineLevel="0" collapsed="false">
      <c r="B92" s="15" t="s">
        <v>11652</v>
      </c>
      <c r="C92" s="15" t="s">
        <v>11647</v>
      </c>
      <c r="D92" s="177" t="s">
        <v>41</v>
      </c>
      <c r="E92" s="177" t="s">
        <v>224</v>
      </c>
      <c r="F92" s="177" t="s">
        <v>224</v>
      </c>
      <c r="G92" s="177" t="s">
        <v>38</v>
      </c>
    </row>
    <row r="93" customFormat="false" ht="16.5" hidden="false" customHeight="true" outlineLevel="0" collapsed="false">
      <c r="B93" s="15" t="s">
        <v>11652</v>
      </c>
      <c r="C93" s="15" t="s">
        <v>11648</v>
      </c>
      <c r="D93" s="177" t="s">
        <v>224</v>
      </c>
      <c r="E93" s="177" t="s">
        <v>224</v>
      </c>
      <c r="F93" s="177" t="s">
        <v>224</v>
      </c>
      <c r="G93" s="177" t="s">
        <v>38</v>
      </c>
    </row>
    <row r="94" customFormat="false" ht="16.5" hidden="false" customHeight="true" outlineLevel="0" collapsed="false">
      <c r="B94" s="15" t="s">
        <v>11652</v>
      </c>
      <c r="C94" s="15" t="s">
        <v>11649</v>
      </c>
      <c r="D94" s="177" t="s">
        <v>224</v>
      </c>
      <c r="E94" s="177" t="s">
        <v>224</v>
      </c>
      <c r="F94" s="177" t="s">
        <v>38</v>
      </c>
      <c r="G94" s="177" t="s">
        <v>38</v>
      </c>
    </row>
    <row r="95" customFormat="false" ht="16.5" hidden="false" customHeight="true" outlineLevel="0" collapsed="false">
      <c r="B95" s="15" t="s">
        <v>11652</v>
      </c>
      <c r="C95" s="15" t="s">
        <v>11650</v>
      </c>
      <c r="D95" s="177" t="s">
        <v>38</v>
      </c>
      <c r="E95" s="177" t="s">
        <v>38</v>
      </c>
      <c r="F95" s="177" t="s">
        <v>38</v>
      </c>
      <c r="G95" s="177" t="s">
        <v>38</v>
      </c>
    </row>
    <row r="96" customFormat="false" ht="16.5" hidden="false" customHeight="true" outlineLevel="0" collapsed="false">
      <c r="B96" s="15" t="s">
        <v>11652</v>
      </c>
      <c r="C96" s="15" t="s">
        <v>34</v>
      </c>
      <c r="D96" s="177" t="s">
        <v>38</v>
      </c>
      <c r="E96" s="177" t="s">
        <v>38</v>
      </c>
      <c r="F96" s="177" t="s">
        <v>38</v>
      </c>
      <c r="G96" s="177" t="s">
        <v>38</v>
      </c>
    </row>
    <row r="97" customFormat="false" ht="16.5" hidden="false" customHeight="true" outlineLevel="0" collapsed="false">
      <c r="B97" s="15" t="s">
        <v>11650</v>
      </c>
      <c r="C97" s="15" t="s">
        <v>11647</v>
      </c>
      <c r="D97" s="177" t="s">
        <v>224</v>
      </c>
      <c r="E97" s="177" t="s">
        <v>224</v>
      </c>
      <c r="F97" s="177" t="s">
        <v>38</v>
      </c>
      <c r="G97" s="177" t="s">
        <v>38</v>
      </c>
    </row>
    <row r="98" customFormat="false" ht="16.5" hidden="false" customHeight="true" outlineLevel="0" collapsed="false">
      <c r="B98" s="15" t="s">
        <v>11650</v>
      </c>
      <c r="C98" s="15" t="s">
        <v>11648</v>
      </c>
      <c r="D98" s="177" t="s">
        <v>38</v>
      </c>
      <c r="E98" s="177" t="s">
        <v>38</v>
      </c>
      <c r="F98" s="177" t="s">
        <v>38</v>
      </c>
      <c r="G98" s="177" t="s">
        <v>38</v>
      </c>
    </row>
    <row r="99" customFormat="false" ht="16.5" hidden="false" customHeight="true" outlineLevel="0" collapsed="false">
      <c r="B99" s="15" t="s">
        <v>11650</v>
      </c>
      <c r="C99" s="15" t="s">
        <v>11649</v>
      </c>
      <c r="D99" s="177" t="s">
        <v>38</v>
      </c>
      <c r="E99" s="177" t="s">
        <v>38</v>
      </c>
      <c r="F99" s="177" t="s">
        <v>38</v>
      </c>
      <c r="G99" s="177" t="s">
        <v>38</v>
      </c>
    </row>
    <row r="100" customFormat="false" ht="16.5" hidden="false" customHeight="true" outlineLevel="0" collapsed="false">
      <c r="B100" s="15" t="s">
        <v>11650</v>
      </c>
      <c r="C100" s="15" t="s">
        <v>11650</v>
      </c>
      <c r="D100" s="177" t="s">
        <v>38</v>
      </c>
      <c r="E100" s="177" t="s">
        <v>38</v>
      </c>
      <c r="F100" s="177" t="s">
        <v>38</v>
      </c>
      <c r="G100" s="177" t="s">
        <v>38</v>
      </c>
    </row>
    <row r="101" customFormat="false" ht="16.5" hidden="false" customHeight="true" outlineLevel="0" collapsed="false">
      <c r="B101" s="15" t="s">
        <v>11650</v>
      </c>
      <c r="C101" s="15" t="s">
        <v>34</v>
      </c>
      <c r="D101" s="177" t="s">
        <v>38</v>
      </c>
      <c r="E101" s="177" t="s">
        <v>38</v>
      </c>
      <c r="F101" s="177" t="s">
        <v>38</v>
      </c>
      <c r="G101" s="177" t="s">
        <v>38</v>
      </c>
    </row>
    <row r="102" customFormat="false" ht="16.5" hidden="false" customHeight="true" outlineLevel="0" collapsed="false">
      <c r="B102" s="15" t="s">
        <v>34</v>
      </c>
      <c r="C102" s="15" t="s">
        <v>11647</v>
      </c>
      <c r="D102" s="177" t="s">
        <v>38</v>
      </c>
      <c r="E102" s="177" t="s">
        <v>38</v>
      </c>
      <c r="F102" s="177" t="s">
        <v>38</v>
      </c>
      <c r="G102" s="177" t="s">
        <v>38</v>
      </c>
    </row>
    <row r="103" customFormat="false" ht="16.5" hidden="false" customHeight="true" outlineLevel="0" collapsed="false">
      <c r="B103" s="15" t="s">
        <v>34</v>
      </c>
      <c r="C103" s="15" t="s">
        <v>11648</v>
      </c>
      <c r="D103" s="177" t="s">
        <v>38</v>
      </c>
      <c r="E103" s="177" t="s">
        <v>38</v>
      </c>
      <c r="F103" s="177" t="s">
        <v>38</v>
      </c>
      <c r="G103" s="177" t="s">
        <v>38</v>
      </c>
    </row>
    <row r="104" customFormat="false" ht="16.5" hidden="false" customHeight="true" outlineLevel="0" collapsed="false">
      <c r="B104" s="15" t="s">
        <v>34</v>
      </c>
      <c r="C104" s="15" t="s">
        <v>11649</v>
      </c>
      <c r="D104" s="177" t="s">
        <v>38</v>
      </c>
      <c r="E104" s="177" t="s">
        <v>38</v>
      </c>
      <c r="F104" s="177" t="s">
        <v>38</v>
      </c>
      <c r="G104" s="177" t="s">
        <v>38</v>
      </c>
    </row>
    <row r="105" customFormat="false" ht="16.5" hidden="false" customHeight="true" outlineLevel="0" collapsed="false">
      <c r="B105" s="15" t="s">
        <v>34</v>
      </c>
      <c r="C105" s="15" t="s">
        <v>11650</v>
      </c>
      <c r="D105" s="177" t="s">
        <v>38</v>
      </c>
      <c r="E105" s="177" t="s">
        <v>38</v>
      </c>
      <c r="F105" s="177" t="s">
        <v>38</v>
      </c>
      <c r="G105" s="177" t="s">
        <v>38</v>
      </c>
    </row>
    <row r="106" customFormat="false" ht="16.5" hidden="false" customHeight="true" outlineLevel="0" collapsed="false">
      <c r="B106" s="15" t="s">
        <v>34</v>
      </c>
      <c r="C106" s="15" t="s">
        <v>34</v>
      </c>
      <c r="D106" s="177" t="s">
        <v>38</v>
      </c>
      <c r="E106" s="177" t="s">
        <v>38</v>
      </c>
      <c r="F106" s="177" t="s">
        <v>38</v>
      </c>
      <c r="G106" s="177" t="s">
        <v>38</v>
      </c>
    </row>
    <row r="108" customFormat="false" ht="17.25" hidden="false" customHeight="true" outlineLevel="0" collapsed="false">
      <c r="B108" s="107" t="s">
        <v>11653</v>
      </c>
      <c r="C108" s="107"/>
      <c r="D108" s="107"/>
      <c r="E108" s="107"/>
      <c r="F108" s="107"/>
      <c r="G108" s="107"/>
    </row>
    <row r="109" customFormat="false" ht="17.25" hidden="false" customHeight="true" outlineLevel="0" collapsed="false">
      <c r="B109" s="152" t="s">
        <v>11654</v>
      </c>
      <c r="C109" s="152" t="s">
        <v>11655</v>
      </c>
      <c r="D109" s="152" t="s">
        <v>11656</v>
      </c>
      <c r="E109" s="152" t="s">
        <v>11657</v>
      </c>
      <c r="F109" s="152"/>
      <c r="G109" s="152"/>
    </row>
    <row r="110" customFormat="false" ht="44.25" hidden="false" customHeight="true" outlineLevel="0" collapsed="false">
      <c r="B110" s="15" t="s">
        <v>8990</v>
      </c>
      <c r="C110" s="15" t="s">
        <v>11658</v>
      </c>
      <c r="D110" s="15" t="s">
        <v>11659</v>
      </c>
      <c r="E110" s="15" t="s">
        <v>11660</v>
      </c>
      <c r="F110" s="15"/>
      <c r="G110" s="15"/>
    </row>
    <row r="111" customFormat="false" ht="30.75" hidden="false" customHeight="true" outlineLevel="0" collapsed="false">
      <c r="B111" s="15" t="s">
        <v>11661</v>
      </c>
      <c r="C111" s="15" t="s">
        <v>11662</v>
      </c>
      <c r="D111" s="15"/>
      <c r="E111" s="15" t="s">
        <v>11663</v>
      </c>
      <c r="F111" s="15"/>
      <c r="G111" s="15"/>
    </row>
    <row r="113" customFormat="false" ht="15" hidden="false" customHeight="true" outlineLevel="0" collapsed="false">
      <c r="B113" s="105" t="s">
        <v>11664</v>
      </c>
    </row>
    <row r="114" customFormat="false" ht="72" hidden="false" customHeight="true" outlineLevel="0" collapsed="false">
      <c r="B114" s="152" t="s">
        <v>11665</v>
      </c>
      <c r="C114" s="152" t="s">
        <v>11666</v>
      </c>
      <c r="D114" s="152" t="s">
        <v>11667</v>
      </c>
      <c r="E114" s="152" t="s">
        <v>5923</v>
      </c>
      <c r="F114" s="152" t="s">
        <v>11668</v>
      </c>
      <c r="G114" s="152" t="s">
        <v>10462</v>
      </c>
      <c r="H114" s="152" t="s">
        <v>11669</v>
      </c>
      <c r="I114" s="152" t="s">
        <v>11670</v>
      </c>
      <c r="J114" s="152" t="s">
        <v>175</v>
      </c>
      <c r="K114" s="152" t="s">
        <v>11671</v>
      </c>
      <c r="L114" s="152" t="s">
        <v>11672</v>
      </c>
      <c r="M114" s="152" t="s">
        <v>11673</v>
      </c>
      <c r="N114" s="152"/>
    </row>
    <row r="115" customFormat="false" ht="99.75" hidden="false" customHeight="true" outlineLevel="0" collapsed="false">
      <c r="B115" s="15" t="s">
        <v>11674</v>
      </c>
      <c r="C115" s="15" t="s">
        <v>11675</v>
      </c>
      <c r="D115" s="15" t="s">
        <v>11676</v>
      </c>
      <c r="E115" s="155" t="n">
        <v>6</v>
      </c>
      <c r="F115" s="15" t="s">
        <v>11677</v>
      </c>
      <c r="G115" s="155" t="n">
        <v>6</v>
      </c>
      <c r="H115" s="15" t="s">
        <v>11678</v>
      </c>
      <c r="I115" s="15" t="s">
        <v>11679</v>
      </c>
      <c r="J115" s="155" t="n">
        <v>6</v>
      </c>
      <c r="K115" s="187" t="str">
        <f aca="false">INDEX($D$82:$G$106,(IF(E115&gt;=9,1,IF(E115&gt;=7,2,IF(E115&gt;=4,3,IF(E115&gt;=2,4,5))))-1)*5+IF(G115&gt;=8,1,IF(G115&gt;=6,2,IF(G115&gt;=4,3,IF(G115&gt;=2,4,5)))),IF(J115&gt;=7,1,IF(J115&gt;=5,2,IF(J115&gt;=2,3,4))))</f>
        <v>M</v>
      </c>
      <c r="L115" s="161" t="n">
        <f aca="false">E115*G115*J115</f>
        <v>216</v>
      </c>
      <c r="M115" s="167" t="str">
        <f aca="false">IF(K115="H","Action REQUIRED — must reduce S, O or D, or justify in writing",IF(K115="M","Action SHOULD be taken, or the justification documented","Action optional — no action needed unless it is cheap"))</f>
        <v>Action SHOULD be taken, or the justification documented</v>
      </c>
      <c r="N115" s="167"/>
    </row>
    <row r="116" customFormat="false" ht="86.25" hidden="false" customHeight="true" outlineLevel="0" collapsed="false">
      <c r="B116" s="15" t="s">
        <v>11674</v>
      </c>
      <c r="C116" s="15" t="s">
        <v>11680</v>
      </c>
      <c r="D116" s="15" t="s">
        <v>11681</v>
      </c>
      <c r="E116" s="155" t="n">
        <v>9</v>
      </c>
      <c r="F116" s="15" t="s">
        <v>11682</v>
      </c>
      <c r="G116" s="155" t="n">
        <v>4</v>
      </c>
      <c r="H116" s="15" t="s">
        <v>722</v>
      </c>
      <c r="I116" s="15" t="s">
        <v>11683</v>
      </c>
      <c r="J116" s="155" t="n">
        <v>3</v>
      </c>
      <c r="K116" s="187" t="str">
        <f aca="false">INDEX($D$82:$G$106,(IF(E116&gt;=9,1,IF(E116&gt;=7,2,IF(E116&gt;=4,3,IF(E116&gt;=2,4,5))))-1)*5+IF(G116&gt;=8,1,IF(G116&gt;=6,2,IF(G116&gt;=4,3,IF(G116&gt;=2,4,5)))),IF(J116&gt;=7,1,IF(J116&gt;=5,2,IF(J116&gt;=2,3,4))))</f>
        <v>H</v>
      </c>
      <c r="L116" s="161" t="n">
        <f aca="false">E116*G116*J116</f>
        <v>108</v>
      </c>
      <c r="M116" s="167" t="str">
        <f aca="false">IF(K116="H","Action REQUIRED — must reduce S, O or D, or justify in writing",IF(K116="M","Action SHOULD be taken, or the justification documented","Action optional — no action needed unless it is cheap"))</f>
        <v>Action REQUIRED — must reduce S, O or D, or justify in writing</v>
      </c>
      <c r="N116" s="167"/>
    </row>
    <row r="117" customFormat="false" ht="72" hidden="false" customHeight="true" outlineLevel="0" collapsed="false">
      <c r="B117" s="15" t="s">
        <v>11684</v>
      </c>
      <c r="C117" s="15" t="s">
        <v>11685</v>
      </c>
      <c r="D117" s="15" t="s">
        <v>11686</v>
      </c>
      <c r="E117" s="155" t="n">
        <v>6</v>
      </c>
      <c r="F117" s="15" t="s">
        <v>11687</v>
      </c>
      <c r="G117" s="155" t="n">
        <v>7</v>
      </c>
      <c r="H117" s="15" t="s">
        <v>11688</v>
      </c>
      <c r="I117" s="15" t="s">
        <v>11689</v>
      </c>
      <c r="J117" s="155" t="n">
        <v>8</v>
      </c>
      <c r="K117" s="187" t="str">
        <f aca="false">INDEX($D$82:$G$106,(IF(E117&gt;=9,1,IF(E117&gt;=7,2,IF(E117&gt;=4,3,IF(E117&gt;=2,4,5))))-1)*5+IF(G117&gt;=8,1,IF(G117&gt;=6,2,IF(G117&gt;=4,3,IF(G117&gt;=2,4,5)))),IF(J117&gt;=7,1,IF(J117&gt;=5,2,IF(J117&gt;=2,3,4))))</f>
        <v>M</v>
      </c>
      <c r="L117" s="161" t="n">
        <f aca="false">E117*G117*J117</f>
        <v>336</v>
      </c>
      <c r="M117" s="167" t="str">
        <f aca="false">IF(K117="H","Action REQUIRED — must reduce S, O or D, or justify in writing",IF(K117="M","Action SHOULD be taken, or the justification documented","Action optional — no action needed unless it is cheap"))</f>
        <v>Action SHOULD be taken, or the justification documented</v>
      </c>
      <c r="N117" s="167"/>
    </row>
    <row r="118" customFormat="false" ht="72" hidden="false" customHeight="true" outlineLevel="0" collapsed="false">
      <c r="B118" s="15" t="s">
        <v>7399</v>
      </c>
      <c r="C118" s="15" t="s">
        <v>11690</v>
      </c>
      <c r="D118" s="15" t="s">
        <v>11691</v>
      </c>
      <c r="E118" s="155" t="n">
        <v>8</v>
      </c>
      <c r="F118" s="15" t="s">
        <v>11692</v>
      </c>
      <c r="G118" s="155" t="n">
        <v>4</v>
      </c>
      <c r="H118" s="15" t="s">
        <v>11536</v>
      </c>
      <c r="I118" s="15" t="s">
        <v>11693</v>
      </c>
      <c r="J118" s="155" t="n">
        <v>6</v>
      </c>
      <c r="K118" s="187" t="str">
        <f aca="false">INDEX($D$82:$G$106,(IF(E118&gt;=9,1,IF(E118&gt;=7,2,IF(E118&gt;=4,3,IF(E118&gt;=2,4,5))))-1)*5+IF(G118&gt;=8,1,IF(G118&gt;=6,2,IF(G118&gt;=4,3,IF(G118&gt;=2,4,5)))),IF(J118&gt;=7,1,IF(J118&gt;=5,2,IF(J118&gt;=2,3,4))))</f>
        <v>M</v>
      </c>
      <c r="L118" s="161" t="n">
        <f aca="false">E118*G118*J118</f>
        <v>192</v>
      </c>
      <c r="M118" s="167" t="str">
        <f aca="false">IF(K118="H","Action REQUIRED — must reduce S, O or D, or justify in writing",IF(K118="M","Action SHOULD be taken, or the justification documented","Action optional — no action needed unless it is cheap"))</f>
        <v>Action SHOULD be taken, or the justification documented</v>
      </c>
      <c r="N118" s="167"/>
    </row>
    <row r="119" customFormat="false" ht="99.75" hidden="false" customHeight="true" outlineLevel="0" collapsed="false">
      <c r="B119" s="15" t="s">
        <v>7399</v>
      </c>
      <c r="C119" s="15" t="s">
        <v>11694</v>
      </c>
      <c r="D119" s="15" t="s">
        <v>11695</v>
      </c>
      <c r="E119" s="155" t="n">
        <v>7</v>
      </c>
      <c r="F119" s="15" t="s">
        <v>11696</v>
      </c>
      <c r="G119" s="155" t="n">
        <v>5</v>
      </c>
      <c r="H119" s="15" t="s">
        <v>11697</v>
      </c>
      <c r="I119" s="15" t="s">
        <v>11698</v>
      </c>
      <c r="J119" s="155" t="n">
        <v>7</v>
      </c>
      <c r="K119" s="187" t="str">
        <f aca="false">INDEX($D$82:$G$106,(IF(E119&gt;=9,1,IF(E119&gt;=7,2,IF(E119&gt;=4,3,IF(E119&gt;=2,4,5))))-1)*5+IF(G119&gt;=8,1,IF(G119&gt;=6,2,IF(G119&gt;=4,3,IF(G119&gt;=2,4,5)))),IF(J119&gt;=7,1,IF(J119&gt;=5,2,IF(J119&gt;=2,3,4))))</f>
        <v>H</v>
      </c>
      <c r="L119" s="161" t="n">
        <f aca="false">E119*G119*J119</f>
        <v>245</v>
      </c>
      <c r="M119" s="167" t="str">
        <f aca="false">IF(K119="H","Action REQUIRED — must reduce S, O or D, or justify in writing",IF(K119="M","Action SHOULD be taken, or the justification documented","Action optional — no action needed unless it is cheap"))</f>
        <v>Action REQUIRED — must reduce S, O or D, or justify in writing</v>
      </c>
      <c r="N119" s="167"/>
    </row>
    <row r="120" customFormat="false" ht="114" hidden="false" customHeight="true" outlineLevel="0" collapsed="false">
      <c r="B120" s="15" t="s">
        <v>7146</v>
      </c>
      <c r="C120" s="15" t="s">
        <v>11699</v>
      </c>
      <c r="D120" s="15" t="s">
        <v>11700</v>
      </c>
      <c r="E120" s="155" t="n">
        <v>5</v>
      </c>
      <c r="F120" s="15" t="s">
        <v>11701</v>
      </c>
      <c r="G120" s="155" t="n">
        <v>6</v>
      </c>
      <c r="H120" s="15" t="s">
        <v>11702</v>
      </c>
      <c r="I120" s="15" t="s">
        <v>11703</v>
      </c>
      <c r="J120" s="155" t="n">
        <v>5</v>
      </c>
      <c r="K120" s="187" t="str">
        <f aca="false">INDEX($D$82:$G$106,(IF(E120&gt;=9,1,IF(E120&gt;=7,2,IF(E120&gt;=4,3,IF(E120&gt;=2,4,5))))-1)*5+IF(G120&gt;=8,1,IF(G120&gt;=6,2,IF(G120&gt;=4,3,IF(G120&gt;=2,4,5)))),IF(J120&gt;=7,1,IF(J120&gt;=5,2,IF(J120&gt;=2,3,4))))</f>
        <v>M</v>
      </c>
      <c r="L120" s="161" t="n">
        <f aca="false">E120*G120*J120</f>
        <v>150</v>
      </c>
      <c r="M120" s="167" t="str">
        <f aca="false">IF(K120="H","Action REQUIRED — must reduce S, O or D, or justify in writing",IF(K120="M","Action SHOULD be taken, or the justification documented","Action optional — no action needed unless it is cheap"))</f>
        <v>Action SHOULD be taken, or the justification documented</v>
      </c>
      <c r="N120" s="167"/>
    </row>
    <row r="121" customFormat="false" ht="86.25" hidden="false" customHeight="true" outlineLevel="0" collapsed="false">
      <c r="B121" s="15" t="s">
        <v>10215</v>
      </c>
      <c r="C121" s="15" t="s">
        <v>11704</v>
      </c>
      <c r="D121" s="15" t="s">
        <v>11705</v>
      </c>
      <c r="E121" s="155" t="n">
        <v>9</v>
      </c>
      <c r="F121" s="15" t="s">
        <v>11706</v>
      </c>
      <c r="G121" s="155" t="n">
        <v>3</v>
      </c>
      <c r="H121" s="15" t="s">
        <v>11707</v>
      </c>
      <c r="I121" s="15" t="s">
        <v>11708</v>
      </c>
      <c r="J121" s="155" t="n">
        <v>8</v>
      </c>
      <c r="K121" s="187" t="str">
        <f aca="false">INDEX($D$82:$G$106,(IF(E121&gt;=9,1,IF(E121&gt;=7,2,IF(E121&gt;=4,3,IF(E121&gt;=2,4,5))))-1)*5+IF(G121&gt;=8,1,IF(G121&gt;=6,2,IF(G121&gt;=4,3,IF(G121&gt;=2,4,5)))),IF(J121&gt;=7,1,IF(J121&gt;=5,2,IF(J121&gt;=2,3,4))))</f>
        <v>H</v>
      </c>
      <c r="L121" s="161" t="n">
        <f aca="false">E121*G121*J121</f>
        <v>216</v>
      </c>
      <c r="M121" s="167" t="str">
        <f aca="false">IF(K121="H","Action REQUIRED — must reduce S, O or D, or justify in writing",IF(K121="M","Action SHOULD be taken, or the justification documented","Action optional — no action needed unless it is cheap"))</f>
        <v>Action REQUIRED — must reduce S, O or D, or justify in writing</v>
      </c>
      <c r="N121" s="167"/>
    </row>
    <row r="122" customFormat="false" ht="99.75" hidden="false" customHeight="true" outlineLevel="0" collapsed="false">
      <c r="B122" s="15" t="s">
        <v>7154</v>
      </c>
      <c r="C122" s="15" t="s">
        <v>11709</v>
      </c>
      <c r="D122" s="15" t="s">
        <v>11710</v>
      </c>
      <c r="E122" s="155" t="n">
        <v>6</v>
      </c>
      <c r="F122" s="15" t="s">
        <v>11711</v>
      </c>
      <c r="G122" s="155" t="n">
        <v>4</v>
      </c>
      <c r="H122" s="15" t="s">
        <v>11712</v>
      </c>
      <c r="I122" s="15" t="s">
        <v>11713</v>
      </c>
      <c r="J122" s="155" t="n">
        <v>5</v>
      </c>
      <c r="K122" s="187" t="str">
        <f aca="false">INDEX($D$82:$G$106,(IF(E122&gt;=9,1,IF(E122&gt;=7,2,IF(E122&gt;=4,3,IF(E122&gt;=2,4,5))))-1)*5+IF(G122&gt;=8,1,IF(G122&gt;=6,2,IF(G122&gt;=4,3,IF(G122&gt;=2,4,5)))),IF(J122&gt;=7,1,IF(J122&gt;=5,2,IF(J122&gt;=2,3,4))))</f>
        <v>M</v>
      </c>
      <c r="L122" s="161" t="n">
        <f aca="false">E122*G122*J122</f>
        <v>120</v>
      </c>
      <c r="M122" s="167" t="str">
        <f aca="false">IF(K122="H","Action REQUIRED — must reduce S, O or D, or justify in writing",IF(K122="M","Action SHOULD be taken, or the justification documented","Action optional — no action needed unless it is cheap"))</f>
        <v>Action SHOULD be taken, or the justification documented</v>
      </c>
      <c r="N122" s="167"/>
    </row>
    <row r="124" customFormat="false" ht="17.25" hidden="false" customHeight="true" outlineLevel="0" collapsed="false">
      <c r="B124" s="107" t="s">
        <v>11714</v>
      </c>
      <c r="C124" s="107"/>
      <c r="D124" s="107"/>
      <c r="E124" s="107"/>
      <c r="F124" s="107"/>
      <c r="G124" s="107"/>
    </row>
    <row r="125" customFormat="false" ht="16.5" hidden="false" customHeight="true" outlineLevel="0" collapsed="false">
      <c r="B125" s="152" t="s">
        <v>11666</v>
      </c>
      <c r="C125" s="152" t="s">
        <v>9241</v>
      </c>
      <c r="D125" s="152" t="s">
        <v>11715</v>
      </c>
      <c r="E125" s="152" t="s">
        <v>15</v>
      </c>
      <c r="F125" s="152" t="s">
        <v>11395</v>
      </c>
      <c r="G125" s="152" t="s">
        <v>11716</v>
      </c>
      <c r="H125" s="152" t="s">
        <v>11717</v>
      </c>
      <c r="I125" s="152" t="s">
        <v>11718</v>
      </c>
      <c r="J125" s="152" t="s">
        <v>11719</v>
      </c>
    </row>
    <row r="126" customFormat="false" ht="44.25" hidden="false" customHeight="true" outlineLevel="0" collapsed="false">
      <c r="B126" s="177" t="s">
        <v>11720</v>
      </c>
      <c r="C126" s="177" t="s">
        <v>11721</v>
      </c>
      <c r="D126" s="177" t="s">
        <v>11722</v>
      </c>
      <c r="E126" s="177" t="s">
        <v>11403</v>
      </c>
      <c r="F126" s="180" t="n">
        <v>46280</v>
      </c>
      <c r="G126" s="155" t="n">
        <v>9</v>
      </c>
      <c r="H126" s="155" t="n">
        <v>2</v>
      </c>
      <c r="I126" s="155" t="n">
        <v>3</v>
      </c>
      <c r="J126" s="187" t="str">
        <f aca="false">INDEX($D$82:$G$106,(IF(G126&gt;=9,1,IF(G126&gt;=7,2,IF(G126&gt;=4,3,IF(G126&gt;=2,4,5))))-1)*5+IF(H126&gt;=8,1,IF(H126&gt;=6,2,IF(H126&gt;=4,3,IF(H126&gt;=2,4,5)))),IF(I126&gt;=7,1,IF(I126&gt;=5,2,IF(I126&gt;=2,3,4))))</f>
        <v>M</v>
      </c>
    </row>
    <row r="127" customFormat="false" ht="58.5" hidden="false" customHeight="true" outlineLevel="0" collapsed="false">
      <c r="B127" s="177" t="s">
        <v>11723</v>
      </c>
      <c r="C127" s="177" t="s">
        <v>11724</v>
      </c>
      <c r="D127" s="177" t="s">
        <v>11725</v>
      </c>
      <c r="E127" s="177" t="s">
        <v>7027</v>
      </c>
      <c r="F127" s="180" t="n">
        <v>46264</v>
      </c>
      <c r="G127" s="155" t="n">
        <v>6</v>
      </c>
      <c r="H127" s="155" t="n">
        <v>3</v>
      </c>
      <c r="I127" s="155" t="n">
        <v>4</v>
      </c>
      <c r="J127" s="187" t="str">
        <f aca="false">INDEX($D$82:$G$106,(IF(G127&gt;=9,1,IF(G127&gt;=7,2,IF(G127&gt;=4,3,IF(G127&gt;=2,4,5))))-1)*5+IF(H127&gt;=8,1,IF(H127&gt;=6,2,IF(H127&gt;=4,3,IF(H127&gt;=2,4,5)))),IF(I127&gt;=7,1,IF(I127&gt;=5,2,IF(I127&gt;=2,3,4))))</f>
        <v>L</v>
      </c>
    </row>
    <row r="128" customFormat="false" ht="44.25" hidden="false" customHeight="true" outlineLevel="0" collapsed="false">
      <c r="B128" s="177" t="s">
        <v>11726</v>
      </c>
      <c r="C128" s="177" t="s">
        <v>11727</v>
      </c>
      <c r="D128" s="177" t="s">
        <v>11728</v>
      </c>
      <c r="E128" s="177" t="s">
        <v>11408</v>
      </c>
      <c r="F128" s="180" t="n">
        <v>46295</v>
      </c>
      <c r="G128" s="155" t="n">
        <v>7</v>
      </c>
      <c r="H128" s="155" t="n">
        <v>2</v>
      </c>
      <c r="I128" s="155" t="n">
        <v>2</v>
      </c>
      <c r="J128" s="187" t="str">
        <f aca="false">INDEX($D$82:$G$106,(IF(G128&gt;=9,1,IF(G128&gt;=7,2,IF(G128&gt;=4,3,IF(G128&gt;=2,4,5))))-1)*5+IF(H128&gt;=8,1,IF(H128&gt;=6,2,IF(H128&gt;=4,3,IF(H128&gt;=2,4,5)))),IF(I128&gt;=7,1,IF(I128&gt;=5,2,IF(I128&gt;=2,3,4))))</f>
        <v>L</v>
      </c>
    </row>
    <row r="129" customFormat="false" ht="30.75" hidden="false" customHeight="true" outlineLevel="0" collapsed="false">
      <c r="B129" s="177" t="s">
        <v>11729</v>
      </c>
      <c r="C129" s="177" t="s">
        <v>11730</v>
      </c>
      <c r="D129" s="177" t="s">
        <v>11725</v>
      </c>
      <c r="E129" s="177" t="s">
        <v>6920</v>
      </c>
      <c r="F129" s="180" t="n">
        <v>46310</v>
      </c>
      <c r="G129" s="155" t="n">
        <v>9</v>
      </c>
      <c r="H129" s="155" t="n">
        <v>2</v>
      </c>
      <c r="I129" s="155" t="n">
        <v>3</v>
      </c>
      <c r="J129" s="187" t="str">
        <f aca="false">INDEX($D$82:$G$106,(IF(G129&gt;=9,1,IF(G129&gt;=7,2,IF(G129&gt;=4,3,IF(G129&gt;=2,4,5))))-1)*5+IF(H129&gt;=8,1,IF(H129&gt;=6,2,IF(H129&gt;=4,3,IF(H129&gt;=2,4,5)))),IF(I129&gt;=7,1,IF(I129&gt;=5,2,IF(I129&gt;=2,3,4))))</f>
        <v>M</v>
      </c>
    </row>
    <row r="131" customFormat="false" ht="16.5" hidden="false" customHeight="true" outlineLevel="0" collapsed="false">
      <c r="B131" s="152" t="s">
        <v>6689</v>
      </c>
      <c r="C131" s="152" t="s">
        <v>6654</v>
      </c>
      <c r="D131" s="152" t="s">
        <v>88</v>
      </c>
    </row>
    <row r="132" customFormat="false" ht="16.5" hidden="false" customHeight="true" outlineLevel="0" collapsed="false">
      <c r="B132" s="15" t="s">
        <v>11731</v>
      </c>
      <c r="C132" s="161" t="n">
        <f aca="false">COUNTA(C115:C122)</f>
        <v>8</v>
      </c>
      <c r="D132" s="15"/>
    </row>
    <row r="133" customFormat="false" ht="30.75" hidden="false" customHeight="true" outlineLevel="0" collapsed="false">
      <c r="B133" s="15" t="s">
        <v>11732</v>
      </c>
      <c r="C133" s="161" t="n">
        <f aca="false">COUNTIF(K115:K122,"H")</f>
        <v>3</v>
      </c>
      <c r="D133" s="15" t="s">
        <v>11733</v>
      </c>
    </row>
    <row r="134" customFormat="false" ht="30.75" hidden="false" customHeight="true" outlineLevel="0" collapsed="false">
      <c r="B134" s="15" t="s">
        <v>11734</v>
      </c>
      <c r="C134" s="161" t="n">
        <f aca="false">COUNTIF(K115:K122,"M")</f>
        <v>5</v>
      </c>
      <c r="D134" s="15" t="s">
        <v>11735</v>
      </c>
    </row>
    <row r="135" customFormat="false" ht="16.5" hidden="false" customHeight="true" outlineLevel="0" collapsed="false">
      <c r="B135" s="15" t="s">
        <v>11736</v>
      </c>
      <c r="C135" s="161" t="n">
        <f aca="false">COUNTIF(K115:K122,"L")</f>
        <v>0</v>
      </c>
      <c r="D135" s="15" t="s">
        <v>11737</v>
      </c>
    </row>
    <row r="136" customFormat="false" ht="30.75" hidden="false" customHeight="true" outlineLevel="0" collapsed="false">
      <c r="B136" s="15" t="s">
        <v>11738</v>
      </c>
      <c r="C136" s="161" t="n">
        <f aca="false">MAX(L115:L122)</f>
        <v>336</v>
      </c>
      <c r="D136" s="15" t="s">
        <v>11739</v>
      </c>
    </row>
    <row r="137" customFormat="false" ht="30.75" hidden="false" customHeight="true" outlineLevel="0" collapsed="false">
      <c r="B137" s="15" t="s">
        <v>11740</v>
      </c>
      <c r="C137" s="167" t="str">
        <f aca="false">INDEX(C115:C122,MATCH(MAX(L115:L122),L115:L122,0))</f>
        <v>Reads late due to fouling</v>
      </c>
      <c r="D137" s="15"/>
    </row>
    <row r="138" customFormat="false" ht="30.75" hidden="false" customHeight="true" outlineLevel="0" collapsed="false">
      <c r="B138" s="15" t="s">
        <v>11741</v>
      </c>
      <c r="C138" s="167" t="str">
        <f aca="false">IF(COUNTIF(E115:E122,"&gt;=9")&gt;0,"YES — "&amp;TEXT(COUNTIF(E115:E122,"&gt;=9"),"0")&amp;" mode(s)","No")</f>
        <v>YES — 2 mode(s)</v>
      </c>
      <c r="D138" s="15" t="s">
        <v>11742</v>
      </c>
    </row>
    <row r="139" customFormat="false" ht="16.5" hidden="false" customHeight="true" outlineLevel="0" collapsed="false">
      <c r="B139" s="15" t="s">
        <v>11743</v>
      </c>
      <c r="C139" s="161" t="n">
        <f aca="false">COUNTA(C126:C129)</f>
        <v>4</v>
      </c>
      <c r="D139" s="15"/>
    </row>
    <row r="140" customFormat="false" ht="30.75" hidden="false" customHeight="true" outlineLevel="0" collapsed="false">
      <c r="B140" s="15" t="s">
        <v>11744</v>
      </c>
      <c r="C140" s="161" t="n">
        <f aca="false">COUNTIF(J126:J129,"L")</f>
        <v>2</v>
      </c>
      <c r="D140" s="15" t="s">
        <v>11745</v>
      </c>
    </row>
    <row r="142" customFormat="false" ht="15.75" hidden="false" customHeight="true" outlineLevel="0" collapsed="false">
      <c r="B142" s="103" t="s">
        <v>1493</v>
      </c>
      <c r="C142" s="8"/>
      <c r="D142" s="8"/>
      <c r="E142" s="8"/>
      <c r="F142" s="8"/>
      <c r="G142" s="8"/>
      <c r="H142" s="8"/>
      <c r="I142" s="8"/>
      <c r="J142" s="8"/>
      <c r="K142" s="8"/>
    </row>
    <row r="143" customFormat="false" ht="81" hidden="false" customHeight="true" outlineLevel="0" collapsed="false">
      <c r="B143" s="105" t="s">
        <v>1494</v>
      </c>
      <c r="C143" s="168" t="str">
        <f aca="false">"Of "&amp;TEXT(C132,"0")&amp;" failure modes, "&amp;TEXT(C133,"0")&amp;" are Action Priority HIGH, "&amp;TEXT(C134,"0")&amp;" MEDIUM and "&amp;TEXT(C135,"0")&amp;" LOW. The highest RPN is "&amp;TEXT(C136,"0")&amp;" on: "&amp;C137&amp;" — shown for reference only. "&amp;IF(COUNTIF(E115:E122,"&gt;=9")&gt;0,"There are Severity 9-10 failure modes present. Severity cannot be reduced by adding inspection: only a design or process change removes the consequence. Those modes carry a High Action Priority at almost any Occurrence, which is exactly why AP replaced RPN. ","No Severity 9-10 modes. ")&amp;IF(C133&gt;0,"Every HIGH item needs an action or a written justification before this FMEA can be signed off.","No HIGH items remain — the action plan has done its work.")</f>
        <v>Of 8 failure modes, 3 are Action Priority HIGH, 5 MEDIUM and 0 LOW. The highest RPN is 336 on: Reads late due to fouling — shown for reference only. There are Severity 9-10 failure modes present. Severity cannot be reduced by adding inspection: only a design or process change removes the consequence. Those modes carry a High Action Priority at almost any Occurrence, which is exactly why AP replaced RPN. Every HIGH item needs an action or a written justification before this FMEA can be signed off.</v>
      </c>
      <c r="D143" s="168"/>
      <c r="E143" s="168"/>
      <c r="F143" s="168"/>
      <c r="G143" s="168"/>
    </row>
    <row r="145" customFormat="false" ht="16.5" hidden="false" customHeight="true" outlineLevel="0" collapsed="false">
      <c r="B145" s="152" t="s">
        <v>1495</v>
      </c>
      <c r="C145" s="152" t="s">
        <v>1496</v>
      </c>
      <c r="D145" s="152" t="s">
        <v>1497</v>
      </c>
    </row>
    <row r="146" customFormat="false" ht="30.75" hidden="false" customHeight="true" outlineLevel="0" collapsed="false">
      <c r="B146" s="15" t="s">
        <v>11732</v>
      </c>
      <c r="C146" s="15" t="s">
        <v>11746</v>
      </c>
      <c r="D146" s="15" t="s">
        <v>11747</v>
      </c>
    </row>
    <row r="147" customFormat="false" ht="44.25" hidden="false" customHeight="true" outlineLevel="0" collapsed="false">
      <c r="B147" s="15" t="s">
        <v>11734</v>
      </c>
      <c r="C147" s="15" t="s">
        <v>11748</v>
      </c>
      <c r="D147" s="15"/>
    </row>
    <row r="148" customFormat="false" ht="30.75" hidden="false" customHeight="true" outlineLevel="0" collapsed="false">
      <c r="B148" s="15" t="s">
        <v>11749</v>
      </c>
      <c r="C148" s="15" t="s">
        <v>11750</v>
      </c>
      <c r="D148" s="15" t="s">
        <v>11751</v>
      </c>
    </row>
    <row r="149" customFormat="false" ht="30.75" hidden="false" customHeight="true" outlineLevel="0" collapsed="false">
      <c r="B149" s="15" t="s">
        <v>11752</v>
      </c>
      <c r="C149" s="15" t="s">
        <v>11753</v>
      </c>
      <c r="D149" s="15" t="s">
        <v>11754</v>
      </c>
    </row>
    <row r="150" customFormat="false" ht="30.75" hidden="false" customHeight="true" outlineLevel="0" collapsed="false">
      <c r="B150" s="15" t="s">
        <v>11755</v>
      </c>
      <c r="C150" s="15" t="s">
        <v>11756</v>
      </c>
      <c r="D150" s="15" t="s">
        <v>11745</v>
      </c>
    </row>
    <row r="152" customFormat="false" ht="15" hidden="false" customHeight="true" outlineLevel="0" collapsed="false">
      <c r="B152" s="105" t="s">
        <v>1507</v>
      </c>
    </row>
    <row r="153" customFormat="false" ht="17.25" hidden="false" customHeight="true" outlineLevel="0" collapsed="false">
      <c r="B153" s="106" t="s">
        <v>11757</v>
      </c>
      <c r="C153" s="106"/>
      <c r="D153" s="106"/>
      <c r="E153" s="106"/>
      <c r="F153" s="106"/>
      <c r="G153" s="106"/>
    </row>
    <row r="154" customFormat="false" ht="17.25" hidden="false" customHeight="true" outlineLevel="0" collapsed="false">
      <c r="B154" s="106" t="s">
        <v>11758</v>
      </c>
      <c r="C154" s="106"/>
      <c r="D154" s="106"/>
      <c r="E154" s="106"/>
      <c r="F154" s="106"/>
      <c r="G154" s="106"/>
    </row>
    <row r="155" customFormat="false" ht="17.25" hidden="false" customHeight="true" outlineLevel="0" collapsed="false">
      <c r="B155" s="106" t="s">
        <v>11759</v>
      </c>
      <c r="C155" s="106"/>
      <c r="D155" s="106"/>
      <c r="E155" s="106"/>
      <c r="F155" s="106"/>
      <c r="G155" s="106"/>
    </row>
    <row r="156" customFormat="false" ht="17.25" hidden="false" customHeight="true" outlineLevel="0" collapsed="false">
      <c r="B156" s="106" t="s">
        <v>11760</v>
      </c>
      <c r="C156" s="106"/>
      <c r="D156" s="106"/>
      <c r="E156" s="106"/>
      <c r="F156" s="106"/>
      <c r="G156" s="106"/>
    </row>
    <row r="157" customFormat="false" ht="17.25" hidden="false" customHeight="true" outlineLevel="0" collapsed="false">
      <c r="B157" s="106" t="s">
        <v>11761</v>
      </c>
      <c r="C157" s="106"/>
      <c r="D157" s="106"/>
      <c r="E157" s="106"/>
      <c r="F157" s="106"/>
      <c r="G157" s="106"/>
    </row>
    <row r="158" customFormat="false" ht="17.25" hidden="false" customHeight="true" outlineLevel="0" collapsed="false">
      <c r="B158" s="106" t="s">
        <v>11762</v>
      </c>
      <c r="C158" s="106"/>
      <c r="D158" s="106"/>
      <c r="E158" s="106"/>
      <c r="F158" s="106"/>
      <c r="G158" s="106"/>
    </row>
    <row r="160" customFormat="false" ht="15.75" hidden="false" customHeight="true" outlineLevel="0" collapsed="false">
      <c r="B160" s="103" t="s">
        <v>1513</v>
      </c>
      <c r="C160" s="8"/>
      <c r="D160" s="8"/>
      <c r="E160" s="8"/>
      <c r="F160" s="8"/>
      <c r="G160" s="8"/>
      <c r="H160" s="8"/>
      <c r="I160" s="8"/>
      <c r="J160" s="8"/>
      <c r="K160" s="8"/>
    </row>
    <row r="161" customFormat="false" ht="17.25" hidden="false" customHeight="true" outlineLevel="0" collapsed="false">
      <c r="B161" s="106" t="s">
        <v>6712</v>
      </c>
      <c r="C161" s="106"/>
      <c r="D161" s="106"/>
      <c r="E161" s="106"/>
      <c r="F161" s="106"/>
      <c r="N161" s="200" t="s">
        <v>1515</v>
      </c>
      <c r="O161" s="200"/>
      <c r="P161" s="200"/>
      <c r="Q161" s="200"/>
      <c r="R161" s="200"/>
    </row>
    <row r="162" customFormat="false" ht="60" hidden="false" customHeight="true" outlineLevel="0" collapsed="false">
      <c r="B162" s="106" t="s">
        <v>11763</v>
      </c>
      <c r="C162" s="106"/>
      <c r="D162" s="106"/>
      <c r="E162" s="106"/>
      <c r="F162" s="106"/>
      <c r="N162" s="201" t="s">
        <v>11764</v>
      </c>
      <c r="O162" s="201"/>
      <c r="P162" s="201"/>
      <c r="Q162" s="201"/>
      <c r="R162" s="201"/>
    </row>
    <row r="163" customFormat="false" ht="60" hidden="false" customHeight="true" outlineLevel="0" collapsed="false">
      <c r="B163" s="106" t="s">
        <v>11765</v>
      </c>
      <c r="C163" s="106"/>
      <c r="D163" s="106"/>
      <c r="E163" s="106"/>
      <c r="F163" s="106"/>
      <c r="N163" s="201" t="s">
        <v>11766</v>
      </c>
      <c r="O163" s="201"/>
      <c r="P163" s="201"/>
      <c r="Q163" s="201"/>
      <c r="R163" s="201"/>
    </row>
    <row r="164" customFormat="false" ht="74.25" hidden="false" customHeight="true" outlineLevel="0" collapsed="false">
      <c r="B164" s="106" t="s">
        <v>11767</v>
      </c>
      <c r="C164" s="106"/>
      <c r="D164" s="106"/>
      <c r="E164" s="106"/>
      <c r="F164" s="106"/>
      <c r="N164" s="201" t="s">
        <v>11768</v>
      </c>
      <c r="O164" s="201"/>
      <c r="P164" s="201"/>
      <c r="Q164" s="201"/>
      <c r="R164" s="201"/>
    </row>
    <row r="166" customFormat="false" ht="15.75" hidden="false" customHeight="true" outlineLevel="0" collapsed="false">
      <c r="B166" s="103" t="s">
        <v>1522</v>
      </c>
      <c r="C166" s="8"/>
      <c r="D166" s="8"/>
      <c r="E166" s="8"/>
      <c r="F166" s="8"/>
      <c r="G166" s="8"/>
      <c r="H166" s="8"/>
      <c r="I166" s="8"/>
      <c r="J166" s="8"/>
      <c r="K166" s="8"/>
    </row>
    <row r="167" customFormat="false" ht="30.75" hidden="false" customHeight="true" outlineLevel="0" collapsed="false">
      <c r="B167" s="152" t="s">
        <v>1523</v>
      </c>
      <c r="C167" s="152" t="s">
        <v>1524</v>
      </c>
      <c r="D167" s="152" t="s">
        <v>6719</v>
      </c>
    </row>
    <row r="168" customFormat="false" ht="16.5" hidden="false" customHeight="true" outlineLevel="0" collapsed="false">
      <c r="B168" s="170" t="s">
        <v>9811</v>
      </c>
      <c r="C168" s="170" t="s">
        <v>7917</v>
      </c>
      <c r="D168" s="170" t="s">
        <v>8094</v>
      </c>
    </row>
  </sheetData>
  <mergeCells count="64">
    <mergeCell ref="B2:J2"/>
    <mergeCell ref="D3:G3"/>
    <mergeCell ref="C6:D6"/>
    <mergeCell ref="C7:D7"/>
    <mergeCell ref="C8:D8"/>
    <mergeCell ref="B11:G12"/>
    <mergeCell ref="B13:G17"/>
    <mergeCell ref="B18:G21"/>
    <mergeCell ref="B22:G25"/>
    <mergeCell ref="B26:G28"/>
    <mergeCell ref="B29:G30"/>
    <mergeCell ref="B33:D33"/>
    <mergeCell ref="E33:G33"/>
    <mergeCell ref="B34:D34"/>
    <mergeCell ref="E34:G34"/>
    <mergeCell ref="B35:D35"/>
    <mergeCell ref="E35:G35"/>
    <mergeCell ref="B36:D36"/>
    <mergeCell ref="E36:G36"/>
    <mergeCell ref="B37:G37"/>
    <mergeCell ref="E39:G39"/>
    <mergeCell ref="E40:G40"/>
    <mergeCell ref="E41:G41"/>
    <mergeCell ref="E42:G42"/>
    <mergeCell ref="E43:G43"/>
    <mergeCell ref="B46:G46"/>
    <mergeCell ref="B48:G48"/>
    <mergeCell ref="B49:G49"/>
    <mergeCell ref="B50:G50"/>
    <mergeCell ref="B52:G54"/>
    <mergeCell ref="B56:G57"/>
    <mergeCell ref="B60:G62"/>
    <mergeCell ref="B73:G75"/>
    <mergeCell ref="B78:G78"/>
    <mergeCell ref="B79:G79"/>
    <mergeCell ref="B108:G108"/>
    <mergeCell ref="E109:G109"/>
    <mergeCell ref="E110:G110"/>
    <mergeCell ref="E111:G111"/>
    <mergeCell ref="M114:N114"/>
    <mergeCell ref="M115:N115"/>
    <mergeCell ref="M116:N116"/>
    <mergeCell ref="M117:N117"/>
    <mergeCell ref="M118:N118"/>
    <mergeCell ref="M119:N119"/>
    <mergeCell ref="M120:N120"/>
    <mergeCell ref="M121:N121"/>
    <mergeCell ref="M122:N122"/>
    <mergeCell ref="B124:G124"/>
    <mergeCell ref="C143:G143"/>
    <mergeCell ref="B153:G153"/>
    <mergeCell ref="B154:G154"/>
    <mergeCell ref="B155:G155"/>
    <mergeCell ref="B156:G156"/>
    <mergeCell ref="B157:G157"/>
    <mergeCell ref="B158:G158"/>
    <mergeCell ref="B161:F161"/>
    <mergeCell ref="N161:R161"/>
    <mergeCell ref="B162:F162"/>
    <mergeCell ref="N162:R162"/>
    <mergeCell ref="B163:F163"/>
    <mergeCell ref="N163:R163"/>
    <mergeCell ref="B164:F164"/>
    <mergeCell ref="N164:R164"/>
  </mergeCells>
  <hyperlinks>
    <hyperlink ref="B3" location="'N-03 Index DMAIC'!A1" display="← Back to Index"/>
    <hyperlink ref="E40" location="'H-16 Control and Reaction'!A1" display="H-16  Control Plan and Reaction Plan"/>
    <hyperlink ref="E41" location="'L-17 Poka-Yoke'!A1" display="L-17  Poka-Yoke"/>
    <hyperlink ref="E42" location="'L-16 TPM'!A1" display="L-16  TPM and Autonomous Maintenance"/>
    <hyperlink ref="E43" location="'L-22 Gemba Walk'!A1" display="L-22  Gemba Walk"/>
    <hyperlink ref="B168" location="'H-12 Cause Effect Matrix'!A1" display="H-12  Cause and Effect Matrix"/>
    <hyperlink ref="C168" location="'L-17 Poka-Yoke'!A1" display="L-17  Poka-Yoke"/>
    <hyperlink ref="D168" location="'H-16 Control and Reaction'!A1" display="H-16  Control Plan and Reaction Pl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N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78"/>
    <col collapsed="false" customWidth="true" hidden="false" outlineLevel="0" max="4" min="4" style="1" width="40"/>
    <col collapsed="false" customWidth="true" hidden="false" outlineLevel="0" max="5" min="5" style="1" width="18"/>
    <col collapsed="false" customWidth="true" hidden="false" outlineLevel="0" max="7" min="6" style="1" width="16"/>
    <col collapsed="false" customWidth="true" hidden="false" outlineLevel="0" max="8" min="8" style="1" width="18"/>
    <col collapsed="false" customWidth="true" hidden="false" outlineLevel="0" max="9" min="9" style="1" width="16"/>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11769</v>
      </c>
      <c r="C2" s="148"/>
      <c r="D2" s="148"/>
      <c r="E2" s="148"/>
      <c r="F2" s="148"/>
      <c r="G2" s="148"/>
      <c r="H2" s="148"/>
      <c r="I2" s="148"/>
      <c r="J2" s="148"/>
      <c r="K2" s="202" t="s">
        <v>2</v>
      </c>
    </row>
    <row r="3" customFormat="false" ht="42" hidden="false" customHeight="true" outlineLevel="0" collapsed="false">
      <c r="B3" s="150" t="s">
        <v>3</v>
      </c>
      <c r="D3" s="151" t="s">
        <v>11770</v>
      </c>
      <c r="E3" s="151"/>
      <c r="F3" s="151"/>
      <c r="G3" s="151"/>
    </row>
    <row r="5" customFormat="false" ht="15.75" hidden="false" customHeight="true" outlineLevel="0" collapsed="false">
      <c r="B5" s="103" t="s">
        <v>1391</v>
      </c>
      <c r="C5" s="8"/>
      <c r="D5" s="8"/>
      <c r="E5" s="8"/>
      <c r="F5" s="8"/>
      <c r="G5" s="8"/>
      <c r="H5" s="8"/>
      <c r="I5" s="8"/>
      <c r="J5" s="8"/>
      <c r="K5" s="8"/>
    </row>
    <row r="6" customFormat="false" ht="30.75" hidden="false" customHeight="true" outlineLevel="0" collapsed="false">
      <c r="B6" s="105" t="s">
        <v>1392</v>
      </c>
      <c r="C6" s="122" t="s">
        <v>11771</v>
      </c>
    </row>
    <row r="7" customFormat="false" ht="30.75" hidden="false" customHeight="true" outlineLevel="0" collapsed="false">
      <c r="B7" s="105" t="s">
        <v>1394</v>
      </c>
      <c r="C7" s="122" t="s">
        <v>11772</v>
      </c>
    </row>
    <row r="8" customFormat="false" ht="16.5" hidden="false" customHeight="true" outlineLevel="0" collapsed="false">
      <c r="B8" s="105" t="s">
        <v>1396</v>
      </c>
      <c r="C8" s="122" t="s">
        <v>11773</v>
      </c>
    </row>
    <row r="10" customFormat="false" ht="15.75" hidden="false" customHeight="true" outlineLevel="0" collapsed="false">
      <c r="B10" s="103" t="s">
        <v>1398</v>
      </c>
      <c r="C10" s="8"/>
      <c r="D10" s="8"/>
      <c r="E10" s="8"/>
      <c r="F10" s="8"/>
      <c r="G10" s="8"/>
      <c r="H10" s="8"/>
      <c r="I10" s="8"/>
      <c r="J10" s="8"/>
      <c r="K10" s="8"/>
    </row>
    <row r="11" customFormat="false" ht="15.75" hidden="false" customHeight="true" outlineLevel="0" collapsed="false">
      <c r="B11" s="106" t="s">
        <v>11774</v>
      </c>
      <c r="C11" s="106"/>
      <c r="D11" s="106"/>
    </row>
    <row r="12" customFormat="false" ht="15.75" hidden="false" customHeight="true" outlineLevel="0" collapsed="false">
      <c r="B12" s="106"/>
      <c r="C12" s="106"/>
      <c r="D12" s="106"/>
    </row>
    <row r="13" customFormat="false" ht="15.75" hidden="false" customHeight="true" outlineLevel="0" collapsed="false">
      <c r="B13" s="106" t="s">
        <v>11775</v>
      </c>
      <c r="C13" s="106"/>
      <c r="D13" s="106"/>
    </row>
    <row r="14" customFormat="false" ht="15.75" hidden="false" customHeight="true" outlineLevel="0" collapsed="false">
      <c r="B14" s="106"/>
      <c r="C14" s="106"/>
      <c r="D14" s="106"/>
    </row>
    <row r="15" customFormat="false" ht="10.5" hidden="false" customHeight="true" outlineLevel="0" collapsed="false">
      <c r="B15" s="106" t="s">
        <v>11776</v>
      </c>
      <c r="C15" s="106"/>
      <c r="D15" s="106"/>
    </row>
    <row r="16" customFormat="false" ht="10.5" hidden="false" customHeight="true" outlineLevel="0" collapsed="false">
      <c r="B16" s="106"/>
      <c r="C16" s="106"/>
      <c r="D16" s="106"/>
    </row>
    <row r="17" customFormat="false" ht="10.5" hidden="false" customHeight="true" outlineLevel="0" collapsed="false">
      <c r="B17" s="106"/>
      <c r="C17" s="106"/>
      <c r="D17" s="106"/>
    </row>
    <row r="18" customFormat="false" ht="10.5" hidden="false" customHeight="true" outlineLevel="0" collapsed="false">
      <c r="B18" s="106" t="s">
        <v>11777</v>
      </c>
      <c r="C18" s="106"/>
      <c r="D18" s="106"/>
    </row>
    <row r="19" customFormat="false" ht="10.5" hidden="false" customHeight="true" outlineLevel="0" collapsed="false">
      <c r="B19" s="106"/>
      <c r="C19" s="106"/>
      <c r="D19" s="106"/>
    </row>
    <row r="20" customFormat="false" ht="10.5" hidden="false" customHeight="true" outlineLevel="0" collapsed="false">
      <c r="B20" s="106"/>
      <c r="C20" s="106"/>
      <c r="D20" s="106"/>
    </row>
    <row r="21" customFormat="false" ht="15.75" hidden="false" customHeight="true" outlineLevel="0" collapsed="false">
      <c r="B21" s="106" t="s">
        <v>11778</v>
      </c>
      <c r="C21" s="106"/>
      <c r="D21" s="106"/>
    </row>
    <row r="22" customFormat="false" ht="15.75" hidden="false" customHeight="true" outlineLevel="0" collapsed="false">
      <c r="B22" s="106"/>
      <c r="C22" s="106"/>
      <c r="D22" s="106"/>
    </row>
    <row r="23" customFormat="false" ht="17.25" hidden="false" customHeight="true" outlineLevel="0" collapsed="false">
      <c r="B23" s="106" t="s">
        <v>11779</v>
      </c>
      <c r="C23" s="106"/>
      <c r="D23" s="106"/>
    </row>
    <row r="25" customFormat="false" ht="15.75" hidden="false" customHeight="true" outlineLevel="0" collapsed="false">
      <c r="B25" s="103" t="s">
        <v>1406</v>
      </c>
      <c r="C25" s="8"/>
      <c r="D25" s="8"/>
      <c r="E25" s="8"/>
      <c r="F25" s="8"/>
      <c r="G25" s="8"/>
      <c r="H25" s="8"/>
      <c r="I25" s="8"/>
      <c r="J25" s="8"/>
      <c r="K25" s="8"/>
    </row>
    <row r="26" customFormat="false" ht="17.25" hidden="false" customHeight="true" outlineLevel="0" collapsed="false">
      <c r="B26" s="107" t="s">
        <v>1407</v>
      </c>
      <c r="C26" s="107"/>
      <c r="E26" s="107" t="s">
        <v>1408</v>
      </c>
      <c r="F26" s="107"/>
      <c r="G26" s="107"/>
      <c r="H26" s="107"/>
    </row>
    <row r="27" customFormat="false" ht="17.25" hidden="false" customHeight="true" outlineLevel="0" collapsed="false">
      <c r="B27" s="106" t="s">
        <v>11780</v>
      </c>
      <c r="C27" s="106"/>
      <c r="E27" s="106" t="s">
        <v>11781</v>
      </c>
      <c r="F27" s="106"/>
      <c r="G27" s="106"/>
      <c r="H27" s="106"/>
    </row>
    <row r="28" customFormat="false" ht="31.5" hidden="false" customHeight="true" outlineLevel="0" collapsed="false">
      <c r="B28" s="106" t="s">
        <v>11782</v>
      </c>
      <c r="C28" s="106"/>
      <c r="E28" s="106" t="s">
        <v>11783</v>
      </c>
      <c r="F28" s="106"/>
      <c r="G28" s="106"/>
      <c r="H28" s="106"/>
    </row>
    <row r="29" customFormat="false" ht="31.5" hidden="false" customHeight="true" outlineLevel="0" collapsed="false">
      <c r="B29" s="106" t="s">
        <v>11784</v>
      </c>
      <c r="C29" s="106"/>
      <c r="E29" s="106" t="s">
        <v>11785</v>
      </c>
      <c r="F29" s="106"/>
      <c r="G29" s="106"/>
      <c r="H29" s="106"/>
    </row>
    <row r="30" customFormat="false" ht="17.25" hidden="false" customHeight="true" outlineLevel="0" collapsed="false">
      <c r="B30" s="106" t="s">
        <v>11786</v>
      </c>
      <c r="C30" s="106"/>
      <c r="D30" s="106"/>
    </row>
    <row r="32" customFormat="false" ht="17.25" hidden="false" customHeight="true" outlineLevel="0" collapsed="false">
      <c r="B32" s="152" t="s">
        <v>6621</v>
      </c>
      <c r="C32" s="152" t="s">
        <v>1417</v>
      </c>
      <c r="D32" s="152" t="s">
        <v>1418</v>
      </c>
      <c r="E32" s="152" t="s">
        <v>1419</v>
      </c>
      <c r="F32" s="152"/>
    </row>
    <row r="33" customFormat="false" ht="30.75" hidden="false" customHeight="true" outlineLevel="0" collapsed="false">
      <c r="B33" s="15" t="s">
        <v>11787</v>
      </c>
      <c r="C33" s="15" t="s">
        <v>11788</v>
      </c>
      <c r="D33" s="15" t="s">
        <v>11789</v>
      </c>
      <c r="E33" s="153" t="s">
        <v>6632</v>
      </c>
      <c r="F33" s="153"/>
    </row>
    <row r="34" customFormat="false" ht="30.75" hidden="false" customHeight="true" outlineLevel="0" collapsed="false">
      <c r="B34" s="15" t="s">
        <v>11790</v>
      </c>
      <c r="C34" s="15" t="s">
        <v>11791</v>
      </c>
      <c r="D34" s="15" t="s">
        <v>11792</v>
      </c>
      <c r="E34" s="153" t="s">
        <v>1078</v>
      </c>
      <c r="F34" s="153"/>
    </row>
    <row r="35" customFormat="false" ht="30.75" hidden="false" customHeight="true" outlineLevel="0" collapsed="false">
      <c r="B35" s="15" t="s">
        <v>11793</v>
      </c>
      <c r="C35" s="15" t="s">
        <v>11794</v>
      </c>
      <c r="D35" s="15" t="s">
        <v>11795</v>
      </c>
      <c r="E35" s="153" t="s">
        <v>9700</v>
      </c>
      <c r="F35" s="153"/>
    </row>
    <row r="36" customFormat="false" ht="30.75" hidden="false" customHeight="true" outlineLevel="0" collapsed="false">
      <c r="B36" s="15" t="s">
        <v>11796</v>
      </c>
      <c r="C36" s="15" t="s">
        <v>11797</v>
      </c>
      <c r="D36" s="15" t="s">
        <v>11798</v>
      </c>
      <c r="E36" s="153" t="s">
        <v>9554</v>
      </c>
      <c r="F36" s="153"/>
    </row>
    <row r="38" customFormat="false" ht="15.75" hidden="false" customHeight="true" outlineLevel="0" collapsed="false">
      <c r="B38" s="103" t="s">
        <v>1429</v>
      </c>
      <c r="C38" s="8"/>
      <c r="D38" s="8"/>
      <c r="E38" s="8"/>
      <c r="F38" s="8"/>
      <c r="G38" s="8"/>
      <c r="H38" s="8"/>
      <c r="I38" s="8"/>
      <c r="J38" s="8"/>
      <c r="K38" s="8"/>
    </row>
    <row r="39" customFormat="false" ht="16.5" hidden="false" customHeight="true" outlineLevel="0" collapsed="false">
      <c r="B39" s="122" t="s">
        <v>11799</v>
      </c>
    </row>
    <row r="40" customFormat="false" ht="9" hidden="false" customHeight="true" outlineLevel="0" collapsed="false">
      <c r="B40" s="106" t="s">
        <v>11800</v>
      </c>
      <c r="C40" s="106"/>
      <c r="D40" s="106"/>
    </row>
    <row r="41" customFormat="false" ht="9" hidden="false" customHeight="true" outlineLevel="0" collapsed="false">
      <c r="B41" s="106"/>
      <c r="C41" s="106"/>
      <c r="D41" s="106"/>
    </row>
    <row r="42" customFormat="false" ht="9" hidden="false" customHeight="true" outlineLevel="0" collapsed="false">
      <c r="B42" s="106"/>
      <c r="C42" s="106"/>
      <c r="D42" s="106"/>
    </row>
    <row r="43" customFormat="false" ht="9" hidden="false" customHeight="true" outlineLevel="0" collapsed="false">
      <c r="B43" s="106"/>
      <c r="C43" s="106"/>
      <c r="D43" s="106"/>
    </row>
    <row r="44" customFormat="false" ht="9" hidden="false" customHeight="true" outlineLevel="0" collapsed="false">
      <c r="B44" s="106"/>
      <c r="C44" s="106"/>
      <c r="D44" s="106"/>
    </row>
    <row r="45" customFormat="false" ht="9" hidden="false" customHeight="true" outlineLevel="0" collapsed="false">
      <c r="B45" s="106"/>
      <c r="C45" s="106"/>
      <c r="D45" s="106"/>
    </row>
    <row r="46" customFormat="false" ht="9" hidden="false" customHeight="true" outlineLevel="0" collapsed="false">
      <c r="B46" s="106"/>
      <c r="C46" s="106"/>
      <c r="D46" s="106"/>
    </row>
    <row r="47" customFormat="false" ht="9" hidden="false" customHeight="true" outlineLevel="0" collapsed="false">
      <c r="B47" s="106"/>
      <c r="C47" s="106"/>
      <c r="D47" s="106"/>
    </row>
    <row r="48" customFormat="false" ht="15" hidden="false" customHeight="true" outlineLevel="0" collapsed="false">
      <c r="B48" s="122"/>
    </row>
    <row r="49" customFormat="false" ht="8.25" hidden="false" customHeight="true" outlineLevel="0" collapsed="false">
      <c r="B49" s="106" t="s">
        <v>11801</v>
      </c>
      <c r="C49" s="106"/>
      <c r="D49" s="106"/>
    </row>
    <row r="50" customFormat="false" ht="8.25" hidden="false" customHeight="true" outlineLevel="0" collapsed="false">
      <c r="B50" s="106"/>
      <c r="C50" s="106"/>
      <c r="D50" s="106"/>
    </row>
    <row r="52" customFormat="false" ht="15.75" hidden="false" customHeight="true" outlineLevel="0" collapsed="false">
      <c r="B52" s="103" t="s">
        <v>1437</v>
      </c>
      <c r="C52" s="8"/>
      <c r="D52" s="8"/>
      <c r="E52" s="8"/>
      <c r="F52" s="8"/>
      <c r="G52" s="8"/>
      <c r="H52" s="8"/>
      <c r="I52" s="8"/>
      <c r="J52" s="8"/>
      <c r="K52" s="8"/>
    </row>
    <row r="53" customFormat="false" ht="16.5" hidden="false" customHeight="true" outlineLevel="0" collapsed="false">
      <c r="B53" s="152" t="s">
        <v>1438</v>
      </c>
      <c r="C53" s="152" t="s">
        <v>1439</v>
      </c>
      <c r="D53" s="152" t="s">
        <v>1440</v>
      </c>
    </row>
    <row r="54" customFormat="false" ht="16.5" hidden="false" customHeight="true" outlineLevel="0" collapsed="false">
      <c r="B54" s="15" t="s">
        <v>9185</v>
      </c>
      <c r="C54" s="15" t="s">
        <v>9186</v>
      </c>
      <c r="D54" s="15" t="s">
        <v>11802</v>
      </c>
    </row>
    <row r="55" customFormat="false" ht="16.5" hidden="false" customHeight="true" outlineLevel="0" collapsed="false">
      <c r="B55" s="15" t="s">
        <v>3248</v>
      </c>
      <c r="C55" s="15" t="s">
        <v>11803</v>
      </c>
      <c r="D55" s="15" t="s">
        <v>11804</v>
      </c>
    </row>
    <row r="56" customFormat="false" ht="16.5" hidden="false" customHeight="true" outlineLevel="0" collapsed="false">
      <c r="B56" s="15" t="s">
        <v>11805</v>
      </c>
      <c r="C56" s="15" t="s">
        <v>11806</v>
      </c>
      <c r="D56" s="15" t="s">
        <v>11807</v>
      </c>
    </row>
    <row r="57" customFormat="false" ht="30.75" hidden="false" customHeight="true" outlineLevel="0" collapsed="false">
      <c r="B57" s="15" t="s">
        <v>1562</v>
      </c>
      <c r="C57" s="15" t="s">
        <v>11808</v>
      </c>
      <c r="D57" s="15" t="s">
        <v>11809</v>
      </c>
    </row>
    <row r="59" customFormat="false" ht="15.75" hidden="false" customHeight="true" outlineLevel="0" collapsed="false">
      <c r="B59" s="103" t="s">
        <v>1454</v>
      </c>
      <c r="C59" s="8"/>
      <c r="D59" s="8"/>
      <c r="E59" s="8"/>
      <c r="F59" s="8"/>
      <c r="G59" s="8"/>
      <c r="H59" s="8"/>
      <c r="I59" s="8"/>
      <c r="J59" s="8"/>
      <c r="K59" s="8"/>
    </row>
    <row r="60" customFormat="false" ht="10.5" hidden="false" customHeight="true" outlineLevel="0" collapsed="false">
      <c r="B60" s="106" t="s">
        <v>11810</v>
      </c>
      <c r="C60" s="106"/>
      <c r="D60" s="106"/>
    </row>
    <row r="61" customFormat="false" ht="10.5" hidden="false" customHeight="true" outlineLevel="0" collapsed="false">
      <c r="B61" s="106"/>
      <c r="C61" s="106"/>
      <c r="D61" s="106"/>
    </row>
    <row r="62" customFormat="false" ht="10.5" hidden="false" customHeight="true" outlineLevel="0" collapsed="false">
      <c r="B62" s="106"/>
      <c r="C62" s="106"/>
      <c r="D62" s="106"/>
    </row>
    <row r="63" customFormat="false" ht="15" hidden="false" customHeight="true" outlineLevel="0" collapsed="false">
      <c r="B63" s="112" t="s">
        <v>85</v>
      </c>
      <c r="C63" s="154" t="s">
        <v>86</v>
      </c>
    </row>
    <row r="65" customFormat="false" ht="17.25" hidden="false" customHeight="true" outlineLevel="0" collapsed="false">
      <c r="B65" s="107" t="s">
        <v>11811</v>
      </c>
      <c r="C65" s="107"/>
      <c r="D65" s="107"/>
    </row>
    <row r="66" customFormat="false" ht="16.5" hidden="false" customHeight="true" outlineLevel="0" collapsed="false">
      <c r="B66" s="152" t="s">
        <v>11812</v>
      </c>
      <c r="C66" s="152" t="s">
        <v>29</v>
      </c>
      <c r="D66" s="152" t="s">
        <v>11813</v>
      </c>
    </row>
    <row r="67" customFormat="false" ht="44.25" hidden="false" customHeight="true" outlineLevel="0" collapsed="false">
      <c r="B67" s="15" t="s">
        <v>11814</v>
      </c>
      <c r="C67" s="177" t="s">
        <v>11815</v>
      </c>
      <c r="D67" s="15" t="s">
        <v>11816</v>
      </c>
    </row>
    <row r="68" customFormat="false" ht="44.25" hidden="false" customHeight="true" outlineLevel="0" collapsed="false">
      <c r="B68" s="15" t="s">
        <v>11817</v>
      </c>
      <c r="C68" s="177" t="s">
        <v>11818</v>
      </c>
      <c r="D68" s="15" t="s">
        <v>11819</v>
      </c>
    </row>
    <row r="69" customFormat="false" ht="30.75" hidden="false" customHeight="true" outlineLevel="0" collapsed="false">
      <c r="B69" s="15" t="s">
        <v>11820</v>
      </c>
      <c r="C69" s="177" t="s">
        <v>11821</v>
      </c>
      <c r="D69" s="15" t="s">
        <v>11822</v>
      </c>
    </row>
    <row r="70" customFormat="false" ht="58.5" hidden="false" customHeight="true" outlineLevel="0" collapsed="false">
      <c r="B70" s="15" t="s">
        <v>11823</v>
      </c>
      <c r="C70" s="177" t="s">
        <v>11824</v>
      </c>
      <c r="D70" s="15" t="s">
        <v>11825</v>
      </c>
    </row>
    <row r="71" customFormat="false" ht="44.25" hidden="false" customHeight="true" outlineLevel="0" collapsed="false">
      <c r="B71" s="15" t="s">
        <v>11826</v>
      </c>
      <c r="C71" s="177" t="s">
        <v>11827</v>
      </c>
      <c r="D71" s="15" t="s">
        <v>11828</v>
      </c>
    </row>
    <row r="72" customFormat="false" ht="16.5" hidden="false" customHeight="true" outlineLevel="0" collapsed="false">
      <c r="B72" s="15" t="s">
        <v>11829</v>
      </c>
      <c r="C72" s="177" t="s">
        <v>11830</v>
      </c>
      <c r="D72" s="15" t="s">
        <v>11831</v>
      </c>
    </row>
    <row r="73" customFormat="false" ht="30.75" hidden="false" customHeight="true" outlineLevel="0" collapsed="false">
      <c r="B73" s="15" t="s">
        <v>11832</v>
      </c>
      <c r="C73" s="177" t="s">
        <v>11833</v>
      </c>
      <c r="D73" s="15" t="s">
        <v>11834</v>
      </c>
    </row>
    <row r="74" customFormat="false" ht="30.75" hidden="false" customHeight="true" outlineLevel="0" collapsed="false">
      <c r="B74" s="15" t="s">
        <v>11835</v>
      </c>
      <c r="C74" s="177" t="s">
        <v>11836</v>
      </c>
      <c r="D74" s="15" t="s">
        <v>11837</v>
      </c>
    </row>
    <row r="76" customFormat="false" ht="17.25" hidden="false" customHeight="true" outlineLevel="0" collapsed="false">
      <c r="B76" s="107" t="s">
        <v>11838</v>
      </c>
      <c r="C76" s="107"/>
      <c r="D76" s="107"/>
    </row>
    <row r="77" customFormat="false" ht="30.75" hidden="false" customHeight="true" outlineLevel="0" collapsed="false">
      <c r="B77" s="152" t="s">
        <v>9241</v>
      </c>
      <c r="C77" s="152" t="s">
        <v>15</v>
      </c>
      <c r="D77" s="152" t="s">
        <v>9242</v>
      </c>
      <c r="E77" s="152" t="s">
        <v>6916</v>
      </c>
      <c r="F77" s="152" t="s">
        <v>8586</v>
      </c>
      <c r="G77" s="152" t="s">
        <v>9243</v>
      </c>
      <c r="H77" s="152" t="s">
        <v>5984</v>
      </c>
    </row>
    <row r="78" customFormat="false" ht="30.75" hidden="false" customHeight="true" outlineLevel="0" collapsed="false">
      <c r="B78" s="177" t="s">
        <v>11839</v>
      </c>
      <c r="C78" s="177" t="s">
        <v>6920</v>
      </c>
      <c r="D78" s="180" t="n">
        <v>46277</v>
      </c>
      <c r="E78" s="177" t="s">
        <v>11840</v>
      </c>
      <c r="F78" s="155" t="n">
        <v>1</v>
      </c>
      <c r="G78" s="161" t="n">
        <f aca="true">IFERROR(D78-TODAY(),"")</f>
        <v>45</v>
      </c>
      <c r="H78" s="167" t="str">
        <f aca="true">IF(F78=1,"Closed",IF(IFERROR(D78-TODAY(),0)&lt;0,"OVERDUE","On track"))</f>
        <v>Closed</v>
      </c>
    </row>
    <row r="79" customFormat="false" ht="16.5" hidden="false" customHeight="true" outlineLevel="0" collapsed="false">
      <c r="B79" s="177" t="s">
        <v>11841</v>
      </c>
      <c r="C79" s="177" t="s">
        <v>11842</v>
      </c>
      <c r="D79" s="180" t="n">
        <v>46291</v>
      </c>
      <c r="E79" s="177" t="s">
        <v>11840</v>
      </c>
      <c r="F79" s="155" t="n">
        <v>1</v>
      </c>
      <c r="G79" s="161" t="n">
        <f aca="true">IFERROR(D79-TODAY(),"")</f>
        <v>59</v>
      </c>
      <c r="H79" s="167" t="str">
        <f aca="true">IF(F79=1,"Closed",IF(IFERROR(D79-TODAY(),0)&lt;0,"OVERDUE","On track"))</f>
        <v>Closed</v>
      </c>
    </row>
    <row r="80" customFormat="false" ht="16.5" hidden="false" customHeight="true" outlineLevel="0" collapsed="false">
      <c r="B80" s="177" t="s">
        <v>11843</v>
      </c>
      <c r="C80" s="177" t="s">
        <v>7027</v>
      </c>
      <c r="D80" s="180" t="n">
        <v>46298</v>
      </c>
      <c r="E80" s="177" t="s">
        <v>6921</v>
      </c>
      <c r="F80" s="155" t="n">
        <v>0</v>
      </c>
      <c r="G80" s="161" t="n">
        <f aca="true">IFERROR(D80-TODAY(),"")</f>
        <v>66</v>
      </c>
      <c r="H80" s="167" t="str">
        <f aca="true">IF(F80=1,"Closed",IF(IFERROR(D80-TODAY(),0)&lt;0,"OVERDUE","On track"))</f>
        <v>On track</v>
      </c>
    </row>
    <row r="81" customFormat="false" ht="30.75" hidden="false" customHeight="true" outlineLevel="0" collapsed="false">
      <c r="B81" s="177" t="s">
        <v>11844</v>
      </c>
      <c r="C81" s="177" t="s">
        <v>7027</v>
      </c>
      <c r="D81" s="180" t="n">
        <v>46312</v>
      </c>
      <c r="E81" s="177" t="s">
        <v>6930</v>
      </c>
      <c r="F81" s="155" t="n">
        <v>0</v>
      </c>
      <c r="G81" s="161" t="n">
        <f aca="true">IFERROR(D81-TODAY(),"")</f>
        <v>80</v>
      </c>
      <c r="H81" s="167" t="str">
        <f aca="true">IF(F81=1,"Closed",IF(IFERROR(D81-TODAY(),0)&lt;0,"OVERDUE","On track"))</f>
        <v>On track</v>
      </c>
    </row>
    <row r="82" customFormat="false" ht="30.75" hidden="false" customHeight="true" outlineLevel="0" collapsed="false">
      <c r="B82" s="177" t="s">
        <v>11845</v>
      </c>
      <c r="C82" s="177" t="s">
        <v>6920</v>
      </c>
      <c r="D82" s="180" t="n">
        <v>46305</v>
      </c>
      <c r="E82" s="177" t="s">
        <v>6921</v>
      </c>
      <c r="F82" s="155" t="n">
        <v>0</v>
      </c>
      <c r="G82" s="161" t="n">
        <f aca="true">IFERROR(D82-TODAY(),"")</f>
        <v>73</v>
      </c>
      <c r="H82" s="167" t="str">
        <f aca="true">IF(F82=1,"Closed",IF(IFERROR(D82-TODAY(),0)&lt;0,"OVERDUE","On track"))</f>
        <v>On track</v>
      </c>
    </row>
    <row r="83" customFormat="false" ht="16.5" hidden="false" customHeight="true" outlineLevel="0" collapsed="false">
      <c r="B83" s="177" t="s">
        <v>11846</v>
      </c>
      <c r="C83" s="177" t="s">
        <v>7029</v>
      </c>
      <c r="D83" s="180" t="n">
        <v>46319</v>
      </c>
      <c r="E83" s="177" t="s">
        <v>6930</v>
      </c>
      <c r="F83" s="155" t="n">
        <v>0</v>
      </c>
      <c r="G83" s="161" t="n">
        <f aca="true">IFERROR(D83-TODAY(),"")</f>
        <v>87</v>
      </c>
      <c r="H83" s="167" t="str">
        <f aca="true">IF(F83=1,"Closed",IF(IFERROR(D83-TODAY(),0)&lt;0,"OVERDUE","On track"))</f>
        <v>On track</v>
      </c>
    </row>
    <row r="85" customFormat="false" ht="17.25" hidden="false" customHeight="true" outlineLevel="0" collapsed="false">
      <c r="B85" s="107" t="s">
        <v>11847</v>
      </c>
      <c r="C85" s="107"/>
      <c r="D85" s="107"/>
    </row>
    <row r="86" customFormat="false" ht="17.25" hidden="false" customHeight="true" outlineLevel="0" collapsed="false">
      <c r="B86" s="152" t="s">
        <v>1929</v>
      </c>
      <c r="C86" s="152" t="s">
        <v>8042</v>
      </c>
      <c r="D86" s="152" t="s">
        <v>8819</v>
      </c>
      <c r="E86" s="152" t="s">
        <v>11848</v>
      </c>
      <c r="F86" s="152" t="s">
        <v>11849</v>
      </c>
      <c r="G86" s="152" t="s">
        <v>11850</v>
      </c>
      <c r="H86" s="152"/>
    </row>
    <row r="87" customFormat="false" ht="17.25" hidden="false" customHeight="true" outlineLevel="0" collapsed="false">
      <c r="B87" s="15" t="s">
        <v>11851</v>
      </c>
      <c r="C87" s="157" t="n">
        <v>503.1</v>
      </c>
      <c r="D87" s="157" t="n">
        <v>500.8</v>
      </c>
      <c r="E87" s="157" t="n">
        <v>501.4</v>
      </c>
      <c r="F87" s="184" t="n">
        <f aca="false">IFERROR((C87-E87)/(C87-D87),0)</f>
        <v>0.739130434782625</v>
      </c>
      <c r="G87" s="167" t="str">
        <f aca="false">IF(E87&lt;=D87,"YES","Not yet")</f>
        <v>Not yet</v>
      </c>
      <c r="H87" s="167"/>
    </row>
    <row r="88" customFormat="false" ht="17.25" hidden="false" customHeight="true" outlineLevel="0" collapsed="false">
      <c r="B88" s="15" t="s">
        <v>11074</v>
      </c>
      <c r="C88" s="157" t="n">
        <v>1.9</v>
      </c>
      <c r="D88" s="157" t="n">
        <v>1.2</v>
      </c>
      <c r="E88" s="157" t="n">
        <v>1.3</v>
      </c>
      <c r="F88" s="184" t="n">
        <f aca="false">IFERROR((C88-E88)/(C88-D88),0)</f>
        <v>0.857142857142857</v>
      </c>
      <c r="G88" s="167" t="str">
        <f aca="false">IF(E88&lt;=D88,"YES","Not yet")</f>
        <v>Not yet</v>
      </c>
      <c r="H88" s="167"/>
    </row>
    <row r="89" customFormat="false" ht="17.25" hidden="false" customHeight="true" outlineLevel="0" collapsed="false">
      <c r="B89" s="15" t="s">
        <v>10028</v>
      </c>
      <c r="C89" s="191" t="n">
        <v>0.042</v>
      </c>
      <c r="D89" s="191" t="n">
        <v>0.01</v>
      </c>
      <c r="E89" s="191" t="n">
        <v>0.014</v>
      </c>
      <c r="F89" s="184" t="n">
        <f aca="false">IFERROR((C89-E89)/(C89-D89),0)</f>
        <v>0.875</v>
      </c>
      <c r="G89" s="167" t="str">
        <f aca="false">IF(E89&lt;=D89,"YES","Not yet")</f>
        <v>Not yet</v>
      </c>
      <c r="H89" s="167"/>
    </row>
    <row r="91" customFormat="false" ht="16.5" hidden="false" customHeight="true" outlineLevel="0" collapsed="false">
      <c r="B91" s="152" t="s">
        <v>6689</v>
      </c>
      <c r="C91" s="152" t="s">
        <v>6654</v>
      </c>
      <c r="D91" s="152" t="s">
        <v>88</v>
      </c>
    </row>
    <row r="92" customFormat="false" ht="16.5" hidden="false" customHeight="true" outlineLevel="0" collapsed="false">
      <c r="B92" s="15" t="s">
        <v>11852</v>
      </c>
      <c r="C92" s="161" t="n">
        <f aca="false">COUNTA(B78:B83)</f>
        <v>6</v>
      </c>
      <c r="D92" s="15"/>
    </row>
    <row r="93" customFormat="false" ht="16.5" hidden="false" customHeight="true" outlineLevel="0" collapsed="false">
      <c r="B93" s="15" t="s">
        <v>11853</v>
      </c>
      <c r="C93" s="161" t="n">
        <f aca="false">SUM(F78:F83)</f>
        <v>2</v>
      </c>
      <c r="D93" s="15"/>
    </row>
    <row r="94" customFormat="false" ht="16.5" hidden="false" customHeight="true" outlineLevel="0" collapsed="false">
      <c r="B94" s="15" t="s">
        <v>6937</v>
      </c>
      <c r="C94" s="184" t="n">
        <f aca="false">IFERROR(SUM(F78:F83)/COUNTA(B78:B83),0)</f>
        <v>0.333333333333333</v>
      </c>
      <c r="D94" s="15"/>
    </row>
    <row r="95" customFormat="false" ht="16.5" hidden="false" customHeight="true" outlineLevel="0" collapsed="false">
      <c r="B95" s="15" t="s">
        <v>9262</v>
      </c>
      <c r="C95" s="161" t="n">
        <f aca="false">COUNTIF(H78:H83,"OVERDUE")</f>
        <v>0</v>
      </c>
      <c r="D95" s="15" t="s">
        <v>11854</v>
      </c>
    </row>
    <row r="96" customFormat="false" ht="16.5" hidden="false" customHeight="true" outlineLevel="0" collapsed="false">
      <c r="B96" s="15" t="s">
        <v>11855</v>
      </c>
      <c r="C96" s="161" t="n">
        <f aca="false">COUNTIF(G87:G89,"YES")</f>
        <v>0</v>
      </c>
      <c r="D96" s="15" t="s">
        <v>9503</v>
      </c>
    </row>
    <row r="97" customFormat="false" ht="30.75" hidden="false" customHeight="true" outlineLevel="0" collapsed="false">
      <c r="B97" s="15" t="s">
        <v>11856</v>
      </c>
      <c r="C97" s="184" t="n">
        <f aca="false">IFERROR(AVERAGE(F87:F89),0)</f>
        <v>0.823757763975161</v>
      </c>
      <c r="D97" s="15" t="s">
        <v>11857</v>
      </c>
    </row>
    <row r="99" customFormat="false" ht="15.75" hidden="false" customHeight="true" outlineLevel="0" collapsed="false">
      <c r="B99" s="103" t="s">
        <v>1493</v>
      </c>
      <c r="C99" s="8"/>
      <c r="D99" s="8"/>
      <c r="E99" s="8"/>
      <c r="F99" s="8"/>
      <c r="G99" s="8"/>
      <c r="H99" s="8"/>
      <c r="I99" s="8"/>
      <c r="J99" s="8"/>
      <c r="K99" s="8"/>
    </row>
    <row r="100" customFormat="false" ht="63" hidden="false" customHeight="true" outlineLevel="0" collapsed="false">
      <c r="B100" s="105" t="s">
        <v>1494</v>
      </c>
      <c r="C100" s="168" t="str">
        <f aca="false">"The A3 plan is "&amp;TEXT(C94,"0%")&amp;" complete with "&amp;TEXT(C95,"0")&amp;" overdue action(s), and has closed "&amp;TEXT(C97,"0%")&amp;" of the gap to the target condition, meeting "&amp;TEXT(C96,"0")&amp;" of 3 targets. "&amp;IF(C95&gt;0,"Overdue actions are open, so the confirmation measurement is being taken against an incomplete implementation — expect the result to understate the counter-measures.",IF(C96=3,"All three targets are met. Close the A3 only after the follow-up in box 8 confirms the gain has held.","The plan is on track but the target condition is not yet reached. Do not close the A3 or claim the benefit yet."))</f>
        <v>The A3 plan is 33% complete with 0 overdue action(s), and has closed 82% of the gap to the target condition, meeting 0 of 3 targets. The plan is on track but the target condition is not yet reached. Do not close the A3 or claim the benefit yet.</v>
      </c>
    </row>
    <row r="102" customFormat="false" ht="16.5" hidden="false" customHeight="true" outlineLevel="0" collapsed="false">
      <c r="B102" s="152" t="s">
        <v>1495</v>
      </c>
      <c r="C102" s="152" t="s">
        <v>1496</v>
      </c>
      <c r="D102" s="152" t="s">
        <v>1497</v>
      </c>
    </row>
    <row r="103" customFormat="false" ht="30.75" hidden="false" customHeight="true" outlineLevel="0" collapsed="false">
      <c r="B103" s="15" t="s">
        <v>11858</v>
      </c>
      <c r="C103" s="15" t="s">
        <v>11859</v>
      </c>
      <c r="D103" s="15" t="s">
        <v>11860</v>
      </c>
    </row>
    <row r="104" customFormat="false" ht="30.75" hidden="false" customHeight="true" outlineLevel="0" collapsed="false">
      <c r="B104" s="15" t="s">
        <v>11861</v>
      </c>
      <c r="C104" s="15" t="s">
        <v>11862</v>
      </c>
      <c r="D104" s="15" t="s">
        <v>11863</v>
      </c>
    </row>
    <row r="105" customFormat="false" ht="30.75" hidden="false" customHeight="true" outlineLevel="0" collapsed="false">
      <c r="B105" s="15" t="s">
        <v>6937</v>
      </c>
      <c r="C105" s="15" t="s">
        <v>11864</v>
      </c>
      <c r="D105" s="15" t="s">
        <v>11865</v>
      </c>
    </row>
    <row r="106" customFormat="false" ht="30.75" hidden="false" customHeight="true" outlineLevel="0" collapsed="false">
      <c r="B106" s="15" t="s">
        <v>11866</v>
      </c>
      <c r="C106" s="15" t="s">
        <v>2939</v>
      </c>
      <c r="D106" s="15" t="s">
        <v>11867</v>
      </c>
    </row>
    <row r="107" customFormat="false" ht="30.75" hidden="false" customHeight="true" outlineLevel="0" collapsed="false">
      <c r="B107" s="15" t="s">
        <v>15</v>
      </c>
      <c r="C107" s="15" t="s">
        <v>11868</v>
      </c>
      <c r="D107" s="15" t="s">
        <v>11869</v>
      </c>
    </row>
    <row r="109" customFormat="false" ht="15" hidden="false" customHeight="true" outlineLevel="0" collapsed="false">
      <c r="B109" s="105" t="s">
        <v>1507</v>
      </c>
    </row>
    <row r="110" customFormat="false" ht="17.25" hidden="false" customHeight="true" outlineLevel="0" collapsed="false">
      <c r="B110" s="106" t="s">
        <v>11870</v>
      </c>
      <c r="C110" s="106"/>
      <c r="D110" s="106"/>
    </row>
    <row r="111" customFormat="false" ht="17.25" hidden="false" customHeight="true" outlineLevel="0" collapsed="false">
      <c r="B111" s="106" t="s">
        <v>11871</v>
      </c>
      <c r="C111" s="106"/>
      <c r="D111" s="106"/>
    </row>
    <row r="112" customFormat="false" ht="17.25" hidden="false" customHeight="true" outlineLevel="0" collapsed="false">
      <c r="B112" s="106" t="s">
        <v>11872</v>
      </c>
      <c r="C112" s="106"/>
      <c r="D112" s="106"/>
    </row>
    <row r="113" customFormat="false" ht="17.25" hidden="false" customHeight="true" outlineLevel="0" collapsed="false">
      <c r="B113" s="106" t="s">
        <v>11873</v>
      </c>
      <c r="C113" s="106"/>
      <c r="D113" s="106"/>
    </row>
    <row r="114" customFormat="false" ht="17.25" hidden="false" customHeight="true" outlineLevel="0" collapsed="false">
      <c r="B114" s="106" t="s">
        <v>11874</v>
      </c>
      <c r="C114" s="106"/>
      <c r="D114" s="106"/>
    </row>
    <row r="116" customFormat="false" ht="15.75" hidden="false" customHeight="true" outlineLevel="0" collapsed="false">
      <c r="B116" s="103" t="s">
        <v>1513</v>
      </c>
      <c r="C116" s="8"/>
      <c r="D116" s="8"/>
      <c r="E116" s="8"/>
      <c r="F116" s="8"/>
      <c r="G116" s="8"/>
      <c r="H116" s="8"/>
      <c r="I116" s="8"/>
      <c r="J116" s="8"/>
      <c r="K116" s="8"/>
    </row>
    <row r="117" customFormat="false" ht="17.25" hidden="false" customHeight="true" outlineLevel="0" collapsed="false">
      <c r="B117" s="106" t="s">
        <v>6712</v>
      </c>
      <c r="C117" s="106"/>
      <c r="N117" s="169" t="s">
        <v>1515</v>
      </c>
    </row>
    <row r="118" customFormat="false" ht="44.25" hidden="false" customHeight="true" outlineLevel="0" collapsed="false">
      <c r="B118" s="106" t="s">
        <v>11875</v>
      </c>
      <c r="C118" s="106"/>
      <c r="N118" s="120" t="s">
        <v>11876</v>
      </c>
    </row>
    <row r="119" customFormat="false" ht="44.25" hidden="false" customHeight="true" outlineLevel="0" collapsed="false">
      <c r="B119" s="106" t="s">
        <v>11877</v>
      </c>
      <c r="C119" s="106"/>
      <c r="N119" s="120" t="s">
        <v>11878</v>
      </c>
    </row>
    <row r="120" customFormat="false" ht="44.25" hidden="false" customHeight="true" outlineLevel="0" collapsed="false">
      <c r="B120" s="106" t="s">
        <v>11879</v>
      </c>
      <c r="C120" s="106"/>
      <c r="N120" s="120" t="s">
        <v>11880</v>
      </c>
    </row>
    <row r="122" customFormat="false" ht="15.75" hidden="false" customHeight="true" outlineLevel="0" collapsed="false">
      <c r="B122" s="103" t="s">
        <v>1522</v>
      </c>
      <c r="C122" s="8"/>
      <c r="D122" s="8"/>
      <c r="E122" s="8"/>
      <c r="F122" s="8"/>
      <c r="G122" s="8"/>
      <c r="H122" s="8"/>
      <c r="I122" s="8"/>
      <c r="J122" s="8"/>
      <c r="K122" s="8"/>
    </row>
    <row r="123" customFormat="false" ht="30.75" hidden="false" customHeight="true" outlineLevel="0" collapsed="false">
      <c r="B123" s="152" t="s">
        <v>1523</v>
      </c>
      <c r="C123" s="152" t="s">
        <v>1524</v>
      </c>
      <c r="D123" s="152" t="s">
        <v>6719</v>
      </c>
    </row>
    <row r="124" customFormat="false" ht="16.5" hidden="false" customHeight="true" outlineLevel="0" collapsed="false">
      <c r="B124" s="170" t="s">
        <v>7979</v>
      </c>
      <c r="C124" s="170" t="s">
        <v>1167</v>
      </c>
      <c r="D124" s="170" t="s">
        <v>1078</v>
      </c>
    </row>
  </sheetData>
  <mergeCells count="41">
    <mergeCell ref="B2:J2"/>
    <mergeCell ref="D3:G3"/>
    <mergeCell ref="B11:D12"/>
    <mergeCell ref="B13:D14"/>
    <mergeCell ref="B15:D17"/>
    <mergeCell ref="B18:D20"/>
    <mergeCell ref="B21:D22"/>
    <mergeCell ref="B23:D23"/>
    <mergeCell ref="B26:C26"/>
    <mergeCell ref="E26:H26"/>
    <mergeCell ref="B27:C27"/>
    <mergeCell ref="E27:H27"/>
    <mergeCell ref="B28:C28"/>
    <mergeCell ref="E28:H28"/>
    <mergeCell ref="B29:C29"/>
    <mergeCell ref="E29:H29"/>
    <mergeCell ref="B30:D30"/>
    <mergeCell ref="E32:F32"/>
    <mergeCell ref="E33:F33"/>
    <mergeCell ref="E34:F34"/>
    <mergeCell ref="E35:F35"/>
    <mergeCell ref="E36:F36"/>
    <mergeCell ref="B40:D47"/>
    <mergeCell ref="B49:D50"/>
    <mergeCell ref="B60:D62"/>
    <mergeCell ref="B65:D65"/>
    <mergeCell ref="B76:D76"/>
    <mergeCell ref="B85:D85"/>
    <mergeCell ref="G86:H86"/>
    <mergeCell ref="G87:H87"/>
    <mergeCell ref="G88:H88"/>
    <mergeCell ref="G89:H89"/>
    <mergeCell ref="B110:D110"/>
    <mergeCell ref="B111:D111"/>
    <mergeCell ref="B112:D112"/>
    <mergeCell ref="B113:D113"/>
    <mergeCell ref="B114:D114"/>
    <mergeCell ref="B117:C117"/>
    <mergeCell ref="B118:C118"/>
    <mergeCell ref="B119:C119"/>
    <mergeCell ref="B120:C120"/>
  </mergeCells>
  <hyperlinks>
    <hyperlink ref="B3" location="'N-03 Index DMAIC'!A1" display="← Back to Index"/>
    <hyperlink ref="E33" location="'H-05 Check Sheets'!A1" display="H-05  Check Sheets"/>
    <hyperlink ref="E34" location="'H-11 5 Whys'!A1" display="H-11  5 Whys"/>
    <hyperlink ref="E35" location="'L-25 Solution Selection'!A1" display="L-25  Solution Selection"/>
    <hyperlink ref="E36" location="'L-26 Pilot and Confirmation'!A1" display="L-26  Pilot and Confirmation Run"/>
    <hyperlink ref="B124" location="'L-23 PDCA'!A1" display="L-23  PDCA / PDSA Cycle"/>
    <hyperlink ref="C124" location="'H-15 8D Problem Solving'!A1" display="H-15  8D Problem Solving"/>
    <hyperlink ref="D124" location="'H-11 5 Whys'!A1" display="H-11  5 Why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N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4"/>
    <col collapsed="false" customWidth="true" hidden="false" outlineLevel="0" max="4" min="4" style="1" width="60"/>
    <col collapsed="false" customWidth="true" hidden="false" outlineLevel="0" max="6" min="5" style="1" width="16"/>
    <col collapsed="false" customWidth="true" hidden="false" outlineLevel="0" max="7" min="7" style="1" width="14"/>
    <col collapsed="false" customWidth="true" hidden="false" outlineLevel="0" max="8" min="8" style="1" width="12"/>
    <col collapsed="false" customWidth="true" hidden="false" outlineLevel="0" max="9" min="9" style="1" width="18"/>
    <col collapsed="false" customWidth="true" hidden="false" outlineLevel="0" max="10" min="10" style="1" width="3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11881</v>
      </c>
      <c r="C2" s="148"/>
      <c r="D2" s="148"/>
      <c r="E2" s="148"/>
      <c r="F2" s="148"/>
      <c r="G2" s="148"/>
      <c r="H2" s="148"/>
      <c r="I2" s="148"/>
      <c r="J2" s="148"/>
      <c r="K2" s="202" t="s">
        <v>2</v>
      </c>
    </row>
    <row r="3" customFormat="false" ht="28.5" hidden="false" customHeight="true" outlineLevel="0" collapsed="false">
      <c r="B3" s="150" t="s">
        <v>3</v>
      </c>
      <c r="D3" s="151" t="s">
        <v>11882</v>
      </c>
      <c r="E3" s="151"/>
      <c r="F3" s="151"/>
      <c r="G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11883</v>
      </c>
      <c r="D6" s="106"/>
    </row>
    <row r="7" customFormat="false" ht="31.5" hidden="false" customHeight="true" outlineLevel="0" collapsed="false">
      <c r="B7" s="105" t="s">
        <v>1394</v>
      </c>
      <c r="C7" s="106" t="s">
        <v>11884</v>
      </c>
      <c r="D7" s="106"/>
    </row>
    <row r="8" customFormat="false" ht="31.5" hidden="false" customHeight="true" outlineLevel="0" collapsed="false">
      <c r="B8" s="105" t="s">
        <v>1396</v>
      </c>
      <c r="C8" s="106" t="s">
        <v>11885</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11886</v>
      </c>
      <c r="C11" s="106"/>
      <c r="D11" s="106"/>
    </row>
    <row r="12" customFormat="false" ht="10.5" hidden="false" customHeight="true" outlineLevel="0" collapsed="false">
      <c r="B12" s="106"/>
      <c r="C12" s="106"/>
      <c r="D12" s="106"/>
    </row>
    <row r="13" customFormat="false" ht="10.5" hidden="false" customHeight="true" outlineLevel="0" collapsed="false">
      <c r="B13" s="106"/>
      <c r="C13" s="106"/>
      <c r="D13" s="106"/>
    </row>
    <row r="14" customFormat="false" ht="11.25" hidden="false" customHeight="true" outlineLevel="0" collapsed="false">
      <c r="B14" s="106" t="s">
        <v>11887</v>
      </c>
      <c r="C14" s="106"/>
      <c r="D14" s="106"/>
    </row>
    <row r="15" customFormat="false" ht="11.25" hidden="false" customHeight="true" outlineLevel="0" collapsed="false">
      <c r="B15" s="106"/>
      <c r="C15" s="106"/>
      <c r="D15" s="106"/>
    </row>
    <row r="16" customFormat="false" ht="11.25" hidden="false" customHeight="true" outlineLevel="0" collapsed="false">
      <c r="B16" s="106"/>
      <c r="C16" s="106"/>
      <c r="D16" s="106"/>
    </row>
    <row r="17" customFormat="false" ht="11.25" hidden="false" customHeight="true" outlineLevel="0" collapsed="false">
      <c r="B17" s="106"/>
      <c r="C17" s="106"/>
      <c r="D17" s="106"/>
    </row>
    <row r="18" customFormat="false" ht="11.25" hidden="false" customHeight="true" outlineLevel="0" collapsed="false">
      <c r="B18" s="106" t="s">
        <v>11888</v>
      </c>
      <c r="C18" s="106"/>
      <c r="D18" s="106"/>
    </row>
    <row r="19" customFormat="false" ht="11.25" hidden="false" customHeight="true" outlineLevel="0" collapsed="false">
      <c r="B19" s="106"/>
      <c r="C19" s="106"/>
      <c r="D19" s="106"/>
    </row>
    <row r="20" customFormat="false" ht="11.25" hidden="false" customHeight="true" outlineLevel="0" collapsed="false">
      <c r="B20" s="106"/>
      <c r="C20" s="106"/>
      <c r="D20" s="106"/>
    </row>
    <row r="21" customFormat="false" ht="11.25" hidden="false" customHeight="true" outlineLevel="0" collapsed="false">
      <c r="B21" s="106"/>
      <c r="C21" s="106"/>
      <c r="D21" s="106"/>
    </row>
    <row r="22" customFormat="false" ht="10.5" hidden="false" customHeight="true" outlineLevel="0" collapsed="false">
      <c r="B22" s="106" t="s">
        <v>11889</v>
      </c>
      <c r="C22" s="106"/>
      <c r="D22" s="106"/>
    </row>
    <row r="23" customFormat="false" ht="10.5" hidden="false" customHeight="true" outlineLevel="0" collapsed="false">
      <c r="B23" s="106"/>
      <c r="C23" s="106"/>
      <c r="D23" s="106"/>
    </row>
    <row r="24" customFormat="false" ht="10.5" hidden="false" customHeight="true" outlineLevel="0" collapsed="false">
      <c r="B24" s="106"/>
      <c r="C24" s="106"/>
      <c r="D24" s="106"/>
    </row>
    <row r="25" customFormat="false" ht="11.25" hidden="false" customHeight="true" outlineLevel="0" collapsed="false">
      <c r="B25" s="106" t="s">
        <v>11890</v>
      </c>
      <c r="C25" s="106"/>
      <c r="D25" s="106"/>
    </row>
    <row r="26" customFormat="false" ht="11.25" hidden="false" customHeight="true" outlineLevel="0" collapsed="false">
      <c r="B26" s="106"/>
      <c r="C26" s="106"/>
      <c r="D26" s="106"/>
    </row>
    <row r="27" customFormat="false" ht="11.25" hidden="false" customHeight="true" outlineLevel="0" collapsed="false">
      <c r="B27" s="106"/>
      <c r="C27" s="106"/>
      <c r="D27" s="106"/>
    </row>
    <row r="28" customFormat="false" ht="11.25" hidden="false" customHeight="true" outlineLevel="0" collapsed="false">
      <c r="B28" s="106"/>
      <c r="C28" s="106"/>
      <c r="D28" s="106"/>
    </row>
    <row r="29" customFormat="false" ht="8.25" hidden="false" customHeight="true" outlineLevel="0" collapsed="false">
      <c r="B29" s="106" t="s">
        <v>11891</v>
      </c>
      <c r="C29" s="106"/>
      <c r="D29" s="106"/>
    </row>
    <row r="30" customFormat="false" ht="8.25" hidden="false" customHeight="true" outlineLevel="0" collapsed="false">
      <c r="B30" s="106"/>
      <c r="C30" s="106"/>
      <c r="D30" s="106"/>
    </row>
    <row r="32" customFormat="false" ht="15.75" hidden="false" customHeight="true" outlineLevel="0" collapsed="false">
      <c r="B32" s="103" t="s">
        <v>1406</v>
      </c>
      <c r="C32" s="8"/>
      <c r="D32" s="8"/>
      <c r="E32" s="8"/>
      <c r="F32" s="8"/>
      <c r="G32" s="8"/>
      <c r="H32" s="8"/>
      <c r="I32" s="8"/>
      <c r="J32" s="8"/>
      <c r="K32" s="8"/>
    </row>
    <row r="33" customFormat="false" ht="17.25" hidden="false" customHeight="true" outlineLevel="0" collapsed="false">
      <c r="B33" s="107" t="s">
        <v>1407</v>
      </c>
      <c r="C33" s="107"/>
      <c r="E33" s="107" t="s">
        <v>1408</v>
      </c>
      <c r="F33" s="107"/>
      <c r="G33" s="107"/>
      <c r="H33" s="107"/>
      <c r="I33" s="107"/>
    </row>
    <row r="34" customFormat="false" ht="17.25" hidden="false" customHeight="true" outlineLevel="0" collapsed="false">
      <c r="B34" s="106" t="s">
        <v>11892</v>
      </c>
      <c r="C34" s="106"/>
      <c r="E34" s="106" t="s">
        <v>11893</v>
      </c>
      <c r="F34" s="106"/>
      <c r="G34" s="106"/>
      <c r="H34" s="106"/>
      <c r="I34" s="106"/>
    </row>
    <row r="35" customFormat="false" ht="31.5" hidden="false" customHeight="true" outlineLevel="0" collapsed="false">
      <c r="B35" s="106" t="s">
        <v>11894</v>
      </c>
      <c r="C35" s="106"/>
      <c r="E35" s="106" t="s">
        <v>11895</v>
      </c>
      <c r="F35" s="106"/>
      <c r="G35" s="106"/>
      <c r="H35" s="106"/>
      <c r="I35" s="106"/>
    </row>
    <row r="36" customFormat="false" ht="31.5" hidden="false" customHeight="true" outlineLevel="0" collapsed="false">
      <c r="B36" s="106" t="s">
        <v>11896</v>
      </c>
      <c r="C36" s="106"/>
      <c r="E36" s="106" t="s">
        <v>11897</v>
      </c>
      <c r="F36" s="106"/>
      <c r="G36" s="106"/>
      <c r="H36" s="106"/>
      <c r="I36" s="106"/>
    </row>
    <row r="37" customFormat="false" ht="17.25" hidden="false" customHeight="true" outlineLevel="0" collapsed="false">
      <c r="B37" s="106" t="s">
        <v>11898</v>
      </c>
      <c r="C37" s="106"/>
      <c r="D37" s="106"/>
    </row>
    <row r="39" customFormat="false" ht="17.25" hidden="false" customHeight="true" outlineLevel="0" collapsed="false">
      <c r="B39" s="152" t="s">
        <v>6621</v>
      </c>
      <c r="C39" s="152" t="s">
        <v>1417</v>
      </c>
      <c r="D39" s="152" t="s">
        <v>1418</v>
      </c>
      <c r="E39" s="152" t="s">
        <v>1419</v>
      </c>
      <c r="F39" s="152"/>
    </row>
    <row r="40" customFormat="false" ht="30.75" hidden="false" customHeight="true" outlineLevel="0" collapsed="false">
      <c r="B40" s="15" t="s">
        <v>11899</v>
      </c>
      <c r="C40" s="15" t="s">
        <v>11900</v>
      </c>
      <c r="D40" s="15" t="s">
        <v>11901</v>
      </c>
      <c r="E40" s="153" t="s">
        <v>6632</v>
      </c>
      <c r="F40" s="153"/>
    </row>
    <row r="41" customFormat="false" ht="30.75" hidden="false" customHeight="true" outlineLevel="0" collapsed="false">
      <c r="B41" s="15" t="s">
        <v>11902</v>
      </c>
      <c r="C41" s="15" t="s">
        <v>11903</v>
      </c>
      <c r="D41" s="15" t="s">
        <v>11904</v>
      </c>
      <c r="E41" s="153" t="s">
        <v>1078</v>
      </c>
      <c r="F41" s="153"/>
    </row>
    <row r="42" customFormat="false" ht="31.5" hidden="false" customHeight="true" outlineLevel="0" collapsed="false">
      <c r="B42" s="15" t="s">
        <v>11905</v>
      </c>
      <c r="C42" s="15" t="s">
        <v>11906</v>
      </c>
      <c r="D42" s="15" t="s">
        <v>11907</v>
      </c>
      <c r="E42" s="153" t="s">
        <v>9554</v>
      </c>
      <c r="F42" s="153"/>
    </row>
    <row r="43" customFormat="false" ht="30.75" hidden="false" customHeight="true" outlineLevel="0" collapsed="false">
      <c r="B43" s="15" t="s">
        <v>11908</v>
      </c>
      <c r="C43" s="15" t="s">
        <v>11909</v>
      </c>
      <c r="D43" s="15" t="s">
        <v>11910</v>
      </c>
      <c r="E43" s="153" t="s">
        <v>8637</v>
      </c>
      <c r="F43" s="153"/>
    </row>
    <row r="45" customFormat="false" ht="15.75" hidden="false" customHeight="true" outlineLevel="0" collapsed="false">
      <c r="B45" s="103" t="s">
        <v>1429</v>
      </c>
      <c r="C45" s="8"/>
      <c r="D45" s="8"/>
      <c r="E45" s="8"/>
      <c r="F45" s="8"/>
      <c r="G45" s="8"/>
      <c r="H45" s="8"/>
      <c r="I45" s="8"/>
      <c r="J45" s="8"/>
      <c r="K45" s="8"/>
    </row>
    <row r="46" customFormat="false" ht="16.5" hidden="false" customHeight="true" outlineLevel="0" collapsed="false">
      <c r="B46" s="122" t="s">
        <v>11911</v>
      </c>
    </row>
    <row r="47" customFormat="false" ht="17.25" hidden="false" customHeight="true" outlineLevel="0" collapsed="false">
      <c r="B47" s="106" t="s">
        <v>11912</v>
      </c>
      <c r="C47" s="106"/>
      <c r="D47" s="106"/>
    </row>
    <row r="48" customFormat="false" ht="17.25" hidden="false" customHeight="true" outlineLevel="0" collapsed="false">
      <c r="B48" s="106" t="s">
        <v>11913</v>
      </c>
      <c r="C48" s="106"/>
      <c r="D48" s="106"/>
    </row>
    <row r="49" customFormat="false" ht="17.25" hidden="false" customHeight="true" outlineLevel="0" collapsed="false">
      <c r="B49" s="106" t="s">
        <v>11914</v>
      </c>
      <c r="C49" s="106"/>
      <c r="D49" s="106"/>
    </row>
    <row r="50" customFormat="false" ht="17.25" hidden="false" customHeight="true" outlineLevel="0" collapsed="false">
      <c r="B50" s="106" t="s">
        <v>11915</v>
      </c>
      <c r="C50" s="106"/>
      <c r="D50" s="106"/>
    </row>
    <row r="51" customFormat="false" ht="17.25" hidden="false" customHeight="true" outlineLevel="0" collapsed="false">
      <c r="B51" s="106" t="s">
        <v>11916</v>
      </c>
      <c r="C51" s="106"/>
      <c r="D51" s="106"/>
    </row>
    <row r="52" customFormat="false" ht="17.25" hidden="false" customHeight="true" outlineLevel="0" collapsed="false">
      <c r="B52" s="106" t="s">
        <v>11917</v>
      </c>
      <c r="C52" s="106"/>
      <c r="D52" s="106"/>
    </row>
    <row r="53" customFormat="false" ht="17.25" hidden="false" customHeight="true" outlineLevel="0" collapsed="false">
      <c r="B53" s="106" t="s">
        <v>11918</v>
      </c>
      <c r="C53" s="106"/>
      <c r="D53" s="106"/>
    </row>
    <row r="54" customFormat="false" ht="17.25" hidden="false" customHeight="true" outlineLevel="0" collapsed="false">
      <c r="B54" s="106" t="s">
        <v>11919</v>
      </c>
      <c r="C54" s="106"/>
      <c r="D54" s="106"/>
    </row>
    <row r="55" customFormat="false" ht="17.25" hidden="false" customHeight="true" outlineLevel="0" collapsed="false">
      <c r="B55" s="106" t="s">
        <v>11920</v>
      </c>
      <c r="C55" s="106"/>
      <c r="D55" s="106"/>
    </row>
    <row r="56" customFormat="false" ht="15" hidden="false" customHeight="true" outlineLevel="0" collapsed="false">
      <c r="B56" s="122"/>
    </row>
    <row r="57" customFormat="false" ht="17.25" hidden="false" customHeight="true" outlineLevel="0" collapsed="false">
      <c r="B57" s="106" t="s">
        <v>11921</v>
      </c>
      <c r="C57" s="106"/>
      <c r="D57" s="106"/>
    </row>
    <row r="58" customFormat="false" ht="17.25" hidden="false" customHeight="true" outlineLevel="0" collapsed="false">
      <c r="B58" s="106" t="s">
        <v>11922</v>
      </c>
      <c r="C58" s="106"/>
      <c r="D58" s="106"/>
    </row>
    <row r="60" customFormat="false" ht="15.75" hidden="false" customHeight="true" outlineLevel="0" collapsed="false">
      <c r="B60" s="103" t="s">
        <v>1437</v>
      </c>
      <c r="C60" s="8"/>
      <c r="D60" s="8"/>
      <c r="E60" s="8"/>
      <c r="F60" s="8"/>
      <c r="G60" s="8"/>
      <c r="H60" s="8"/>
      <c r="I60" s="8"/>
      <c r="J60" s="8"/>
      <c r="K60" s="8"/>
    </row>
    <row r="61" customFormat="false" ht="16.5" hidden="false" customHeight="true" outlineLevel="0" collapsed="false">
      <c r="B61" s="152" t="s">
        <v>1438</v>
      </c>
      <c r="C61" s="152" t="s">
        <v>1439</v>
      </c>
      <c r="D61" s="152" t="s">
        <v>1440</v>
      </c>
    </row>
    <row r="62" customFormat="false" ht="16.5" hidden="false" customHeight="true" outlineLevel="0" collapsed="false">
      <c r="B62" s="15" t="s">
        <v>9987</v>
      </c>
      <c r="C62" s="15" t="s">
        <v>11923</v>
      </c>
      <c r="D62" s="15" t="s">
        <v>11924</v>
      </c>
    </row>
    <row r="63" customFormat="false" ht="30.75" hidden="false" customHeight="true" outlineLevel="0" collapsed="false">
      <c r="B63" s="15" t="s">
        <v>3248</v>
      </c>
      <c r="C63" s="15" t="s">
        <v>11925</v>
      </c>
      <c r="D63" s="15" t="s">
        <v>11926</v>
      </c>
    </row>
    <row r="64" customFormat="false" ht="16.5" hidden="false" customHeight="true" outlineLevel="0" collapsed="false">
      <c r="B64" s="15" t="s">
        <v>11336</v>
      </c>
      <c r="C64" s="15" t="s">
        <v>11927</v>
      </c>
      <c r="D64" s="15" t="s">
        <v>11928</v>
      </c>
    </row>
    <row r="65" customFormat="false" ht="16.5" hidden="false" customHeight="true" outlineLevel="0" collapsed="false">
      <c r="B65" s="15" t="s">
        <v>11929</v>
      </c>
      <c r="C65" s="15" t="s">
        <v>11930</v>
      </c>
      <c r="D65" s="15" t="s">
        <v>11931</v>
      </c>
    </row>
    <row r="67" customFormat="false" ht="15.75" hidden="false" customHeight="true" outlineLevel="0" collapsed="false">
      <c r="B67" s="103" t="s">
        <v>1454</v>
      </c>
      <c r="C67" s="8"/>
      <c r="D67" s="8"/>
      <c r="E67" s="8"/>
      <c r="F67" s="8"/>
      <c r="G67" s="8"/>
      <c r="H67" s="8"/>
      <c r="I67" s="8"/>
      <c r="J67" s="8"/>
      <c r="K67" s="8"/>
    </row>
    <row r="68" customFormat="false" ht="15.75" hidden="false" customHeight="true" outlineLevel="0" collapsed="false">
      <c r="B68" s="106" t="s">
        <v>11932</v>
      </c>
      <c r="C68" s="106"/>
      <c r="D68" s="106"/>
    </row>
    <row r="69" customFormat="false" ht="15.75" hidden="false" customHeight="true" outlineLevel="0" collapsed="false">
      <c r="B69" s="106"/>
      <c r="C69" s="106"/>
      <c r="D69" s="106"/>
    </row>
    <row r="70" customFormat="false" ht="15" hidden="false" customHeight="true" outlineLevel="0" collapsed="false">
      <c r="B70" s="112" t="s">
        <v>85</v>
      </c>
      <c r="C70" s="154" t="s">
        <v>86</v>
      </c>
    </row>
    <row r="72" customFormat="false" ht="17.25" hidden="false" customHeight="true" outlineLevel="0" collapsed="false">
      <c r="B72" s="107" t="s">
        <v>11933</v>
      </c>
      <c r="C72" s="107"/>
      <c r="D72" s="107"/>
    </row>
    <row r="73" customFormat="false" ht="30.75" hidden="false" customHeight="true" outlineLevel="0" collapsed="false">
      <c r="B73" s="152" t="s">
        <v>11934</v>
      </c>
      <c r="C73" s="152" t="s">
        <v>11935</v>
      </c>
      <c r="D73" s="152" t="s">
        <v>11936</v>
      </c>
      <c r="E73" s="152" t="s">
        <v>6915</v>
      </c>
      <c r="F73" s="152" t="s">
        <v>10054</v>
      </c>
      <c r="G73" s="152" t="s">
        <v>8586</v>
      </c>
      <c r="H73" s="152" t="s">
        <v>10055</v>
      </c>
      <c r="I73" s="152" t="s">
        <v>6916</v>
      </c>
    </row>
    <row r="74" customFormat="false" ht="30.75" hidden="false" customHeight="true" outlineLevel="0" collapsed="false">
      <c r="B74" s="15" t="s">
        <v>11937</v>
      </c>
      <c r="C74" s="15" t="s">
        <v>11938</v>
      </c>
      <c r="D74" s="177" t="s">
        <v>11939</v>
      </c>
      <c r="E74" s="180" t="n">
        <v>46217</v>
      </c>
      <c r="F74" s="180" t="n">
        <v>46217</v>
      </c>
      <c r="G74" s="155" t="n">
        <v>1</v>
      </c>
      <c r="H74" s="161" t="n">
        <f aca="false">IFERROR(F74-E74,"")</f>
        <v>0</v>
      </c>
      <c r="I74" s="167" t="str">
        <f aca="true">IF(G74=1,"Closed",IF(IFERROR(E74-TODAY(),0)&lt;0,"OVERDUE","Open"))</f>
        <v>Closed</v>
      </c>
    </row>
    <row r="75" customFormat="false" ht="30.75" hidden="false" customHeight="true" outlineLevel="0" collapsed="false">
      <c r="B75" s="15" t="s">
        <v>11940</v>
      </c>
      <c r="C75" s="15" t="s">
        <v>11941</v>
      </c>
      <c r="D75" s="177" t="s">
        <v>11942</v>
      </c>
      <c r="E75" s="180" t="n">
        <v>46218</v>
      </c>
      <c r="F75" s="180" t="n">
        <v>46218</v>
      </c>
      <c r="G75" s="155" t="n">
        <v>1</v>
      </c>
      <c r="H75" s="161" t="n">
        <f aca="false">IFERROR(F75-E75,"")</f>
        <v>0</v>
      </c>
      <c r="I75" s="167" t="str">
        <f aca="true">IF(G75=1,"Closed",IF(IFERROR(E75-TODAY(),0)&lt;0,"OVERDUE","Open"))</f>
        <v>Closed</v>
      </c>
    </row>
    <row r="76" customFormat="false" ht="30.75" hidden="false" customHeight="true" outlineLevel="0" collapsed="false">
      <c r="B76" s="15" t="s">
        <v>11943</v>
      </c>
      <c r="C76" s="15" t="s">
        <v>11944</v>
      </c>
      <c r="D76" s="177" t="s">
        <v>11945</v>
      </c>
      <c r="E76" s="180" t="n">
        <v>46218</v>
      </c>
      <c r="F76" s="180" t="n">
        <v>46219</v>
      </c>
      <c r="G76" s="155" t="n">
        <v>1</v>
      </c>
      <c r="H76" s="161" t="n">
        <f aca="false">IFERROR(F76-E76,"")</f>
        <v>1</v>
      </c>
      <c r="I76" s="167" t="str">
        <f aca="true">IF(G76=1,"Closed",IF(IFERROR(E76-TODAY(),0)&lt;0,"OVERDUE","Open"))</f>
        <v>Closed</v>
      </c>
    </row>
    <row r="77" customFormat="false" ht="30.75" hidden="false" customHeight="true" outlineLevel="0" collapsed="false">
      <c r="B77" s="15" t="s">
        <v>11946</v>
      </c>
      <c r="C77" s="15" t="s">
        <v>11947</v>
      </c>
      <c r="D77" s="177" t="s">
        <v>11948</v>
      </c>
      <c r="E77" s="180" t="n">
        <v>46219</v>
      </c>
      <c r="F77" s="180" t="n">
        <v>46220</v>
      </c>
      <c r="G77" s="155" t="n">
        <v>1</v>
      </c>
      <c r="H77" s="161" t="n">
        <f aca="false">IFERROR(F77-E77,"")</f>
        <v>1</v>
      </c>
      <c r="I77" s="167" t="str">
        <f aca="true">IF(G77=1,"Closed",IF(IFERROR(E77-TODAY(),0)&lt;0,"OVERDUE","Open"))</f>
        <v>Closed</v>
      </c>
    </row>
    <row r="78" customFormat="false" ht="30.75" hidden="false" customHeight="true" outlineLevel="0" collapsed="false">
      <c r="B78" s="15" t="s">
        <v>11949</v>
      </c>
      <c r="C78" s="15" t="s">
        <v>11950</v>
      </c>
      <c r="D78" s="177" t="s">
        <v>11951</v>
      </c>
      <c r="E78" s="180" t="n">
        <v>46225</v>
      </c>
      <c r="F78" s="180" t="n">
        <v>46227</v>
      </c>
      <c r="G78" s="155" t="n">
        <v>1</v>
      </c>
      <c r="H78" s="161" t="n">
        <f aca="false">IFERROR(F78-E78,"")</f>
        <v>2</v>
      </c>
      <c r="I78" s="167" t="str">
        <f aca="true">IF(G78=1,"Closed",IF(IFERROR(E78-TODAY(),0)&lt;0,"OVERDUE","Open"))</f>
        <v>Closed</v>
      </c>
    </row>
    <row r="79" customFormat="false" ht="30.75" hidden="false" customHeight="true" outlineLevel="0" collapsed="false">
      <c r="B79" s="15" t="s">
        <v>11952</v>
      </c>
      <c r="C79" s="15" t="s">
        <v>11953</v>
      </c>
      <c r="D79" s="177" t="s">
        <v>11954</v>
      </c>
      <c r="E79" s="180" t="n">
        <v>46234</v>
      </c>
      <c r="F79" s="180" t="n">
        <v>46238</v>
      </c>
      <c r="G79" s="155" t="n">
        <v>1</v>
      </c>
      <c r="H79" s="161" t="n">
        <f aca="false">IFERROR(F79-E79,"")</f>
        <v>4</v>
      </c>
      <c r="I79" s="167" t="str">
        <f aca="true">IF(G79=1,"Closed",IF(IFERROR(E79-TODAY(),0)&lt;0,"OVERDUE","Open"))</f>
        <v>Closed</v>
      </c>
    </row>
    <row r="80" customFormat="false" ht="30.75" hidden="false" customHeight="true" outlineLevel="0" collapsed="false">
      <c r="B80" s="15" t="s">
        <v>11955</v>
      </c>
      <c r="C80" s="15" t="s">
        <v>11956</v>
      </c>
      <c r="D80" s="177" t="s">
        <v>11957</v>
      </c>
      <c r="E80" s="180" t="n">
        <v>46295</v>
      </c>
      <c r="F80" s="177"/>
      <c r="G80" s="155" t="n">
        <v>0</v>
      </c>
      <c r="H80" s="161" t="n">
        <f aca="false">IFERROR(F80-E80,"")</f>
        <v>-46295</v>
      </c>
      <c r="I80" s="167" t="str">
        <f aca="true">IF(G80=1,"Closed",IF(IFERROR(E80-TODAY(),0)&lt;0,"OVERDUE","Open"))</f>
        <v>Open</v>
      </c>
    </row>
    <row r="81" customFormat="false" ht="30.75" hidden="false" customHeight="true" outlineLevel="0" collapsed="false">
      <c r="B81" s="15" t="s">
        <v>11958</v>
      </c>
      <c r="C81" s="15" t="s">
        <v>11959</v>
      </c>
      <c r="D81" s="177" t="s">
        <v>11960</v>
      </c>
      <c r="E81" s="180" t="n">
        <v>46325</v>
      </c>
      <c r="F81" s="177"/>
      <c r="G81" s="155" t="n">
        <v>0</v>
      </c>
      <c r="H81" s="161" t="n">
        <f aca="false">IFERROR(F81-E81,"")</f>
        <v>-46325</v>
      </c>
      <c r="I81" s="167" t="str">
        <f aca="true">IF(G81=1,"Closed",IF(IFERROR(E81-TODAY(),0)&lt;0,"OVERDUE","Open"))</f>
        <v>Open</v>
      </c>
    </row>
    <row r="82" customFormat="false" ht="30.75" hidden="false" customHeight="true" outlineLevel="0" collapsed="false">
      <c r="B82" s="15" t="s">
        <v>11961</v>
      </c>
      <c r="C82" s="15" t="s">
        <v>11962</v>
      </c>
      <c r="D82" s="177" t="s">
        <v>11963</v>
      </c>
      <c r="E82" s="180" t="n">
        <v>46341</v>
      </c>
      <c r="F82" s="177"/>
      <c r="G82" s="155" t="n">
        <v>0</v>
      </c>
      <c r="H82" s="161" t="n">
        <f aca="false">IFERROR(F82-E82,"")</f>
        <v>-46341</v>
      </c>
      <c r="I82" s="167" t="str">
        <f aca="true">IF(G82=1,"Closed",IF(IFERROR(E82-TODAY(),0)&lt;0,"OVERDUE","Open"))</f>
        <v>Open</v>
      </c>
    </row>
    <row r="84" customFormat="false" ht="17.25" hidden="false" customHeight="true" outlineLevel="0" collapsed="false">
      <c r="B84" s="107" t="s">
        <v>11964</v>
      </c>
      <c r="C84" s="107"/>
      <c r="D84" s="107"/>
    </row>
    <row r="85" customFormat="false" ht="17.25" hidden="false" customHeight="true" outlineLevel="0" collapsed="false">
      <c r="B85" s="152" t="s">
        <v>11965</v>
      </c>
      <c r="C85" s="152" t="s">
        <v>11966</v>
      </c>
      <c r="D85" s="152" t="s">
        <v>11967</v>
      </c>
      <c r="E85" s="152" t="s">
        <v>11968</v>
      </c>
      <c r="F85" s="152"/>
      <c r="G85" s="152"/>
      <c r="H85" s="152"/>
      <c r="I85" s="152"/>
    </row>
    <row r="86" customFormat="false" ht="31.5" hidden="false" customHeight="true" outlineLevel="0" collapsed="false">
      <c r="B86" s="15" t="s">
        <v>11969</v>
      </c>
      <c r="C86" s="177" t="s">
        <v>11970</v>
      </c>
      <c r="D86" s="177" t="s">
        <v>11971</v>
      </c>
      <c r="E86" s="15" t="s">
        <v>11972</v>
      </c>
      <c r="F86" s="15"/>
      <c r="G86" s="15"/>
      <c r="H86" s="15"/>
      <c r="I86" s="15"/>
    </row>
    <row r="87" customFormat="false" ht="17.25" hidden="false" customHeight="true" outlineLevel="0" collapsed="false">
      <c r="B87" s="15" t="s">
        <v>11973</v>
      </c>
      <c r="C87" s="177" t="s">
        <v>11974</v>
      </c>
      <c r="D87" s="177" t="s">
        <v>11975</v>
      </c>
      <c r="E87" s="15" t="s">
        <v>11976</v>
      </c>
      <c r="F87" s="15"/>
      <c r="G87" s="15"/>
      <c r="H87" s="15"/>
      <c r="I87" s="15"/>
    </row>
    <row r="88" customFormat="false" ht="17.25" hidden="false" customHeight="true" outlineLevel="0" collapsed="false">
      <c r="B88" s="15" t="s">
        <v>11977</v>
      </c>
      <c r="C88" s="177" t="s">
        <v>11978</v>
      </c>
      <c r="D88" s="177" t="s">
        <v>11979</v>
      </c>
      <c r="E88" s="15" t="s">
        <v>11980</v>
      </c>
      <c r="F88" s="15"/>
      <c r="G88" s="15"/>
      <c r="H88" s="15"/>
      <c r="I88" s="15"/>
    </row>
    <row r="89" customFormat="false" ht="17.25" hidden="false" customHeight="true" outlineLevel="0" collapsed="false">
      <c r="B89" s="15" t="s">
        <v>11196</v>
      </c>
      <c r="C89" s="177" t="s">
        <v>11981</v>
      </c>
      <c r="D89" s="177" t="s">
        <v>11982</v>
      </c>
      <c r="E89" s="15" t="s">
        <v>11983</v>
      </c>
      <c r="F89" s="15"/>
      <c r="G89" s="15"/>
      <c r="H89" s="15"/>
      <c r="I89" s="15"/>
    </row>
    <row r="90" customFormat="false" ht="17.25" hidden="false" customHeight="true" outlineLevel="0" collapsed="false">
      <c r="B90" s="15" t="s">
        <v>11984</v>
      </c>
      <c r="C90" s="177" t="s">
        <v>11985</v>
      </c>
      <c r="D90" s="177" t="s">
        <v>11986</v>
      </c>
      <c r="E90" s="15" t="s">
        <v>11987</v>
      </c>
      <c r="F90" s="15"/>
      <c r="G90" s="15"/>
      <c r="H90" s="15"/>
      <c r="I90" s="15"/>
    </row>
    <row r="91" customFormat="false" ht="28.5" hidden="false" customHeight="true" outlineLevel="0" collapsed="false">
      <c r="B91" s="182" t="s">
        <v>11988</v>
      </c>
      <c r="C91" s="182"/>
      <c r="D91" s="182"/>
    </row>
    <row r="93" customFormat="false" ht="16.5" hidden="false" customHeight="true" outlineLevel="0" collapsed="false">
      <c r="B93" s="152" t="s">
        <v>6689</v>
      </c>
      <c r="C93" s="152" t="s">
        <v>6654</v>
      </c>
      <c r="D93" s="152" t="s">
        <v>88</v>
      </c>
    </row>
    <row r="94" customFormat="false" ht="16.5" hidden="false" customHeight="true" outlineLevel="0" collapsed="false">
      <c r="B94" s="15" t="s">
        <v>11989</v>
      </c>
      <c r="C94" s="161" t="n">
        <f aca="false">SUM(G74:G82)</f>
        <v>6</v>
      </c>
      <c r="D94" s="15" t="s">
        <v>11990</v>
      </c>
    </row>
    <row r="95" customFormat="false" ht="16.5" hidden="false" customHeight="true" outlineLevel="0" collapsed="false">
      <c r="B95" s="15" t="s">
        <v>11991</v>
      </c>
      <c r="C95" s="184" t="n">
        <f aca="false">IFERROR(SUM(G74:G82)/9,0)</f>
        <v>0.666666666666667</v>
      </c>
      <c r="D95" s="15"/>
    </row>
    <row r="96" customFormat="false" ht="16.5" hidden="false" customHeight="true" outlineLevel="0" collapsed="false">
      <c r="B96" s="15" t="s">
        <v>11992</v>
      </c>
      <c r="C96" s="161" t="n">
        <f aca="false">COUNTIF(I74:I82,"OVERDUE")</f>
        <v>0</v>
      </c>
      <c r="D96" s="15"/>
    </row>
    <row r="97" customFormat="false" ht="16.5" hidden="false" customHeight="true" outlineLevel="0" collapsed="false">
      <c r="B97" s="15" t="s">
        <v>11993</v>
      </c>
      <c r="C97" s="167" t="str">
        <f aca="false">IF(G77=1,"YES","NO — the customer is still exposed")</f>
        <v>YES</v>
      </c>
      <c r="D97" s="15" t="s">
        <v>11994</v>
      </c>
    </row>
    <row r="98" customFormat="false" ht="16.5" hidden="false" customHeight="true" outlineLevel="0" collapsed="false">
      <c r="B98" s="15" t="s">
        <v>11995</v>
      </c>
      <c r="C98" s="167" t="str">
        <f aca="false">IF(G78=1,"YES","NO")</f>
        <v>YES</v>
      </c>
      <c r="D98" s="15" t="s">
        <v>11996</v>
      </c>
    </row>
    <row r="99" customFormat="false" ht="16.5" hidden="false" customHeight="true" outlineLevel="0" collapsed="false">
      <c r="B99" s="15" t="s">
        <v>11997</v>
      </c>
      <c r="C99" s="167" t="str">
        <f aca="false">IF(G80=1,"YES","NO — containment must stay in place")</f>
        <v>NO — containment must stay in place</v>
      </c>
      <c r="D99" s="15" t="s">
        <v>11998</v>
      </c>
    </row>
    <row r="100" customFormat="false" ht="16.5" hidden="false" customHeight="true" outlineLevel="0" collapsed="false">
      <c r="B100" s="15" t="s">
        <v>11999</v>
      </c>
      <c r="C100" s="167" t="str">
        <f aca="false">IF(G81=1,"YES","NO")</f>
        <v>NO</v>
      </c>
      <c r="D100" s="15" t="s">
        <v>12000</v>
      </c>
    </row>
    <row r="102" customFormat="false" ht="15.75" hidden="false" customHeight="true" outlineLevel="0" collapsed="false">
      <c r="B102" s="103" t="s">
        <v>1493</v>
      </c>
      <c r="C102" s="8"/>
      <c r="D102" s="8"/>
      <c r="E102" s="8"/>
      <c r="F102" s="8"/>
      <c r="G102" s="8"/>
      <c r="H102" s="8"/>
      <c r="I102" s="8"/>
      <c r="J102" s="8"/>
      <c r="K102" s="8"/>
    </row>
    <row r="103" customFormat="false" ht="65.25" hidden="false" customHeight="true" outlineLevel="0" collapsed="false">
      <c r="B103" s="105" t="s">
        <v>1494</v>
      </c>
      <c r="C103" s="168" t="str">
        <f aca="false">"The 8D is "&amp;TEXT(C95,"0%")&amp;" complete ("&amp;TEXT(C94,"0")&amp;" of 9 disciplines) with "&amp;TEXT(C96,"0")&amp;" overdue. "&amp;IF(G77&lt;&gt;1,"D3 containment is NOT closed: the customer is still exposed, and that outranks every other discipline right now. ","Containment is in place. ")&amp;IF(G80&lt;&gt;1,"D6 is not validated, so the interim containment must remain in place — removing it now would leave the customer unprotected. ","Permanent actions are validated, so containment can be withdrawn. ")&amp;IF(G81&lt;&gt;1,"D7 is open: without systemic prevention this problem will recur on another line or another shift.","D7 is closed, so the lesson has been built into the standards and the FMEA.")</f>
        <v>The 8D is 67% complete (6 of 9 disciplines) with 0 overdue. Containment is in place. D6 is not validated, so the interim containment must remain in place — removing it now would leave the customer unprotected. D7 is open: without systemic prevention this problem will recur on another line or another shift.</v>
      </c>
      <c r="D103" s="168"/>
    </row>
    <row r="105" customFormat="false" ht="16.5" hidden="false" customHeight="true" outlineLevel="0" collapsed="false">
      <c r="B105" s="152" t="s">
        <v>1495</v>
      </c>
      <c r="C105" s="152" t="s">
        <v>1496</v>
      </c>
      <c r="D105" s="152" t="s">
        <v>1497</v>
      </c>
    </row>
    <row r="106" customFormat="false" ht="16.5" hidden="false" customHeight="true" outlineLevel="0" collapsed="false">
      <c r="B106" s="15" t="s">
        <v>12001</v>
      </c>
      <c r="C106" s="15" t="s">
        <v>12002</v>
      </c>
      <c r="D106" s="15" t="s">
        <v>12003</v>
      </c>
    </row>
    <row r="107" customFormat="false" ht="16.5" hidden="false" customHeight="true" outlineLevel="0" collapsed="false">
      <c r="B107" s="15" t="s">
        <v>12004</v>
      </c>
      <c r="C107" s="15" t="s">
        <v>12005</v>
      </c>
      <c r="D107" s="15" t="s">
        <v>12006</v>
      </c>
    </row>
    <row r="108" customFormat="false" ht="16.5" hidden="false" customHeight="true" outlineLevel="0" collapsed="false">
      <c r="B108" s="15" t="s">
        <v>12007</v>
      </c>
      <c r="C108" s="15" t="s">
        <v>12008</v>
      </c>
      <c r="D108" s="15" t="s">
        <v>12009</v>
      </c>
    </row>
    <row r="109" customFormat="false" ht="16.5" hidden="false" customHeight="true" outlineLevel="0" collapsed="false">
      <c r="B109" s="15" t="s">
        <v>12010</v>
      </c>
      <c r="C109" s="15" t="s">
        <v>12011</v>
      </c>
      <c r="D109" s="15" t="s">
        <v>12012</v>
      </c>
    </row>
    <row r="110" customFormat="false" ht="16.5" hidden="false" customHeight="true" outlineLevel="0" collapsed="false">
      <c r="B110" s="15" t="s">
        <v>11924</v>
      </c>
      <c r="C110" s="15" t="s">
        <v>12013</v>
      </c>
      <c r="D110" s="15" t="s">
        <v>12014</v>
      </c>
    </row>
    <row r="112" customFormat="false" ht="15" hidden="false" customHeight="true" outlineLevel="0" collapsed="false">
      <c r="B112" s="105" t="s">
        <v>1507</v>
      </c>
    </row>
    <row r="113" customFormat="false" ht="17.25" hidden="false" customHeight="true" outlineLevel="0" collapsed="false">
      <c r="B113" s="106" t="s">
        <v>12015</v>
      </c>
      <c r="C113" s="106"/>
      <c r="D113" s="106"/>
    </row>
    <row r="114" customFormat="false" ht="17.25" hidden="false" customHeight="true" outlineLevel="0" collapsed="false">
      <c r="B114" s="106" t="s">
        <v>12016</v>
      </c>
      <c r="C114" s="106"/>
      <c r="D114" s="106"/>
    </row>
    <row r="115" customFormat="false" ht="17.25" hidden="false" customHeight="true" outlineLevel="0" collapsed="false">
      <c r="B115" s="106" t="s">
        <v>12017</v>
      </c>
      <c r="C115" s="106"/>
      <c r="D115" s="106"/>
    </row>
    <row r="116" customFormat="false" ht="17.25" hidden="false" customHeight="true" outlineLevel="0" collapsed="false">
      <c r="B116" s="106" t="s">
        <v>12018</v>
      </c>
      <c r="C116" s="106"/>
      <c r="D116" s="106"/>
    </row>
    <row r="117" customFormat="false" ht="17.25" hidden="false" customHeight="true" outlineLevel="0" collapsed="false">
      <c r="B117" s="106" t="s">
        <v>12019</v>
      </c>
      <c r="C117" s="106"/>
      <c r="D117" s="106"/>
    </row>
    <row r="118" customFormat="false" ht="17.25" hidden="false" customHeight="true" outlineLevel="0" collapsed="false">
      <c r="B118" s="106" t="s">
        <v>12020</v>
      </c>
      <c r="C118" s="106"/>
      <c r="D118" s="106"/>
    </row>
    <row r="120" customFormat="false" ht="15.75" hidden="false" customHeight="true" outlineLevel="0" collapsed="false">
      <c r="B120" s="103" t="s">
        <v>1513</v>
      </c>
      <c r="C120" s="8"/>
      <c r="D120" s="8"/>
      <c r="E120" s="8"/>
      <c r="F120" s="8"/>
      <c r="G120" s="8"/>
      <c r="H120" s="8"/>
      <c r="I120" s="8"/>
      <c r="J120" s="8"/>
      <c r="K120" s="8"/>
    </row>
    <row r="121" customFormat="false" ht="17.25" hidden="false" customHeight="true" outlineLevel="0" collapsed="false">
      <c r="B121" s="106" t="s">
        <v>6712</v>
      </c>
      <c r="C121" s="106"/>
      <c r="D121" s="106"/>
      <c r="N121" s="169" t="s">
        <v>1515</v>
      </c>
    </row>
    <row r="122" customFormat="false" ht="44.25" hidden="false" customHeight="true" outlineLevel="0" collapsed="false">
      <c r="B122" s="106" t="s">
        <v>12021</v>
      </c>
      <c r="C122" s="106"/>
      <c r="D122" s="106"/>
      <c r="N122" s="120" t="s">
        <v>12022</v>
      </c>
    </row>
    <row r="123" customFormat="false" ht="44.25" hidden="false" customHeight="true" outlineLevel="0" collapsed="false">
      <c r="B123" s="106" t="s">
        <v>12023</v>
      </c>
      <c r="C123" s="106"/>
      <c r="D123" s="106"/>
      <c r="N123" s="120" t="s">
        <v>12024</v>
      </c>
    </row>
    <row r="124" customFormat="false" ht="44.25" hidden="false" customHeight="true" outlineLevel="0" collapsed="false">
      <c r="B124" s="106" t="s">
        <v>12025</v>
      </c>
      <c r="C124" s="106"/>
      <c r="D124" s="106"/>
      <c r="N124" s="120" t="s">
        <v>12026</v>
      </c>
    </row>
    <row r="126" customFormat="false" ht="15.75" hidden="false" customHeight="true" outlineLevel="0" collapsed="false">
      <c r="B126" s="103" t="s">
        <v>1522</v>
      </c>
      <c r="C126" s="8"/>
      <c r="D126" s="8"/>
      <c r="E126" s="8"/>
      <c r="F126" s="8"/>
      <c r="G126" s="8"/>
      <c r="H126" s="8"/>
      <c r="I126" s="8"/>
      <c r="J126" s="8"/>
      <c r="K126" s="8"/>
    </row>
    <row r="127" customFormat="false" ht="16.5" hidden="false" customHeight="true" outlineLevel="0" collapsed="false">
      <c r="B127" s="152" t="s">
        <v>1523</v>
      </c>
      <c r="C127" s="152" t="s">
        <v>1524</v>
      </c>
      <c r="D127" s="152" t="s">
        <v>6719</v>
      </c>
    </row>
    <row r="128" customFormat="false" ht="16.5" hidden="false" customHeight="true" outlineLevel="0" collapsed="false">
      <c r="B128" s="170" t="s">
        <v>1078</v>
      </c>
      <c r="C128" s="170" t="s">
        <v>8637</v>
      </c>
      <c r="D128" s="170" t="s">
        <v>8094</v>
      </c>
    </row>
  </sheetData>
  <mergeCells count="57">
    <mergeCell ref="B2:J2"/>
    <mergeCell ref="D3:G3"/>
    <mergeCell ref="C6:D6"/>
    <mergeCell ref="C7:D7"/>
    <mergeCell ref="C8:D8"/>
    <mergeCell ref="B11:D13"/>
    <mergeCell ref="B14:D17"/>
    <mergeCell ref="B18:D21"/>
    <mergeCell ref="B22:D24"/>
    <mergeCell ref="B25:D28"/>
    <mergeCell ref="B29:D30"/>
    <mergeCell ref="B33:C33"/>
    <mergeCell ref="E33:I33"/>
    <mergeCell ref="B34:C34"/>
    <mergeCell ref="E34:I34"/>
    <mergeCell ref="B35:C35"/>
    <mergeCell ref="E35:I35"/>
    <mergeCell ref="B36:C36"/>
    <mergeCell ref="E36:I36"/>
    <mergeCell ref="B37:D37"/>
    <mergeCell ref="E39:F39"/>
    <mergeCell ref="E40:F40"/>
    <mergeCell ref="E41:F41"/>
    <mergeCell ref="E42:F42"/>
    <mergeCell ref="E43:F43"/>
    <mergeCell ref="B47:D47"/>
    <mergeCell ref="B48:D48"/>
    <mergeCell ref="B49:D49"/>
    <mergeCell ref="B50:D50"/>
    <mergeCell ref="B51:D51"/>
    <mergeCell ref="B52:D52"/>
    <mergeCell ref="B53:D53"/>
    <mergeCell ref="B54:D54"/>
    <mergeCell ref="B55:D55"/>
    <mergeCell ref="B57:D57"/>
    <mergeCell ref="B58:D58"/>
    <mergeCell ref="B68:D69"/>
    <mergeCell ref="B72:D72"/>
    <mergeCell ref="B84:D84"/>
    <mergeCell ref="E85:I85"/>
    <mergeCell ref="E86:I86"/>
    <mergeCell ref="E87:I87"/>
    <mergeCell ref="E88:I88"/>
    <mergeCell ref="E89:I89"/>
    <mergeCell ref="E90:I90"/>
    <mergeCell ref="B91:D91"/>
    <mergeCell ref="C103:D103"/>
    <mergeCell ref="B113:D113"/>
    <mergeCell ref="B114:D114"/>
    <mergeCell ref="B115:D115"/>
    <mergeCell ref="B116:D116"/>
    <mergeCell ref="B117:D117"/>
    <mergeCell ref="B118:D118"/>
    <mergeCell ref="B121:D121"/>
    <mergeCell ref="B122:D122"/>
    <mergeCell ref="B123:D123"/>
    <mergeCell ref="B124:D124"/>
  </mergeCells>
  <hyperlinks>
    <hyperlink ref="B3" location="'N-03 Index DMAIC'!A1" display="← Back to Index"/>
    <hyperlink ref="E40" location="'H-05 Check Sheets'!A1" display="H-05  Check Sheets"/>
    <hyperlink ref="E41" location="'H-11 5 Whys'!A1" display="H-11  5 Whys"/>
    <hyperlink ref="E42" location="'L-26 Pilot and Confirmation'!A1" display="L-26  Pilot and Confirmation Run"/>
    <hyperlink ref="E43" location="'H-13 FMEA AIAG-VDA'!A1" display="H-13  FMEA (AIAG-VDA)"/>
    <hyperlink ref="B128" location="'H-11 5 Whys'!A1" display="H-11  5 Whys"/>
    <hyperlink ref="C128" location="'H-13 FMEA AIAG-VDA'!A1" display="H-13  FMEA (AIAG-VDA)"/>
    <hyperlink ref="D128" location="'H-16 Control and Reaction'!A1" display="H-16  Control Plan and Reaction Pl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N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5" min="3" style="1" width="26"/>
    <col collapsed="false" customWidth="true" hidden="false" outlineLevel="0" max="6" min="6" style="1" width="13"/>
    <col collapsed="false" customWidth="true" hidden="false" outlineLevel="0" max="8" min="7" style="1" width="15"/>
    <col collapsed="false" customWidth="true" hidden="false" outlineLevel="0" max="10" min="9" style="1" width="30"/>
    <col collapsed="false" customWidth="true" hidden="false" outlineLevel="0" max="11" min="11" style="1" width="13"/>
    <col collapsed="false" customWidth="true" hidden="false" outlineLevel="0" max="12" min="12" style="1" width="14"/>
    <col collapsed="false" customWidth="true" hidden="false" outlineLevel="0" max="13" min="13" style="1" width="34"/>
    <col collapsed="false" customWidth="true" hidden="false" outlineLevel="0" max="14" min="14" style="1" width="95"/>
  </cols>
  <sheetData>
    <row r="1" customFormat="false" ht="15" hidden="false" customHeight="true" outlineLevel="0" collapsed="false">
      <c r="A1" s="147" t="s">
        <v>0</v>
      </c>
    </row>
    <row r="2" customFormat="false" ht="22.5" hidden="false" customHeight="true" outlineLevel="0" collapsed="false">
      <c r="B2" s="148" t="s">
        <v>12027</v>
      </c>
      <c r="C2" s="148"/>
      <c r="D2" s="148"/>
      <c r="E2" s="148"/>
      <c r="F2" s="148"/>
      <c r="G2" s="148"/>
      <c r="H2" s="148"/>
      <c r="I2" s="148"/>
      <c r="J2" s="148"/>
      <c r="K2" s="189" t="s">
        <v>5631</v>
      </c>
    </row>
    <row r="3" customFormat="false" ht="42" hidden="false" customHeight="true" outlineLevel="0" collapsed="false">
      <c r="B3" s="150" t="s">
        <v>3</v>
      </c>
      <c r="D3" s="151" t="s">
        <v>12028</v>
      </c>
      <c r="E3" s="151"/>
      <c r="F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12029</v>
      </c>
      <c r="D6" s="106"/>
    </row>
    <row r="7" customFormat="false" ht="31.5" hidden="false" customHeight="true" outlineLevel="0" collapsed="false">
      <c r="B7" s="105" t="s">
        <v>1394</v>
      </c>
      <c r="C7" s="106" t="s">
        <v>12030</v>
      </c>
      <c r="D7" s="106"/>
    </row>
    <row r="8" customFormat="false" ht="45.75" hidden="false" customHeight="true" outlineLevel="0" collapsed="false">
      <c r="B8" s="105" t="s">
        <v>1396</v>
      </c>
      <c r="C8" s="106" t="s">
        <v>12031</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12032</v>
      </c>
      <c r="C11" s="106"/>
      <c r="D11" s="106"/>
      <c r="E11" s="106"/>
      <c r="F11" s="106"/>
    </row>
    <row r="12" customFormat="false" ht="10.5" hidden="false" customHeight="true" outlineLevel="0" collapsed="false">
      <c r="B12" s="106"/>
      <c r="C12" s="106"/>
      <c r="D12" s="106"/>
      <c r="E12" s="106"/>
      <c r="F12" s="106"/>
    </row>
    <row r="13" customFormat="false" ht="10.5" hidden="false" customHeight="true" outlineLevel="0" collapsed="false">
      <c r="B13" s="106"/>
      <c r="C13" s="106"/>
      <c r="D13" s="106"/>
      <c r="E13" s="106"/>
      <c r="F13" s="106"/>
    </row>
    <row r="14" customFormat="false" ht="15" hidden="false" customHeight="true" outlineLevel="0" collapsed="false">
      <c r="B14" s="106" t="s">
        <v>12033</v>
      </c>
      <c r="C14" s="106"/>
      <c r="D14" s="106"/>
      <c r="E14" s="106"/>
      <c r="F14" s="106"/>
    </row>
    <row r="15" customFormat="false" ht="15" hidden="false" customHeight="true" outlineLevel="0" collapsed="false">
      <c r="B15" s="106"/>
      <c r="C15" s="106"/>
      <c r="D15" s="106"/>
      <c r="E15" s="106"/>
      <c r="F15" s="106"/>
    </row>
    <row r="16" customFormat="false" ht="15" hidden="false" customHeight="true" outlineLevel="0" collapsed="false">
      <c r="B16" s="106"/>
      <c r="C16" s="106"/>
      <c r="D16" s="106"/>
      <c r="E16" s="106"/>
      <c r="F16" s="106"/>
    </row>
    <row r="17" customFormat="false" ht="11.25" hidden="false" customHeight="true" outlineLevel="0" collapsed="false">
      <c r="B17" s="106" t="s">
        <v>12034</v>
      </c>
      <c r="C17" s="106"/>
      <c r="D17" s="106"/>
      <c r="E17" s="106"/>
      <c r="F17" s="106"/>
    </row>
    <row r="18" customFormat="false" ht="11.25" hidden="false" customHeight="true" outlineLevel="0" collapsed="false">
      <c r="B18" s="106"/>
      <c r="C18" s="106"/>
      <c r="D18" s="106"/>
      <c r="E18" s="106"/>
      <c r="F18" s="106"/>
    </row>
    <row r="19" customFormat="false" ht="11.25" hidden="false" customHeight="true" outlineLevel="0" collapsed="false">
      <c r="B19" s="106"/>
      <c r="C19" s="106"/>
      <c r="D19" s="106"/>
      <c r="E19" s="106"/>
      <c r="F19" s="106"/>
    </row>
    <row r="20" customFormat="false" ht="11.25" hidden="false" customHeight="true" outlineLevel="0" collapsed="false">
      <c r="B20" s="106"/>
      <c r="C20" s="106"/>
      <c r="D20" s="106"/>
      <c r="E20" s="106"/>
      <c r="F20" s="106"/>
    </row>
    <row r="21" customFormat="false" ht="11.25" hidden="false" customHeight="true" outlineLevel="0" collapsed="false">
      <c r="B21" s="106" t="s">
        <v>12035</v>
      </c>
      <c r="C21" s="106"/>
      <c r="D21" s="106"/>
      <c r="E21" s="106"/>
      <c r="F21" s="106"/>
    </row>
    <row r="22" customFormat="false" ht="11.25" hidden="false" customHeight="true" outlineLevel="0" collapsed="false">
      <c r="B22" s="106"/>
      <c r="C22" s="106"/>
      <c r="D22" s="106"/>
      <c r="E22" s="106"/>
      <c r="F22" s="106"/>
    </row>
    <row r="23" customFormat="false" ht="11.25" hidden="false" customHeight="true" outlineLevel="0" collapsed="false">
      <c r="B23" s="106"/>
      <c r="C23" s="106"/>
      <c r="D23" s="106"/>
      <c r="E23" s="106"/>
      <c r="F23" s="106"/>
    </row>
    <row r="24" customFormat="false" ht="11.25" hidden="false" customHeight="true" outlineLevel="0" collapsed="false">
      <c r="B24" s="106"/>
      <c r="C24" s="106"/>
      <c r="D24" s="106"/>
      <c r="E24" s="106"/>
      <c r="F24" s="106"/>
    </row>
    <row r="25" customFormat="false" ht="10.5" hidden="false" customHeight="true" outlineLevel="0" collapsed="false">
      <c r="B25" s="106" t="s">
        <v>12036</v>
      </c>
      <c r="C25" s="106"/>
      <c r="D25" s="106"/>
      <c r="E25" s="106"/>
      <c r="F25" s="106"/>
    </row>
    <row r="26" customFormat="false" ht="10.5" hidden="false" customHeight="true" outlineLevel="0" collapsed="false">
      <c r="B26" s="106"/>
      <c r="C26" s="106"/>
      <c r="D26" s="106"/>
      <c r="E26" s="106"/>
      <c r="F26" s="106"/>
    </row>
    <row r="27" customFormat="false" ht="10.5" hidden="false" customHeight="true" outlineLevel="0" collapsed="false">
      <c r="B27" s="106"/>
      <c r="C27" s="106"/>
      <c r="D27" s="106"/>
      <c r="E27" s="106"/>
      <c r="F27" s="106"/>
    </row>
    <row r="28" customFormat="false" ht="15.75" hidden="false" customHeight="true" outlineLevel="0" collapsed="false">
      <c r="B28" s="106" t="s">
        <v>12037</v>
      </c>
      <c r="C28" s="106"/>
      <c r="D28" s="106"/>
      <c r="E28" s="106"/>
      <c r="F28" s="106"/>
    </row>
    <row r="29" customFormat="false" ht="15.75" hidden="false" customHeight="true" outlineLevel="0" collapsed="false">
      <c r="B29" s="106"/>
      <c r="C29" s="106"/>
      <c r="D29" s="106"/>
      <c r="E29" s="106"/>
      <c r="F29" s="106"/>
    </row>
    <row r="30" customFormat="false" ht="17.25" hidden="false" customHeight="true" outlineLevel="0" collapsed="false">
      <c r="B30" s="106" t="s">
        <v>12038</v>
      </c>
      <c r="C30" s="106"/>
      <c r="D30" s="106"/>
      <c r="E30" s="106"/>
      <c r="F30" s="106"/>
    </row>
    <row r="32" customFormat="false" ht="15.75" hidden="false" customHeight="true" outlineLevel="0" collapsed="false">
      <c r="B32" s="103" t="s">
        <v>1406</v>
      </c>
      <c r="C32" s="8"/>
      <c r="D32" s="8"/>
      <c r="E32" s="8"/>
      <c r="F32" s="8"/>
      <c r="G32" s="8"/>
      <c r="H32" s="8"/>
      <c r="I32" s="8"/>
      <c r="J32" s="8"/>
      <c r="K32" s="8"/>
    </row>
    <row r="33" customFormat="false" ht="17.25" hidden="false" customHeight="true" outlineLevel="0" collapsed="false">
      <c r="B33" s="107" t="s">
        <v>1407</v>
      </c>
      <c r="C33" s="107"/>
      <c r="D33" s="107"/>
      <c r="E33" s="107" t="s">
        <v>1408</v>
      </c>
      <c r="F33" s="107"/>
    </row>
    <row r="34" customFormat="false" ht="45.75" hidden="false" customHeight="true" outlineLevel="0" collapsed="false">
      <c r="B34" s="106" t="s">
        <v>12039</v>
      </c>
      <c r="C34" s="106"/>
      <c r="D34" s="106"/>
      <c r="E34" s="106" t="s">
        <v>12040</v>
      </c>
      <c r="F34" s="106"/>
    </row>
    <row r="35" customFormat="false" ht="31.5" hidden="false" customHeight="true" outlineLevel="0" collapsed="false">
      <c r="B35" s="106" t="s">
        <v>12041</v>
      </c>
      <c r="C35" s="106"/>
      <c r="D35" s="106"/>
      <c r="E35" s="106" t="s">
        <v>12042</v>
      </c>
      <c r="F35" s="106"/>
    </row>
    <row r="36" customFormat="false" ht="31.5" hidden="false" customHeight="true" outlineLevel="0" collapsed="false">
      <c r="B36" s="106" t="s">
        <v>12043</v>
      </c>
      <c r="C36" s="106"/>
      <c r="D36" s="106"/>
      <c r="E36" s="106" t="s">
        <v>12044</v>
      </c>
      <c r="F36" s="106"/>
    </row>
    <row r="37" customFormat="false" ht="17.25" hidden="false" customHeight="true" outlineLevel="0" collapsed="false">
      <c r="B37" s="106" t="s">
        <v>12045</v>
      </c>
      <c r="C37" s="106"/>
      <c r="D37" s="106"/>
      <c r="E37" s="106"/>
      <c r="F37" s="106"/>
    </row>
    <row r="39" customFormat="false" ht="16.5" hidden="false" customHeight="true" outlineLevel="0" collapsed="false">
      <c r="B39" s="152" t="s">
        <v>6621</v>
      </c>
      <c r="C39" s="152" t="s">
        <v>1417</v>
      </c>
      <c r="D39" s="152" t="s">
        <v>1418</v>
      </c>
      <c r="E39" s="152" t="s">
        <v>1419</v>
      </c>
    </row>
    <row r="40" customFormat="false" ht="44.25" hidden="false" customHeight="true" outlineLevel="0" collapsed="false">
      <c r="B40" s="15" t="s">
        <v>12046</v>
      </c>
      <c r="C40" s="15" t="s">
        <v>12047</v>
      </c>
      <c r="D40" s="15" t="s">
        <v>12048</v>
      </c>
      <c r="E40" s="153" t="s">
        <v>1103</v>
      </c>
    </row>
    <row r="41" customFormat="false" ht="30.75" hidden="false" customHeight="true" outlineLevel="0" collapsed="false">
      <c r="B41" s="15" t="s">
        <v>12049</v>
      </c>
      <c r="C41" s="15" t="s">
        <v>12050</v>
      </c>
      <c r="D41" s="15" t="s">
        <v>12051</v>
      </c>
      <c r="E41" s="153" t="s">
        <v>9973</v>
      </c>
    </row>
    <row r="42" customFormat="false" ht="44.25" hidden="false" customHeight="true" outlineLevel="0" collapsed="false">
      <c r="B42" s="15" t="s">
        <v>12052</v>
      </c>
      <c r="C42" s="15" t="s">
        <v>12053</v>
      </c>
      <c r="D42" s="15" t="s">
        <v>12054</v>
      </c>
      <c r="E42" s="153" t="s">
        <v>10216</v>
      </c>
    </row>
    <row r="43" customFormat="false" ht="44.25" hidden="false" customHeight="true" outlineLevel="0" collapsed="false">
      <c r="B43" s="15" t="s">
        <v>12055</v>
      </c>
      <c r="C43" s="15" t="s">
        <v>12056</v>
      </c>
      <c r="D43" s="15" t="s">
        <v>12057</v>
      </c>
      <c r="E43" s="153" t="s">
        <v>1167</v>
      </c>
    </row>
    <row r="45" customFormat="false" ht="15.75" hidden="false" customHeight="true" outlineLevel="0" collapsed="false">
      <c r="B45" s="103" t="s">
        <v>1429</v>
      </c>
      <c r="C45" s="8"/>
      <c r="D45" s="8"/>
      <c r="E45" s="8"/>
      <c r="F45" s="8"/>
      <c r="G45" s="8"/>
      <c r="H45" s="8"/>
      <c r="I45" s="8"/>
      <c r="J45" s="8"/>
      <c r="K45" s="8"/>
    </row>
    <row r="46" customFormat="false" ht="17.25" hidden="false" customHeight="true" outlineLevel="0" collapsed="false">
      <c r="B46" s="106" t="s">
        <v>12058</v>
      </c>
      <c r="C46" s="106"/>
      <c r="D46" s="106"/>
      <c r="E46" s="106"/>
      <c r="F46" s="106"/>
    </row>
    <row r="47" customFormat="false" ht="15" hidden="false" customHeight="true" outlineLevel="0" collapsed="false">
      <c r="B47" s="122"/>
    </row>
    <row r="48" customFormat="false" ht="10.5" hidden="false" customHeight="true" outlineLevel="0" collapsed="false">
      <c r="B48" s="106" t="s">
        <v>12059</v>
      </c>
      <c r="C48" s="106"/>
      <c r="D48" s="106"/>
      <c r="E48" s="106"/>
      <c r="F48" s="106"/>
    </row>
    <row r="49" customFormat="false" ht="10.5" hidden="false" customHeight="true" outlineLevel="0" collapsed="false">
      <c r="B49" s="106"/>
      <c r="C49" s="106"/>
      <c r="D49" s="106"/>
      <c r="E49" s="106"/>
      <c r="F49" s="106"/>
    </row>
    <row r="50" customFormat="false" ht="10.5" hidden="false" customHeight="true" outlineLevel="0" collapsed="false">
      <c r="B50" s="106"/>
      <c r="C50" s="106"/>
      <c r="D50" s="106"/>
      <c r="E50" s="106"/>
      <c r="F50" s="106"/>
    </row>
    <row r="51" customFormat="false" ht="15" hidden="false" customHeight="true" outlineLevel="0" collapsed="false">
      <c r="B51" s="122"/>
    </row>
    <row r="52" customFormat="false" ht="17.25" hidden="false" customHeight="true" outlineLevel="0" collapsed="false">
      <c r="B52" s="106" t="s">
        <v>12060</v>
      </c>
      <c r="C52" s="106"/>
      <c r="D52" s="106"/>
      <c r="E52" s="106"/>
      <c r="F52" s="106"/>
    </row>
    <row r="53" customFormat="false" ht="17.25" hidden="false" customHeight="true" outlineLevel="0" collapsed="false">
      <c r="B53" s="106" t="s">
        <v>12061</v>
      </c>
      <c r="C53" s="106"/>
      <c r="D53" s="106"/>
      <c r="E53" s="106"/>
      <c r="F53" s="106"/>
    </row>
    <row r="54" customFormat="false" ht="17.25" hidden="false" customHeight="true" outlineLevel="0" collapsed="false">
      <c r="B54" s="106" t="s">
        <v>12062</v>
      </c>
      <c r="C54" s="106"/>
      <c r="D54" s="106"/>
      <c r="E54" s="106"/>
      <c r="F54" s="106"/>
    </row>
    <row r="55" customFormat="false" ht="17.25" hidden="false" customHeight="true" outlineLevel="0" collapsed="false">
      <c r="B55" s="106" t="s">
        <v>12063</v>
      </c>
      <c r="C55" s="106"/>
      <c r="D55" s="106"/>
      <c r="E55" s="106"/>
      <c r="F55" s="106"/>
    </row>
    <row r="56" customFormat="false" ht="15" hidden="false" customHeight="true" outlineLevel="0" collapsed="false">
      <c r="B56" s="122"/>
    </row>
    <row r="57" customFormat="false" ht="8.25" hidden="false" customHeight="true" outlineLevel="0" collapsed="false">
      <c r="B57" s="106" t="s">
        <v>12064</v>
      </c>
      <c r="C57" s="106"/>
      <c r="D57" s="106"/>
      <c r="E57" s="106"/>
      <c r="F57" s="106"/>
    </row>
    <row r="58" customFormat="false" ht="8.25" hidden="false" customHeight="true" outlineLevel="0" collapsed="false">
      <c r="B58" s="106"/>
      <c r="C58" s="106"/>
      <c r="D58" s="106"/>
      <c r="E58" s="106"/>
      <c r="F58" s="106"/>
    </row>
    <row r="60" customFormat="false" ht="15.75" hidden="false" customHeight="true" outlineLevel="0" collapsed="false">
      <c r="B60" s="103" t="s">
        <v>1437</v>
      </c>
      <c r="C60" s="8"/>
      <c r="D60" s="8"/>
      <c r="E60" s="8"/>
      <c r="F60" s="8"/>
      <c r="G60" s="8"/>
      <c r="H60" s="8"/>
      <c r="I60" s="8"/>
      <c r="J60" s="8"/>
      <c r="K60" s="8"/>
    </row>
    <row r="61" customFormat="false" ht="16.5" hidden="false" customHeight="true" outlineLevel="0" collapsed="false">
      <c r="B61" s="152" t="s">
        <v>1438</v>
      </c>
      <c r="C61" s="152" t="s">
        <v>1439</v>
      </c>
      <c r="D61" s="152" t="s">
        <v>1440</v>
      </c>
    </row>
    <row r="62" customFormat="false" ht="44.25" hidden="false" customHeight="true" outlineLevel="0" collapsed="false">
      <c r="B62" s="15" t="s">
        <v>12065</v>
      </c>
      <c r="C62" s="15" t="s">
        <v>12066</v>
      </c>
      <c r="D62" s="15" t="s">
        <v>12067</v>
      </c>
    </row>
    <row r="63" customFormat="false" ht="30.75" hidden="false" customHeight="true" outlineLevel="0" collapsed="false">
      <c r="B63" s="15" t="s">
        <v>12068</v>
      </c>
      <c r="C63" s="15" t="s">
        <v>12069</v>
      </c>
      <c r="D63" s="15" t="s">
        <v>12070</v>
      </c>
    </row>
    <row r="64" customFormat="false" ht="30.75" hidden="false" customHeight="true" outlineLevel="0" collapsed="false">
      <c r="B64" s="15" t="s">
        <v>9464</v>
      </c>
      <c r="C64" s="15" t="s">
        <v>12071</v>
      </c>
      <c r="D64" s="15" t="s">
        <v>12072</v>
      </c>
    </row>
    <row r="65" customFormat="false" ht="30.75" hidden="false" customHeight="true" outlineLevel="0" collapsed="false">
      <c r="B65" s="15" t="s">
        <v>12073</v>
      </c>
      <c r="C65" s="15" t="s">
        <v>12074</v>
      </c>
      <c r="D65" s="15" t="s">
        <v>12075</v>
      </c>
    </row>
    <row r="66" customFormat="false" ht="30.75" hidden="false" customHeight="true" outlineLevel="0" collapsed="false">
      <c r="B66" s="15" t="s">
        <v>12076</v>
      </c>
      <c r="C66" s="15" t="s">
        <v>12077</v>
      </c>
      <c r="D66" s="15" t="s">
        <v>12078</v>
      </c>
    </row>
    <row r="68" customFormat="false" ht="15.75" hidden="false" customHeight="true" outlineLevel="0" collapsed="false">
      <c r="B68" s="103" t="s">
        <v>1454</v>
      </c>
      <c r="C68" s="8"/>
      <c r="D68" s="8"/>
      <c r="E68" s="8"/>
      <c r="F68" s="8"/>
      <c r="G68" s="8"/>
      <c r="H68" s="8"/>
      <c r="I68" s="8"/>
      <c r="J68" s="8"/>
      <c r="K68" s="8"/>
    </row>
    <row r="69" customFormat="false" ht="10.5" hidden="false" customHeight="true" outlineLevel="0" collapsed="false">
      <c r="B69" s="106" t="s">
        <v>12079</v>
      </c>
      <c r="C69" s="106"/>
      <c r="D69" s="106"/>
      <c r="E69" s="106"/>
      <c r="F69" s="106"/>
    </row>
    <row r="70" customFormat="false" ht="10.5" hidden="false" customHeight="true" outlineLevel="0" collapsed="false">
      <c r="B70" s="106"/>
      <c r="C70" s="106"/>
      <c r="D70" s="106"/>
      <c r="E70" s="106"/>
      <c r="F70" s="106"/>
    </row>
    <row r="71" customFormat="false" ht="10.5" hidden="false" customHeight="true" outlineLevel="0" collapsed="false">
      <c r="B71" s="106"/>
      <c r="C71" s="106"/>
      <c r="D71" s="106"/>
      <c r="E71" s="106"/>
      <c r="F71" s="106"/>
    </row>
    <row r="72" customFormat="false" ht="15" hidden="false" customHeight="true" outlineLevel="0" collapsed="false">
      <c r="B72" s="112" t="s">
        <v>85</v>
      </c>
      <c r="C72" s="154" t="s">
        <v>86</v>
      </c>
    </row>
    <row r="74" customFormat="false" ht="17.25" hidden="false" customHeight="true" outlineLevel="0" collapsed="false">
      <c r="B74" s="107" t="s">
        <v>12080</v>
      </c>
      <c r="C74" s="107"/>
      <c r="D74" s="107"/>
      <c r="E74" s="107"/>
      <c r="F74" s="107"/>
    </row>
    <row r="75" customFormat="false" ht="30.75" hidden="false" customHeight="true" outlineLevel="0" collapsed="false">
      <c r="B75" s="152" t="s">
        <v>7006</v>
      </c>
      <c r="C75" s="152" t="s">
        <v>12081</v>
      </c>
      <c r="D75" s="152" t="s">
        <v>10340</v>
      </c>
      <c r="E75" s="152" t="s">
        <v>12082</v>
      </c>
      <c r="F75" s="152" t="s">
        <v>1784</v>
      </c>
      <c r="G75" s="152" t="s">
        <v>6315</v>
      </c>
      <c r="H75" s="152" t="s">
        <v>12083</v>
      </c>
      <c r="I75" s="152" t="s">
        <v>12084</v>
      </c>
      <c r="J75" s="152" t="s">
        <v>12085</v>
      </c>
      <c r="K75" s="152" t="s">
        <v>12086</v>
      </c>
      <c r="L75" s="152" t="s">
        <v>12087</v>
      </c>
      <c r="M75" s="152" t="s">
        <v>12088</v>
      </c>
    </row>
    <row r="76" customFormat="false" ht="44.25" hidden="false" customHeight="true" outlineLevel="0" collapsed="false">
      <c r="B76" s="15" t="s">
        <v>12089</v>
      </c>
      <c r="C76" s="177" t="s">
        <v>10223</v>
      </c>
      <c r="D76" s="177" t="s">
        <v>10224</v>
      </c>
      <c r="E76" s="177" t="s">
        <v>12090</v>
      </c>
      <c r="F76" s="177" t="s">
        <v>40</v>
      </c>
      <c r="G76" s="177" t="s">
        <v>12091</v>
      </c>
      <c r="H76" s="177" t="s">
        <v>6453</v>
      </c>
      <c r="I76" s="177" t="s">
        <v>12092</v>
      </c>
      <c r="J76" s="177" t="s">
        <v>12093</v>
      </c>
      <c r="K76" s="156" t="n">
        <v>1.28</v>
      </c>
      <c r="L76" s="177" t="s">
        <v>12094</v>
      </c>
      <c r="M76" s="167" t="str">
        <f aca="false">IF(K76=0,"Attribute — no Cpk",IF(K76&gt;=1.33,"Capable",IF(K76&gt;=1,"Marginal — increase sampling","NOT capable — 100% inspection until fixed")))</f>
        <v>Marginal — increase sampling</v>
      </c>
    </row>
    <row r="77" customFormat="false" ht="30.75" hidden="false" customHeight="true" outlineLevel="0" collapsed="false">
      <c r="B77" s="15" t="s">
        <v>12089</v>
      </c>
      <c r="C77" s="177" t="s">
        <v>10210</v>
      </c>
      <c r="D77" s="177" t="s">
        <v>12095</v>
      </c>
      <c r="E77" s="177" t="s">
        <v>12096</v>
      </c>
      <c r="F77" s="177" t="s">
        <v>34</v>
      </c>
      <c r="G77" s="177" t="s">
        <v>1935</v>
      </c>
      <c r="H77" s="177" t="s">
        <v>8126</v>
      </c>
      <c r="I77" s="177" t="s">
        <v>12097</v>
      </c>
      <c r="J77" s="177" t="s">
        <v>12098</v>
      </c>
      <c r="K77" s="156" t="n">
        <v>1.55</v>
      </c>
      <c r="L77" s="177" t="s">
        <v>12099</v>
      </c>
      <c r="M77" s="167" t="str">
        <f aca="false">IF(K77=0,"Attribute — no Cpk",IF(K77&gt;=1.33,"Capable",IF(K77&gt;=1,"Marginal — increase sampling","NOT capable — 100% inspection until fixed")))</f>
        <v>Capable</v>
      </c>
    </row>
    <row r="78" customFormat="false" ht="44.25" hidden="false" customHeight="true" outlineLevel="0" collapsed="false">
      <c r="B78" s="15" t="s">
        <v>12100</v>
      </c>
      <c r="C78" s="177" t="s">
        <v>10352</v>
      </c>
      <c r="D78" s="177" t="s">
        <v>10227</v>
      </c>
      <c r="E78" s="177" t="s">
        <v>12101</v>
      </c>
      <c r="F78" s="177" t="s">
        <v>40</v>
      </c>
      <c r="G78" s="177" t="s">
        <v>8123</v>
      </c>
      <c r="H78" s="177" t="s">
        <v>6453</v>
      </c>
      <c r="I78" s="177" t="s">
        <v>12102</v>
      </c>
      <c r="J78" s="177" t="s">
        <v>12093</v>
      </c>
      <c r="K78" s="156" t="n">
        <v>1.41</v>
      </c>
      <c r="L78" s="177" t="s">
        <v>12103</v>
      </c>
      <c r="M78" s="167" t="str">
        <f aca="false">IF(K78=0,"Attribute — no Cpk",IF(K78&gt;=1.33,"Capable",IF(K78&gt;=1,"Marginal — increase sampling","NOT capable — 100% inspection until fixed")))</f>
        <v>Capable</v>
      </c>
    </row>
    <row r="79" customFormat="false" ht="30.75" hidden="false" customHeight="true" outlineLevel="0" collapsed="false">
      <c r="B79" s="15" t="s">
        <v>12100</v>
      </c>
      <c r="C79" s="177" t="s">
        <v>12104</v>
      </c>
      <c r="D79" s="177" t="s">
        <v>10220</v>
      </c>
      <c r="E79" s="177" t="s">
        <v>12105</v>
      </c>
      <c r="F79" s="177" t="s">
        <v>1958</v>
      </c>
      <c r="G79" s="177" t="s">
        <v>12106</v>
      </c>
      <c r="H79" s="177" t="s">
        <v>8126</v>
      </c>
      <c r="I79" s="177" t="s">
        <v>12107</v>
      </c>
      <c r="J79" s="177" t="s">
        <v>12108</v>
      </c>
      <c r="K79" s="156" t="n">
        <v>0</v>
      </c>
      <c r="L79" s="177" t="s">
        <v>12109</v>
      </c>
      <c r="M79" s="167" t="str">
        <f aca="false">IF(K79=0,"Attribute — no Cpk",IF(K79&gt;=1.33,"Capable",IF(K79&gt;=1,"Marginal — increase sampling","NOT capable — 100% inspection until fixed")))</f>
        <v>Attribute — no Cpk</v>
      </c>
    </row>
    <row r="80" customFormat="false" ht="44.25" hidden="false" customHeight="true" outlineLevel="0" collapsed="false">
      <c r="B80" s="15" t="s">
        <v>12110</v>
      </c>
      <c r="C80" s="177" t="s">
        <v>10345</v>
      </c>
      <c r="D80" s="177" t="s">
        <v>12111</v>
      </c>
      <c r="E80" s="177" t="s">
        <v>10625</v>
      </c>
      <c r="F80" s="177" t="s">
        <v>6926</v>
      </c>
      <c r="G80" s="177" t="s">
        <v>12112</v>
      </c>
      <c r="H80" s="177" t="s">
        <v>6453</v>
      </c>
      <c r="I80" s="177" t="s">
        <v>12113</v>
      </c>
      <c r="J80" s="177" t="s">
        <v>12093</v>
      </c>
      <c r="K80" s="156" t="n">
        <v>1.12</v>
      </c>
      <c r="L80" s="177" t="s">
        <v>12114</v>
      </c>
      <c r="M80" s="167" t="str">
        <f aca="false">IF(K80=0,"Attribute — no Cpk",IF(K80&gt;=1.33,"Capable",IF(K80&gt;=1,"Marginal — increase sampling","NOT capable — 100% inspection until fixed")))</f>
        <v>Marginal — increase sampling</v>
      </c>
    </row>
    <row r="81" customFormat="false" ht="16.5" hidden="false" customHeight="true" outlineLevel="0" collapsed="false">
      <c r="B81" s="15" t="s">
        <v>12110</v>
      </c>
      <c r="C81" s="177" t="s">
        <v>12115</v>
      </c>
      <c r="D81" s="177" t="s">
        <v>12116</v>
      </c>
      <c r="E81" s="177" t="s">
        <v>12117</v>
      </c>
      <c r="F81" s="177" t="s">
        <v>34</v>
      </c>
      <c r="G81" s="177" t="s">
        <v>1935</v>
      </c>
      <c r="H81" s="177" t="s">
        <v>8126</v>
      </c>
      <c r="I81" s="177" t="s">
        <v>12118</v>
      </c>
      <c r="J81" s="177" t="s">
        <v>12119</v>
      </c>
      <c r="K81" s="156" t="n">
        <v>1.62</v>
      </c>
      <c r="L81" s="177" t="s">
        <v>12120</v>
      </c>
      <c r="M81" s="167" t="str">
        <f aca="false">IF(K81=0,"Attribute — no Cpk",IF(K81&gt;=1.33,"Capable",IF(K81&gt;=1,"Marginal — increase sampling","NOT capable — 100% inspection until fixed")))</f>
        <v>Capable</v>
      </c>
    </row>
    <row r="82" customFormat="false" ht="44.25" hidden="false" customHeight="true" outlineLevel="0" collapsed="false">
      <c r="B82" s="15" t="s">
        <v>12121</v>
      </c>
      <c r="C82" s="177" t="s">
        <v>12122</v>
      </c>
      <c r="D82" s="177" t="s">
        <v>12123</v>
      </c>
      <c r="E82" s="177" t="s">
        <v>12124</v>
      </c>
      <c r="F82" s="177" t="s">
        <v>40</v>
      </c>
      <c r="G82" s="177" t="s">
        <v>12125</v>
      </c>
      <c r="H82" s="177" t="s">
        <v>12126</v>
      </c>
      <c r="I82" s="177" t="s">
        <v>12102</v>
      </c>
      <c r="J82" s="177" t="s">
        <v>12093</v>
      </c>
      <c r="K82" s="156" t="n">
        <v>1.33</v>
      </c>
      <c r="L82" s="177" t="s">
        <v>12127</v>
      </c>
      <c r="M82" s="167" t="str">
        <f aca="false">IF(K82=0,"Attribute — no Cpk",IF(K82&gt;=1.33,"Capable",IF(K82&gt;=1,"Marginal — increase sampling","NOT capable — 100% inspection until fixed")))</f>
        <v>Capable</v>
      </c>
    </row>
    <row r="83" customFormat="false" ht="30.75" hidden="false" customHeight="true" outlineLevel="0" collapsed="false">
      <c r="B83" s="15" t="s">
        <v>12121</v>
      </c>
      <c r="C83" s="177" t="s">
        <v>12128</v>
      </c>
      <c r="D83" s="177" t="s">
        <v>12129</v>
      </c>
      <c r="E83" s="177" t="s">
        <v>12130</v>
      </c>
      <c r="F83" s="177" t="s">
        <v>34</v>
      </c>
      <c r="G83" s="177" t="s">
        <v>12131</v>
      </c>
      <c r="H83" s="177" t="s">
        <v>6453</v>
      </c>
      <c r="I83" s="177" t="s">
        <v>12132</v>
      </c>
      <c r="J83" s="177" t="s">
        <v>12133</v>
      </c>
      <c r="K83" s="156" t="n">
        <v>0</v>
      </c>
      <c r="L83" s="177" t="s">
        <v>12134</v>
      </c>
      <c r="M83" s="167" t="str">
        <f aca="false">IF(K83=0,"Attribute — no Cpk",IF(K83&gt;=1.33,"Capable",IF(K83&gt;=1,"Marginal — increase sampling","NOT capable — 100% inspection until fixed")))</f>
        <v>Attribute — no Cpk</v>
      </c>
    </row>
    <row r="85" customFormat="false" ht="17.25" hidden="false" customHeight="true" outlineLevel="0" collapsed="false">
      <c r="B85" s="107" t="s">
        <v>12135</v>
      </c>
      <c r="C85" s="107"/>
      <c r="D85" s="107"/>
      <c r="E85" s="107"/>
      <c r="F85" s="107"/>
    </row>
    <row r="86" customFormat="false" ht="28.5" hidden="false" customHeight="true" outlineLevel="0" collapsed="false">
      <c r="B86" s="182" t="s">
        <v>12136</v>
      </c>
      <c r="C86" s="182"/>
      <c r="D86" s="182"/>
      <c r="E86" s="182"/>
      <c r="F86" s="182"/>
    </row>
    <row r="88" customFormat="false" ht="30.75" hidden="false" customHeight="true" outlineLevel="0" collapsed="false">
      <c r="B88" s="152" t="s">
        <v>5293</v>
      </c>
      <c r="C88" s="152" t="s">
        <v>12137</v>
      </c>
      <c r="D88" s="152" t="s">
        <v>12138</v>
      </c>
      <c r="E88" s="152" t="s">
        <v>8875</v>
      </c>
      <c r="F88" s="152" t="s">
        <v>12139</v>
      </c>
      <c r="G88" s="152" t="s">
        <v>12140</v>
      </c>
      <c r="H88" s="152" t="s">
        <v>12141</v>
      </c>
    </row>
    <row r="89" customFormat="false" ht="114" hidden="false" customHeight="true" outlineLevel="0" collapsed="false">
      <c r="B89" s="15" t="s">
        <v>12142</v>
      </c>
      <c r="C89" s="177" t="s">
        <v>12143</v>
      </c>
      <c r="D89" s="177" t="s">
        <v>8122</v>
      </c>
      <c r="E89" s="177" t="s">
        <v>8878</v>
      </c>
      <c r="F89" s="177" t="s">
        <v>12144</v>
      </c>
      <c r="G89" s="177" t="s">
        <v>12145</v>
      </c>
      <c r="H89" s="177" t="s">
        <v>12146</v>
      </c>
    </row>
    <row r="90" customFormat="false" ht="135" hidden="false" customHeight="true" outlineLevel="0" collapsed="false">
      <c r="B90" s="15" t="s">
        <v>12147</v>
      </c>
      <c r="C90" s="177" t="s">
        <v>12148</v>
      </c>
      <c r="D90" s="177" t="s">
        <v>12149</v>
      </c>
      <c r="E90" s="177" t="s">
        <v>12150</v>
      </c>
      <c r="F90" s="177" t="s">
        <v>12151</v>
      </c>
      <c r="G90" s="177" t="s">
        <v>12152</v>
      </c>
      <c r="H90" s="177" t="s">
        <v>12153</v>
      </c>
    </row>
    <row r="91" customFormat="false" ht="114" hidden="false" customHeight="true" outlineLevel="0" collapsed="false">
      <c r="B91" s="15" t="s">
        <v>12154</v>
      </c>
      <c r="C91" s="177" t="s">
        <v>12155</v>
      </c>
      <c r="D91" s="177" t="s">
        <v>12156</v>
      </c>
      <c r="E91" s="177" t="s">
        <v>12157</v>
      </c>
      <c r="F91" s="177" t="s">
        <v>12158</v>
      </c>
      <c r="G91" s="177" t="s">
        <v>12159</v>
      </c>
      <c r="H91" s="177" t="s">
        <v>12160</v>
      </c>
    </row>
    <row r="93" customFormat="false" ht="15" hidden="false" customHeight="true" outlineLevel="0" collapsed="false">
      <c r="B93" s="105" t="s">
        <v>12161</v>
      </c>
    </row>
    <row r="94" customFormat="false" ht="16.5" hidden="false" customHeight="true" outlineLevel="0" collapsed="false">
      <c r="B94" s="152" t="s">
        <v>960</v>
      </c>
      <c r="C94" s="152" t="s">
        <v>6654</v>
      </c>
      <c r="D94" s="152" t="s">
        <v>88</v>
      </c>
    </row>
    <row r="95" customFormat="false" ht="16.5" hidden="false" customHeight="true" outlineLevel="0" collapsed="false">
      <c r="B95" s="15" t="s">
        <v>12162</v>
      </c>
      <c r="C95" s="161" t="n">
        <f aca="false">COUNTA(C76:C83)</f>
        <v>8</v>
      </c>
      <c r="D95" s="15"/>
    </row>
    <row r="96" customFormat="false" ht="30.75" hidden="false" customHeight="true" outlineLevel="0" collapsed="false">
      <c r="B96" s="15" t="s">
        <v>12163</v>
      </c>
      <c r="C96" s="161" t="n">
        <f aca="false">COUNTA(L76:L83)</f>
        <v>8</v>
      </c>
      <c r="D96" s="15" t="s">
        <v>12164</v>
      </c>
    </row>
    <row r="97" customFormat="false" ht="30.75" hidden="false" customHeight="true" outlineLevel="0" collapsed="false">
      <c r="B97" s="15" t="s">
        <v>12165</v>
      </c>
      <c r="C97" s="161" t="n">
        <f aca="false">COUNTA(C76:C83)-COUNTA(L76:L83)</f>
        <v>0</v>
      </c>
      <c r="D97" s="15" t="s">
        <v>12166</v>
      </c>
    </row>
    <row r="98" customFormat="false" ht="16.5" hidden="false" customHeight="true" outlineLevel="0" collapsed="false">
      <c r="B98" s="15" t="s">
        <v>12167</v>
      </c>
      <c r="C98" s="161" t="n">
        <f aca="false">COUNTIF(K76:K83,"&gt;0")</f>
        <v>6</v>
      </c>
      <c r="D98" s="15" t="s">
        <v>12168</v>
      </c>
    </row>
    <row r="99" customFormat="false" ht="16.5" hidden="false" customHeight="true" outlineLevel="0" collapsed="false">
      <c r="B99" s="15" t="s">
        <v>12169</v>
      </c>
      <c r="C99" s="161" t="n">
        <f aca="false">COUNTIF(K76:K83,"&gt;=1.33")</f>
        <v>4</v>
      </c>
      <c r="D99" s="15"/>
    </row>
    <row r="100" customFormat="false" ht="30.75" hidden="false" customHeight="true" outlineLevel="0" collapsed="false">
      <c r="B100" s="15" t="s">
        <v>12170</v>
      </c>
      <c r="C100" s="161" t="n">
        <f aca="false">COUNTIF(K76:K83,"&gt;=1")-COUNTIF(K76:K83,"&gt;=1.33")</f>
        <v>2</v>
      </c>
      <c r="D100" s="15" t="s">
        <v>12171</v>
      </c>
    </row>
    <row r="101" customFormat="false" ht="16.5" hidden="false" customHeight="true" outlineLevel="0" collapsed="false">
      <c r="B101" s="15" t="s">
        <v>12172</v>
      </c>
      <c r="C101" s="161" t="n">
        <f aca="false">COUNTIF(K76:K83,"&gt;0")-COUNTIF(K76:K83,"&gt;=1")</f>
        <v>0</v>
      </c>
      <c r="D101" s="15" t="s">
        <v>12173</v>
      </c>
    </row>
    <row r="102" customFormat="false" ht="30.75" hidden="false" customHeight="true" outlineLevel="0" collapsed="false">
      <c r="B102" s="15" t="s">
        <v>12174</v>
      </c>
      <c r="C102" s="174" t="n">
        <f aca="false">SMALL(K76:K83,COUNTIF(K76:K83,0)+1)</f>
        <v>1.12</v>
      </c>
      <c r="D102" s="15" t="s">
        <v>12175</v>
      </c>
    </row>
    <row r="103" customFormat="false" ht="16.5" hidden="false" customHeight="true" outlineLevel="0" collapsed="false">
      <c r="B103" s="15" t="s">
        <v>12176</v>
      </c>
      <c r="C103" s="167" t="str">
        <f aca="false">INDEX(C76:C83,MATCH(SMALL(K76:K83,COUNTIF(K76:K83,0)+1),K76:K83,0))</f>
        <v>Label placement</v>
      </c>
      <c r="D103" s="15" t="s">
        <v>12177</v>
      </c>
    </row>
    <row r="104" customFormat="false" ht="30.75" hidden="false" customHeight="true" outlineLevel="0" collapsed="false">
      <c r="B104" s="15" t="s">
        <v>12178</v>
      </c>
      <c r="C104" s="161" t="n">
        <f aca="false">COUNTIF(J76:J83,"*Poka-yoke*")</f>
        <v>0</v>
      </c>
      <c r="D104" s="15" t="s">
        <v>12179</v>
      </c>
    </row>
    <row r="106" customFormat="false" ht="15.75" hidden="false" customHeight="true" outlineLevel="0" collapsed="false">
      <c r="B106" s="103" t="s">
        <v>1493</v>
      </c>
      <c r="C106" s="8"/>
      <c r="D106" s="8"/>
      <c r="E106" s="8"/>
      <c r="F106" s="8"/>
      <c r="G106" s="8"/>
      <c r="H106" s="8"/>
      <c r="I106" s="8"/>
      <c r="J106" s="8"/>
      <c r="K106" s="8"/>
    </row>
    <row r="107" customFormat="false" ht="49.5" hidden="false" customHeight="true" outlineLevel="0" collapsed="false">
      <c r="B107" s="105" t="s">
        <v>1494</v>
      </c>
      <c r="C107" s="168" t="str">
        <f aca="false">"The control plan covers "&amp;TEXT(C95,"0")&amp;" characteristics, "&amp;TEXT(C96,"0")&amp;" of which have a reaction plan. Of "&amp;TEXT(C98,"0")&amp;" variable characteristics, "&amp;TEXT(C99,"0")&amp;" are capable, "&amp;TEXT(C100,"0")&amp;" marginal and "&amp;TEXT(C101,"0")&amp;" not capable. The weakest is "&amp;C103&amp;" at Cpk "&amp;TEXT(C102,"0.00")&amp;". "&amp;IF(C97&gt;0,"WARNING: "&amp;TEXT(C97,"0")&amp;" characteristic(s) have no reaction plan. Without one this is a measurement plan, not a control plan — the operator is told to measure but not what to do when it signals. ","")&amp;IF(C101&gt;0,"There are characteristics below Cpk 1.00: they need 100% inspection until the process is improved, and that inspection must be written into this plan.",IF(C100&gt;0,"The marginal characteristics need increased sampling and a capability project.","Every variable characteristic is capable — maintain the plan and review it after any process change."))</f>
        <v>The control plan covers 8 characteristics, 8 of which have a reaction plan. Of 6 variable characteristics, 4 are capable, 2 marginal and 0 not capable. The weakest is Label placement at Cpk 1.12. The marginal characteristics need increased sampling and a capability project.</v>
      </c>
      <c r="D107" s="168"/>
      <c r="E107" s="168"/>
      <c r="F107" s="168"/>
    </row>
    <row r="109" customFormat="false" ht="16.5" hidden="false" customHeight="true" outlineLevel="0" collapsed="false">
      <c r="B109" s="152" t="s">
        <v>1495</v>
      </c>
      <c r="C109" s="152" t="s">
        <v>1496</v>
      </c>
      <c r="D109" s="152" t="s">
        <v>1497</v>
      </c>
    </row>
    <row r="110" customFormat="false" ht="16.5" hidden="false" customHeight="true" outlineLevel="0" collapsed="false">
      <c r="B110" s="15" t="s">
        <v>12180</v>
      </c>
      <c r="C110" s="15" t="s">
        <v>1958</v>
      </c>
      <c r="D110" s="15" t="s">
        <v>12181</v>
      </c>
    </row>
    <row r="111" customFormat="false" ht="30.75" hidden="false" customHeight="true" outlineLevel="0" collapsed="false">
      <c r="B111" s="15" t="s">
        <v>12182</v>
      </c>
      <c r="C111" s="15" t="s">
        <v>12183</v>
      </c>
      <c r="D111" s="15"/>
    </row>
    <row r="112" customFormat="false" ht="30.75" hidden="false" customHeight="true" outlineLevel="0" collapsed="false">
      <c r="B112" s="15" t="s">
        <v>12184</v>
      </c>
      <c r="C112" s="15" t="s">
        <v>12185</v>
      </c>
      <c r="D112" s="15"/>
    </row>
    <row r="113" customFormat="false" ht="30.75" hidden="false" customHeight="true" outlineLevel="0" collapsed="false">
      <c r="B113" s="15" t="s">
        <v>12186</v>
      </c>
      <c r="C113" s="15" t="s">
        <v>12187</v>
      </c>
      <c r="D113" s="15" t="s">
        <v>12188</v>
      </c>
    </row>
    <row r="114" customFormat="false" ht="30.75" hidden="false" customHeight="true" outlineLevel="0" collapsed="false">
      <c r="B114" s="15" t="s">
        <v>12189</v>
      </c>
      <c r="C114" s="15" t="s">
        <v>12190</v>
      </c>
      <c r="D114" s="15" t="s">
        <v>12191</v>
      </c>
    </row>
    <row r="115" customFormat="false" ht="30.75" hidden="false" customHeight="true" outlineLevel="0" collapsed="false">
      <c r="B115" s="15" t="s">
        <v>12192</v>
      </c>
      <c r="C115" s="15" t="s">
        <v>2939</v>
      </c>
      <c r="D115" s="15" t="s">
        <v>12193</v>
      </c>
    </row>
    <row r="117" customFormat="false" ht="15" hidden="false" customHeight="true" outlineLevel="0" collapsed="false">
      <c r="B117" s="105" t="s">
        <v>1507</v>
      </c>
    </row>
    <row r="118" customFormat="false" ht="17.25" hidden="false" customHeight="true" outlineLevel="0" collapsed="false">
      <c r="B118" s="106" t="s">
        <v>12194</v>
      </c>
      <c r="C118" s="106"/>
      <c r="D118" s="106"/>
      <c r="E118" s="106"/>
      <c r="F118" s="106"/>
    </row>
    <row r="119" customFormat="false" ht="17.25" hidden="false" customHeight="true" outlineLevel="0" collapsed="false">
      <c r="B119" s="106" t="s">
        <v>12195</v>
      </c>
      <c r="C119" s="106"/>
      <c r="D119" s="106"/>
      <c r="E119" s="106"/>
      <c r="F119" s="106"/>
    </row>
    <row r="120" customFormat="false" ht="17.25" hidden="false" customHeight="true" outlineLevel="0" collapsed="false">
      <c r="B120" s="106" t="s">
        <v>12196</v>
      </c>
      <c r="C120" s="106"/>
      <c r="D120" s="106"/>
      <c r="E120" s="106"/>
      <c r="F120" s="106"/>
    </row>
    <row r="121" customFormat="false" ht="17.25" hidden="false" customHeight="true" outlineLevel="0" collapsed="false">
      <c r="B121" s="106" t="s">
        <v>12197</v>
      </c>
      <c r="C121" s="106"/>
      <c r="D121" s="106"/>
      <c r="E121" s="106"/>
      <c r="F121" s="106"/>
    </row>
    <row r="122" customFormat="false" ht="17.25" hidden="false" customHeight="true" outlineLevel="0" collapsed="false">
      <c r="B122" s="106" t="s">
        <v>12198</v>
      </c>
      <c r="C122" s="106"/>
      <c r="D122" s="106"/>
      <c r="E122" s="106"/>
      <c r="F122" s="106"/>
    </row>
    <row r="123" customFormat="false" ht="17.25" hidden="false" customHeight="true" outlineLevel="0" collapsed="false">
      <c r="B123" s="106" t="s">
        <v>12199</v>
      </c>
      <c r="C123" s="106"/>
      <c r="D123" s="106"/>
      <c r="E123" s="106"/>
      <c r="F123" s="106"/>
    </row>
    <row r="125" customFormat="false" ht="15.75" hidden="false" customHeight="true" outlineLevel="0" collapsed="false">
      <c r="B125" s="103" t="s">
        <v>1513</v>
      </c>
      <c r="C125" s="8"/>
      <c r="D125" s="8"/>
      <c r="E125" s="8"/>
      <c r="F125" s="8"/>
      <c r="G125" s="8"/>
      <c r="H125" s="8"/>
      <c r="I125" s="8"/>
      <c r="J125" s="8"/>
      <c r="K125" s="8"/>
    </row>
    <row r="126" customFormat="false" ht="17.25" hidden="false" customHeight="true" outlineLevel="0" collapsed="false">
      <c r="B126" s="106" t="s">
        <v>6712</v>
      </c>
      <c r="C126" s="106"/>
      <c r="D126" s="106"/>
      <c r="E126" s="106"/>
      <c r="N126" s="169" t="s">
        <v>1515</v>
      </c>
    </row>
    <row r="127" customFormat="false" ht="58.5" hidden="false" customHeight="true" outlineLevel="0" collapsed="false">
      <c r="B127" s="106" t="s">
        <v>12200</v>
      </c>
      <c r="C127" s="106"/>
      <c r="D127" s="106"/>
      <c r="E127" s="106"/>
      <c r="N127" s="120" t="s">
        <v>12201</v>
      </c>
    </row>
    <row r="128" customFormat="false" ht="58.5" hidden="false" customHeight="true" outlineLevel="0" collapsed="false">
      <c r="B128" s="106" t="s">
        <v>12202</v>
      </c>
      <c r="C128" s="106"/>
      <c r="D128" s="106"/>
      <c r="E128" s="106"/>
      <c r="N128" s="120" t="s">
        <v>12203</v>
      </c>
    </row>
    <row r="129" customFormat="false" ht="44.25" hidden="false" customHeight="true" outlineLevel="0" collapsed="false">
      <c r="B129" s="106" t="s">
        <v>12204</v>
      </c>
      <c r="C129" s="106"/>
      <c r="D129" s="106"/>
      <c r="E129" s="106"/>
      <c r="N129" s="120" t="s">
        <v>12205</v>
      </c>
    </row>
    <row r="131" customFormat="false" ht="15.75" hidden="false" customHeight="true" outlineLevel="0" collapsed="false">
      <c r="B131" s="103" t="s">
        <v>1522</v>
      </c>
      <c r="C131" s="8"/>
      <c r="D131" s="8"/>
      <c r="E131" s="8"/>
      <c r="F131" s="8"/>
      <c r="G131" s="8"/>
      <c r="H131" s="8"/>
      <c r="I131" s="8"/>
      <c r="J131" s="8"/>
      <c r="K131" s="8"/>
    </row>
    <row r="132" customFormat="false" ht="30.75" hidden="false" customHeight="true" outlineLevel="0" collapsed="false">
      <c r="B132" s="152" t="s">
        <v>1523</v>
      </c>
      <c r="C132" s="152" t="s">
        <v>1524</v>
      </c>
      <c r="D132" s="152" t="s">
        <v>6719</v>
      </c>
    </row>
    <row r="133" customFormat="false" ht="30.75" hidden="false" customHeight="true" outlineLevel="0" collapsed="false">
      <c r="B133" s="170" t="s">
        <v>8637</v>
      </c>
      <c r="C133" s="170" t="s">
        <v>5687</v>
      </c>
      <c r="D133" s="170" t="s">
        <v>1103</v>
      </c>
    </row>
  </sheetData>
  <mergeCells count="43">
    <mergeCell ref="B2:J2"/>
    <mergeCell ref="D3:F3"/>
    <mergeCell ref="C6:D6"/>
    <mergeCell ref="C7:D7"/>
    <mergeCell ref="C8:D8"/>
    <mergeCell ref="B11:F13"/>
    <mergeCell ref="B14:F16"/>
    <mergeCell ref="B17:F20"/>
    <mergeCell ref="B21:F24"/>
    <mergeCell ref="B25:F27"/>
    <mergeCell ref="B28:F29"/>
    <mergeCell ref="B30:F30"/>
    <mergeCell ref="B33:D33"/>
    <mergeCell ref="E33:F33"/>
    <mergeCell ref="B34:D34"/>
    <mergeCell ref="E34:F34"/>
    <mergeCell ref="B35:D35"/>
    <mergeCell ref="E35:F35"/>
    <mergeCell ref="B36:D36"/>
    <mergeCell ref="E36:F36"/>
    <mergeCell ref="B37:F37"/>
    <mergeCell ref="B46:F46"/>
    <mergeCell ref="B48:F50"/>
    <mergeCell ref="B52:F52"/>
    <mergeCell ref="B53:F53"/>
    <mergeCell ref="B54:F54"/>
    <mergeCell ref="B55:F55"/>
    <mergeCell ref="B57:F58"/>
    <mergeCell ref="B69:F71"/>
    <mergeCell ref="B74:F74"/>
    <mergeCell ref="B85:F85"/>
    <mergeCell ref="B86:F86"/>
    <mergeCell ref="C107:F107"/>
    <mergeCell ref="B118:F118"/>
    <mergeCell ref="B119:F119"/>
    <mergeCell ref="B120:F120"/>
    <mergeCell ref="B121:F121"/>
    <mergeCell ref="B122:F122"/>
    <mergeCell ref="B123:F123"/>
    <mergeCell ref="B126:E126"/>
    <mergeCell ref="B127:E127"/>
    <mergeCell ref="B128:E128"/>
    <mergeCell ref="B129:E129"/>
  </mergeCells>
  <hyperlinks>
    <hyperlink ref="B3" location="'N-03 Index DMAIC'!A1" display="← Back to Index"/>
    <hyperlink ref="E40" location="'L-18 Jidoka and Andon'!A1" display="L-18  Jidoka and Andon"/>
    <hyperlink ref="E41" location="'E-59 Gage R and R'!A1" display="E-59  Gage R and R"/>
    <hyperlink ref="E42" location="'E-57 Process Capability'!A1" display="E-57  Process Capability"/>
    <hyperlink ref="E43" location="'H-15 8D Problem Solving'!A1" display="H-15  8D Problem Solving"/>
    <hyperlink ref="B133" location="'H-13 FMEA AIAG-VDA'!A1" display="H-13  FMEA (AIAG-VDA)"/>
    <hyperlink ref="C133" location="'E-56 WE and Nelson Rules'!A1" display="E-56  Western Electric and Nelson Rules"/>
    <hyperlink ref="D133" location="'L-18 Jidoka and Andon'!A1" display="L-18  Jidoka and And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Q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4"/>
    <col collapsed="false" customWidth="true" hidden="false" outlineLevel="0" max="4" min="4" style="1" width="12"/>
    <col collapsed="false" customWidth="true" hidden="false" outlineLevel="0" max="6" min="5" style="1" width="13"/>
    <col collapsed="false" customWidth="true" hidden="false" outlineLevel="0" max="7" min="7" style="1" width="14"/>
    <col collapsed="false" customWidth="true" hidden="false" outlineLevel="0" max="8" min="8" style="1" width="11"/>
    <col collapsed="false" customWidth="true" hidden="false" outlineLevel="0" max="9" min="9" style="1" width="15"/>
    <col collapsed="false" customWidth="true" hidden="false" outlineLevel="0" max="10" min="10" style="1" width="12"/>
    <col collapsed="false" customWidth="true" hidden="false" outlineLevel="0" max="11" min="11" style="1" width="15"/>
    <col collapsed="false" customWidth="true" hidden="false" outlineLevel="0" max="12" min="12" style="1" width="20"/>
    <col collapsed="false" customWidth="true" hidden="false" outlineLevel="0" max="13" min="13" style="1" width="18"/>
    <col collapsed="false" customWidth="true" hidden="false" outlineLevel="0" max="14" min="14" style="1" width="20"/>
    <col collapsed="false" customWidth="true" hidden="false" outlineLevel="0" max="15" min="15" style="1" width="10"/>
    <col collapsed="false" customWidth="true" hidden="false" outlineLevel="0" max="16" min="16" style="1" width="28"/>
  </cols>
  <sheetData>
    <row r="1" customFormat="false" ht="15" hidden="false" customHeight="true" outlineLevel="0" collapsed="false">
      <c r="A1" s="147" t="s">
        <v>0</v>
      </c>
    </row>
    <row r="2" customFormat="false" ht="22.5" hidden="false" customHeight="true" outlineLevel="0" collapsed="false">
      <c r="B2" s="148" t="s">
        <v>12206</v>
      </c>
      <c r="C2" s="148"/>
      <c r="D2" s="148"/>
      <c r="E2" s="148"/>
      <c r="F2" s="148"/>
      <c r="G2" s="148"/>
      <c r="H2" s="148"/>
      <c r="I2" s="148"/>
      <c r="J2" s="148"/>
      <c r="K2" s="195" t="s">
        <v>9949</v>
      </c>
    </row>
    <row r="3" customFormat="false" ht="42" hidden="false" customHeight="true" outlineLevel="0" collapsed="false">
      <c r="B3" s="150" t="s">
        <v>3</v>
      </c>
      <c r="D3" s="151" t="s">
        <v>12207</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12208</v>
      </c>
      <c r="D6" s="106"/>
    </row>
    <row r="7" customFormat="false" ht="31.5" hidden="false" customHeight="true" outlineLevel="0" collapsed="false">
      <c r="B7" s="105" t="s">
        <v>1394</v>
      </c>
      <c r="C7" s="106" t="s">
        <v>12209</v>
      </c>
      <c r="D7" s="106"/>
    </row>
    <row r="8" customFormat="false" ht="31.5" hidden="false" customHeight="true" outlineLevel="0" collapsed="false">
      <c r="B8" s="105" t="s">
        <v>1396</v>
      </c>
      <c r="C8" s="106" t="s">
        <v>12210</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12211</v>
      </c>
      <c r="C11" s="106"/>
      <c r="D11" s="106"/>
      <c r="E11" s="106"/>
      <c r="F11" s="106"/>
      <c r="G11" s="106"/>
      <c r="H11" s="106"/>
      <c r="I11" s="106"/>
    </row>
    <row r="12" customFormat="false" ht="10.5" hidden="false" customHeight="true" outlineLevel="0" collapsed="false">
      <c r="B12" s="106"/>
      <c r="C12" s="106"/>
      <c r="D12" s="106"/>
      <c r="E12" s="106"/>
      <c r="F12" s="106"/>
      <c r="G12" s="106"/>
      <c r="H12" s="106"/>
      <c r="I12" s="106"/>
    </row>
    <row r="13" customFormat="false" ht="10.5" hidden="false" customHeight="true" outlineLevel="0" collapsed="false">
      <c r="B13" s="106"/>
      <c r="C13" s="106"/>
      <c r="D13" s="106"/>
      <c r="E13" s="106"/>
      <c r="F13" s="106"/>
      <c r="G13" s="106"/>
      <c r="H13" s="106"/>
      <c r="I13" s="106"/>
    </row>
    <row r="14" customFormat="false" ht="15.75" hidden="false" customHeight="true" outlineLevel="0" collapsed="false">
      <c r="B14" s="106" t="s">
        <v>12212</v>
      </c>
      <c r="C14" s="106"/>
      <c r="D14" s="106"/>
      <c r="E14" s="106"/>
      <c r="F14" s="106"/>
      <c r="G14" s="106"/>
      <c r="H14" s="106"/>
      <c r="I14" s="106"/>
    </row>
    <row r="15" customFormat="false" ht="15.75" hidden="false" customHeight="true" outlineLevel="0" collapsed="false">
      <c r="B15" s="106"/>
      <c r="C15" s="106"/>
      <c r="D15" s="106"/>
      <c r="E15" s="106"/>
      <c r="F15" s="106"/>
      <c r="G15" s="106"/>
      <c r="H15" s="106"/>
      <c r="I15" s="106"/>
    </row>
    <row r="16" customFormat="false" ht="11.25" hidden="false" customHeight="true" outlineLevel="0" collapsed="false">
      <c r="B16" s="106" t="s">
        <v>12213</v>
      </c>
      <c r="C16" s="106"/>
      <c r="D16" s="106"/>
      <c r="E16" s="106"/>
      <c r="F16" s="106"/>
      <c r="G16" s="106"/>
      <c r="H16" s="106"/>
      <c r="I16" s="106"/>
    </row>
    <row r="17" customFormat="false" ht="11.25" hidden="false" customHeight="true" outlineLevel="0" collapsed="false">
      <c r="B17" s="106"/>
      <c r="C17" s="106"/>
      <c r="D17" s="106"/>
      <c r="E17" s="106"/>
      <c r="F17" s="106"/>
      <c r="G17" s="106"/>
      <c r="H17" s="106"/>
      <c r="I17" s="106"/>
    </row>
    <row r="18" customFormat="false" ht="11.25" hidden="false" customHeight="true" outlineLevel="0" collapsed="false">
      <c r="B18" s="106"/>
      <c r="C18" s="106"/>
      <c r="D18" s="106"/>
      <c r="E18" s="106"/>
      <c r="F18" s="106"/>
      <c r="G18" s="106"/>
      <c r="H18" s="106"/>
      <c r="I18" s="106"/>
    </row>
    <row r="19" customFormat="false" ht="11.25" hidden="false" customHeight="true" outlineLevel="0" collapsed="false">
      <c r="B19" s="106"/>
      <c r="C19" s="106"/>
      <c r="D19" s="106"/>
      <c r="E19" s="106"/>
      <c r="F19" s="106"/>
      <c r="G19" s="106"/>
      <c r="H19" s="106"/>
      <c r="I19" s="106"/>
    </row>
    <row r="20" customFormat="false" ht="10.5" hidden="false" customHeight="true" outlineLevel="0" collapsed="false">
      <c r="B20" s="106" t="s">
        <v>12214</v>
      </c>
      <c r="C20" s="106"/>
      <c r="D20" s="106"/>
      <c r="E20" s="106"/>
      <c r="F20" s="106"/>
      <c r="G20" s="106"/>
      <c r="H20" s="106"/>
      <c r="I20" s="106"/>
    </row>
    <row r="21" customFormat="false" ht="10.5" hidden="false" customHeight="true" outlineLevel="0" collapsed="false">
      <c r="B21" s="106"/>
      <c r="C21" s="106"/>
      <c r="D21" s="106"/>
      <c r="E21" s="106"/>
      <c r="F21" s="106"/>
      <c r="G21" s="106"/>
      <c r="H21" s="106"/>
      <c r="I21" s="106"/>
    </row>
    <row r="22" customFormat="false" ht="10.5" hidden="false" customHeight="true" outlineLevel="0" collapsed="false">
      <c r="B22" s="106"/>
      <c r="C22" s="106"/>
      <c r="D22" s="106"/>
      <c r="E22" s="106"/>
      <c r="F22" s="106"/>
      <c r="G22" s="106"/>
      <c r="H22" s="106"/>
      <c r="I22" s="106"/>
    </row>
    <row r="23" customFormat="false" ht="10.5" hidden="false" customHeight="true" outlineLevel="0" collapsed="false">
      <c r="B23" s="106" t="s">
        <v>12215</v>
      </c>
      <c r="C23" s="106"/>
      <c r="D23" s="106"/>
      <c r="E23" s="106"/>
      <c r="F23" s="106"/>
      <c r="G23" s="106"/>
      <c r="H23" s="106"/>
      <c r="I23" s="106"/>
    </row>
    <row r="24" customFormat="false" ht="10.5" hidden="false" customHeight="true" outlineLevel="0" collapsed="false">
      <c r="B24" s="106"/>
      <c r="C24" s="106"/>
      <c r="D24" s="106"/>
      <c r="E24" s="106"/>
      <c r="F24" s="106"/>
      <c r="G24" s="106"/>
      <c r="H24" s="106"/>
      <c r="I24" s="106"/>
    </row>
    <row r="25" customFormat="false" ht="10.5" hidden="false" customHeight="true" outlineLevel="0" collapsed="false">
      <c r="B25" s="106"/>
      <c r="C25" s="106"/>
      <c r="D25" s="106"/>
      <c r="E25" s="106"/>
      <c r="F25" s="106"/>
      <c r="G25" s="106"/>
      <c r="H25" s="106"/>
      <c r="I25" s="106"/>
    </row>
    <row r="27" customFormat="false" ht="15.75" hidden="false" customHeight="true" outlineLevel="0" collapsed="false">
      <c r="B27" s="103" t="s">
        <v>1406</v>
      </c>
      <c r="C27" s="8"/>
      <c r="D27" s="8"/>
      <c r="E27" s="8"/>
      <c r="F27" s="8"/>
      <c r="G27" s="8"/>
      <c r="H27" s="8"/>
      <c r="I27" s="8"/>
      <c r="J27" s="8"/>
      <c r="K27" s="8"/>
    </row>
    <row r="28" customFormat="false" ht="17.25" hidden="false" customHeight="true" outlineLevel="0" collapsed="false">
      <c r="B28" s="107" t="s">
        <v>1407</v>
      </c>
      <c r="C28" s="107"/>
      <c r="D28" s="107"/>
      <c r="E28" s="107" t="s">
        <v>1408</v>
      </c>
      <c r="F28" s="107"/>
      <c r="G28" s="107"/>
      <c r="H28" s="107"/>
      <c r="I28" s="107"/>
    </row>
    <row r="29" customFormat="false" ht="17.25" hidden="false" customHeight="true" outlineLevel="0" collapsed="false">
      <c r="B29" s="106" t="s">
        <v>12216</v>
      </c>
      <c r="C29" s="106"/>
      <c r="D29" s="106"/>
      <c r="E29" s="106" t="s">
        <v>12217</v>
      </c>
      <c r="F29" s="106"/>
      <c r="G29" s="106"/>
      <c r="H29" s="106"/>
      <c r="I29" s="106"/>
    </row>
    <row r="30" customFormat="false" ht="31.5" hidden="false" customHeight="true" outlineLevel="0" collapsed="false">
      <c r="B30" s="106" t="s">
        <v>12218</v>
      </c>
      <c r="C30" s="106"/>
      <c r="D30" s="106"/>
      <c r="E30" s="106" t="s">
        <v>12219</v>
      </c>
      <c r="F30" s="106"/>
      <c r="G30" s="106"/>
      <c r="H30" s="106"/>
      <c r="I30" s="106"/>
    </row>
    <row r="31" customFormat="false" ht="31.5" hidden="false" customHeight="true" outlineLevel="0" collapsed="false">
      <c r="B31" s="106" t="s">
        <v>12220</v>
      </c>
      <c r="C31" s="106"/>
      <c r="D31" s="106"/>
      <c r="E31" s="106" t="s">
        <v>12221</v>
      </c>
      <c r="F31" s="106"/>
      <c r="G31" s="106"/>
      <c r="H31" s="106"/>
      <c r="I31" s="106"/>
    </row>
    <row r="32" customFormat="false" ht="17.25" hidden="false" customHeight="true" outlineLevel="0" collapsed="false">
      <c r="B32" s="106" t="s">
        <v>12222</v>
      </c>
      <c r="C32" s="106"/>
      <c r="D32" s="106"/>
      <c r="E32" s="106"/>
      <c r="F32" s="106"/>
      <c r="G32" s="106"/>
      <c r="H32" s="106"/>
      <c r="I32" s="106"/>
    </row>
    <row r="34" customFormat="false" ht="30.75" hidden="false" customHeight="true" outlineLevel="0" collapsed="false">
      <c r="B34" s="152" t="s">
        <v>6621</v>
      </c>
      <c r="C34" s="152" t="s">
        <v>1417</v>
      </c>
      <c r="D34" s="152" t="s">
        <v>1418</v>
      </c>
      <c r="E34" s="152" t="s">
        <v>1419</v>
      </c>
      <c r="F34" s="152"/>
      <c r="G34" s="152"/>
    </row>
    <row r="35" customFormat="false" ht="127.5" hidden="false" customHeight="true" outlineLevel="0" collapsed="false">
      <c r="B35" s="15" t="s">
        <v>12223</v>
      </c>
      <c r="C35" s="15" t="s">
        <v>12224</v>
      </c>
      <c r="D35" s="15" t="s">
        <v>12225</v>
      </c>
      <c r="E35" s="153" t="s">
        <v>1250</v>
      </c>
      <c r="F35" s="153"/>
      <c r="G35" s="153"/>
    </row>
    <row r="36" customFormat="false" ht="86.25" hidden="false" customHeight="true" outlineLevel="0" collapsed="false">
      <c r="B36" s="15" t="s">
        <v>12226</v>
      </c>
      <c r="C36" s="15" t="s">
        <v>12227</v>
      </c>
      <c r="D36" s="15" t="s">
        <v>12228</v>
      </c>
      <c r="E36" s="153" t="s">
        <v>6628</v>
      </c>
      <c r="F36" s="153"/>
      <c r="G36" s="153"/>
    </row>
    <row r="37" customFormat="false" ht="127.5" hidden="false" customHeight="true" outlineLevel="0" collapsed="false">
      <c r="B37" s="15" t="s">
        <v>12229</v>
      </c>
      <c r="C37" s="15" t="s">
        <v>12230</v>
      </c>
      <c r="D37" s="15" t="s">
        <v>12231</v>
      </c>
      <c r="E37" s="153" t="s">
        <v>12232</v>
      </c>
      <c r="F37" s="153"/>
      <c r="G37" s="153"/>
    </row>
    <row r="38" customFormat="false" ht="72" hidden="false" customHeight="true" outlineLevel="0" collapsed="false">
      <c r="B38" s="15" t="s">
        <v>12233</v>
      </c>
      <c r="C38" s="15" t="s">
        <v>12234</v>
      </c>
      <c r="D38" s="15" t="s">
        <v>12235</v>
      </c>
      <c r="E38" s="153" t="s">
        <v>9286</v>
      </c>
      <c r="F38" s="153"/>
      <c r="G38" s="153"/>
    </row>
    <row r="40" customFormat="false" ht="15.75" hidden="false" customHeight="true" outlineLevel="0" collapsed="false">
      <c r="B40" s="103" t="s">
        <v>1429</v>
      </c>
      <c r="C40" s="8"/>
      <c r="D40" s="8"/>
      <c r="E40" s="8"/>
      <c r="F40" s="8"/>
      <c r="G40" s="8"/>
      <c r="H40" s="8"/>
      <c r="I40" s="8"/>
      <c r="J40" s="8"/>
      <c r="K40" s="8"/>
    </row>
    <row r="41" customFormat="false" ht="10.5" hidden="false" customHeight="true" outlineLevel="0" collapsed="false">
      <c r="B41" s="106" t="s">
        <v>12236</v>
      </c>
      <c r="C41" s="106"/>
      <c r="D41" s="106"/>
      <c r="E41" s="106"/>
      <c r="F41" s="106"/>
      <c r="G41" s="106"/>
      <c r="H41" s="106"/>
      <c r="I41" s="106"/>
    </row>
    <row r="42" customFormat="false" ht="10.5" hidden="false" customHeight="true" outlineLevel="0" collapsed="false">
      <c r="B42" s="106"/>
      <c r="C42" s="106"/>
      <c r="D42" s="106"/>
      <c r="E42" s="106"/>
      <c r="F42" s="106"/>
      <c r="G42" s="106"/>
      <c r="H42" s="106"/>
      <c r="I42" s="106"/>
    </row>
    <row r="43" customFormat="false" ht="10.5" hidden="false" customHeight="true" outlineLevel="0" collapsed="false">
      <c r="B43" s="106"/>
      <c r="C43" s="106"/>
      <c r="D43" s="106"/>
      <c r="E43" s="106"/>
      <c r="F43" s="106"/>
      <c r="G43" s="106"/>
      <c r="H43" s="106"/>
      <c r="I43" s="106"/>
    </row>
    <row r="44" customFormat="false" ht="15" hidden="false" customHeight="true" outlineLevel="0" collapsed="false">
      <c r="B44" s="122"/>
    </row>
    <row r="45" customFormat="false" ht="17.25" hidden="false" customHeight="true" outlineLevel="0" collapsed="false">
      <c r="B45" s="106" t="s">
        <v>12237</v>
      </c>
      <c r="C45" s="106"/>
      <c r="D45" s="106"/>
      <c r="E45" s="106"/>
      <c r="F45" s="106"/>
      <c r="G45" s="106"/>
      <c r="H45" s="106"/>
      <c r="I45" s="106"/>
    </row>
    <row r="46" customFormat="false" ht="15" hidden="false" customHeight="true" outlineLevel="0" collapsed="false">
      <c r="B46" s="122"/>
    </row>
    <row r="47" customFormat="false" ht="17.25" hidden="false" customHeight="true" outlineLevel="0" collapsed="false">
      <c r="B47" s="106" t="s">
        <v>12238</v>
      </c>
      <c r="C47" s="106"/>
      <c r="D47" s="106"/>
      <c r="E47" s="106"/>
      <c r="F47" s="106"/>
      <c r="G47" s="106"/>
      <c r="H47" s="106"/>
      <c r="I47" s="106"/>
    </row>
    <row r="48" customFormat="false" ht="10.5" hidden="false" customHeight="true" outlineLevel="0" collapsed="false">
      <c r="B48" s="106" t="s">
        <v>12239</v>
      </c>
      <c r="C48" s="106"/>
      <c r="D48" s="106"/>
      <c r="E48" s="106"/>
      <c r="F48" s="106"/>
      <c r="G48" s="106"/>
      <c r="H48" s="106"/>
      <c r="I48" s="106"/>
    </row>
    <row r="49" customFormat="false" ht="10.5" hidden="false" customHeight="true" outlineLevel="0" collapsed="false">
      <c r="B49" s="106"/>
      <c r="C49" s="106"/>
      <c r="D49" s="106"/>
      <c r="E49" s="106"/>
      <c r="F49" s="106"/>
      <c r="G49" s="106"/>
      <c r="H49" s="106"/>
      <c r="I49" s="106"/>
    </row>
    <row r="50" customFormat="false" ht="10.5" hidden="false" customHeight="true" outlineLevel="0" collapsed="false">
      <c r="B50" s="106"/>
      <c r="C50" s="106"/>
      <c r="D50" s="106"/>
      <c r="E50" s="106"/>
      <c r="F50" s="106"/>
      <c r="G50" s="106"/>
      <c r="H50" s="106"/>
      <c r="I50" s="106"/>
    </row>
    <row r="52" customFormat="false" ht="15.75" hidden="false" customHeight="true" outlineLevel="0" collapsed="false">
      <c r="B52" s="103" t="s">
        <v>1437</v>
      </c>
      <c r="C52" s="8"/>
      <c r="D52" s="8"/>
      <c r="E52" s="8"/>
      <c r="F52" s="8"/>
      <c r="G52" s="8"/>
      <c r="H52" s="8"/>
      <c r="I52" s="8"/>
      <c r="J52" s="8"/>
      <c r="K52" s="8"/>
    </row>
    <row r="53" customFormat="false" ht="17.25" hidden="false" customHeight="true" outlineLevel="0" collapsed="false">
      <c r="B53" s="152" t="s">
        <v>1438</v>
      </c>
      <c r="C53" s="152" t="s">
        <v>1439</v>
      </c>
      <c r="D53" s="152" t="s">
        <v>1440</v>
      </c>
      <c r="E53" s="152"/>
      <c r="F53" s="152"/>
      <c r="G53" s="152"/>
      <c r="H53" s="152"/>
    </row>
    <row r="54" customFormat="false" ht="31.5" hidden="false" customHeight="true" outlineLevel="0" collapsed="false">
      <c r="B54" s="15" t="s">
        <v>11484</v>
      </c>
      <c r="C54" s="15" t="s">
        <v>12240</v>
      </c>
      <c r="D54" s="15" t="s">
        <v>12241</v>
      </c>
      <c r="E54" s="15"/>
      <c r="F54" s="15"/>
      <c r="G54" s="15"/>
      <c r="H54" s="15"/>
    </row>
    <row r="55" customFormat="false" ht="17.25" hidden="false" customHeight="true" outlineLevel="0" collapsed="false">
      <c r="B55" s="15" t="s">
        <v>2496</v>
      </c>
      <c r="C55" s="15" t="s">
        <v>11487</v>
      </c>
      <c r="D55" s="15" t="s">
        <v>11488</v>
      </c>
      <c r="E55" s="15"/>
      <c r="F55" s="15"/>
      <c r="G55" s="15"/>
      <c r="H55" s="15"/>
    </row>
    <row r="56" customFormat="false" ht="17.25" hidden="false" customHeight="true" outlineLevel="0" collapsed="false">
      <c r="B56" s="15" t="s">
        <v>12242</v>
      </c>
      <c r="C56" s="15" t="s">
        <v>12243</v>
      </c>
      <c r="D56" s="15" t="s">
        <v>12244</v>
      </c>
      <c r="E56" s="15"/>
      <c r="F56" s="15"/>
      <c r="G56" s="15"/>
      <c r="H56" s="15"/>
    </row>
    <row r="57" customFormat="false" ht="17.25" hidden="false" customHeight="true" outlineLevel="0" collapsed="false">
      <c r="B57" s="15" t="s">
        <v>7487</v>
      </c>
      <c r="C57" s="15" t="s">
        <v>12245</v>
      </c>
      <c r="D57" s="15" t="s">
        <v>12246</v>
      </c>
      <c r="E57" s="15"/>
      <c r="F57" s="15"/>
      <c r="G57" s="15"/>
      <c r="H57" s="15"/>
    </row>
    <row r="58" customFormat="false" ht="17.25" hidden="false" customHeight="true" outlineLevel="0" collapsed="false">
      <c r="B58" s="15" t="s">
        <v>11492</v>
      </c>
      <c r="C58" s="15" t="s">
        <v>12247</v>
      </c>
      <c r="D58" s="15" t="s">
        <v>12248</v>
      </c>
      <c r="E58" s="15"/>
      <c r="F58" s="15"/>
      <c r="G58" s="15"/>
      <c r="H58" s="15"/>
    </row>
    <row r="60" customFormat="false" ht="15.75" hidden="false" customHeight="true" outlineLevel="0" collapsed="false">
      <c r="B60" s="103" t="s">
        <v>1454</v>
      </c>
      <c r="C60" s="8"/>
      <c r="D60" s="8"/>
      <c r="E60" s="8"/>
      <c r="F60" s="8"/>
      <c r="G60" s="8"/>
      <c r="H60" s="8"/>
      <c r="I60" s="8"/>
      <c r="J60" s="8"/>
      <c r="K60" s="8"/>
    </row>
    <row r="61" customFormat="false" ht="10.5" hidden="false" customHeight="true" outlineLevel="0" collapsed="false">
      <c r="B61" s="106" t="s">
        <v>12249</v>
      </c>
      <c r="C61" s="106"/>
      <c r="D61" s="106"/>
      <c r="E61" s="106"/>
      <c r="F61" s="106"/>
      <c r="G61" s="106"/>
      <c r="H61" s="106"/>
      <c r="I61" s="106"/>
    </row>
    <row r="62" customFormat="false" ht="10.5" hidden="false" customHeight="true" outlineLevel="0" collapsed="false">
      <c r="B62" s="106"/>
      <c r="C62" s="106"/>
      <c r="D62" s="106"/>
      <c r="E62" s="106"/>
      <c r="F62" s="106"/>
      <c r="G62" s="106"/>
      <c r="H62" s="106"/>
      <c r="I62" s="106"/>
    </row>
    <row r="63" customFormat="false" ht="10.5" hidden="false" customHeight="true" outlineLevel="0" collapsed="false">
      <c r="B63" s="106"/>
      <c r="C63" s="106"/>
      <c r="D63" s="106"/>
      <c r="E63" s="106"/>
      <c r="F63" s="106"/>
      <c r="G63" s="106"/>
      <c r="H63" s="106"/>
      <c r="I63" s="106"/>
    </row>
    <row r="64" customFormat="false" ht="15" hidden="false" customHeight="true" outlineLevel="0" collapsed="false">
      <c r="B64" s="112" t="s">
        <v>85</v>
      </c>
      <c r="C64" s="154" t="s">
        <v>86</v>
      </c>
    </row>
    <row r="66" customFormat="false" ht="17.25" hidden="false" customHeight="true" outlineLevel="0" collapsed="false">
      <c r="B66" s="107" t="s">
        <v>12250</v>
      </c>
      <c r="C66" s="107"/>
      <c r="D66" s="107"/>
      <c r="E66" s="107"/>
      <c r="F66" s="107"/>
      <c r="G66" s="107"/>
      <c r="H66" s="107"/>
      <c r="I66" s="107"/>
    </row>
    <row r="67" customFormat="false" ht="30.75" hidden="false" customHeight="true" outlineLevel="0" collapsed="false">
      <c r="B67" s="152" t="s">
        <v>12251</v>
      </c>
      <c r="C67" s="152" t="s">
        <v>9754</v>
      </c>
      <c r="D67" s="152" t="s">
        <v>12252</v>
      </c>
      <c r="E67" s="152" t="s">
        <v>12253</v>
      </c>
      <c r="F67" s="152"/>
    </row>
    <row r="68" customFormat="false" ht="58.5" hidden="false" customHeight="true" outlineLevel="0" collapsed="false">
      <c r="B68" s="15" t="s">
        <v>12254</v>
      </c>
      <c r="C68" s="155" t="n">
        <v>5</v>
      </c>
      <c r="D68" s="15" t="s">
        <v>12255</v>
      </c>
      <c r="E68" s="177" t="s">
        <v>9254</v>
      </c>
      <c r="F68" s="177"/>
    </row>
    <row r="69" customFormat="false" ht="58.5" hidden="false" customHeight="true" outlineLevel="0" collapsed="false">
      <c r="B69" s="15" t="s">
        <v>12256</v>
      </c>
      <c r="C69" s="155" t="n">
        <v>4</v>
      </c>
      <c r="D69" s="15" t="s">
        <v>12257</v>
      </c>
      <c r="E69" s="177" t="s">
        <v>9196</v>
      </c>
      <c r="F69" s="177"/>
    </row>
    <row r="70" customFormat="false" ht="72" hidden="false" customHeight="true" outlineLevel="0" collapsed="false">
      <c r="B70" s="15" t="s">
        <v>12258</v>
      </c>
      <c r="C70" s="155" t="n">
        <v>4</v>
      </c>
      <c r="D70" s="15" t="s">
        <v>12259</v>
      </c>
      <c r="E70" s="177" t="s">
        <v>10001</v>
      </c>
      <c r="F70" s="177"/>
    </row>
    <row r="71" customFormat="false" ht="58.5" hidden="false" customHeight="true" outlineLevel="0" collapsed="false">
      <c r="B71" s="15" t="s">
        <v>12260</v>
      </c>
      <c r="C71" s="155" t="n">
        <v>3</v>
      </c>
      <c r="D71" s="15" t="s">
        <v>12261</v>
      </c>
      <c r="E71" s="177" t="s">
        <v>10001</v>
      </c>
      <c r="F71" s="177"/>
    </row>
    <row r="72" customFormat="false" ht="58.5" hidden="false" customHeight="true" outlineLevel="0" collapsed="false">
      <c r="B72" s="15" t="s">
        <v>12262</v>
      </c>
      <c r="C72" s="155" t="n">
        <v>3</v>
      </c>
      <c r="D72" s="15" t="s">
        <v>12263</v>
      </c>
      <c r="E72" s="177" t="s">
        <v>12264</v>
      </c>
      <c r="F72" s="177"/>
    </row>
    <row r="73" customFormat="false" ht="58.5" hidden="false" customHeight="true" outlineLevel="0" collapsed="false">
      <c r="B73" s="15" t="s">
        <v>12265</v>
      </c>
      <c r="C73" s="155" t="n">
        <v>5</v>
      </c>
      <c r="D73" s="15" t="s">
        <v>12266</v>
      </c>
      <c r="E73" s="177" t="s">
        <v>12267</v>
      </c>
      <c r="F73" s="177"/>
    </row>
    <row r="74" customFormat="false" ht="58.5" hidden="false" customHeight="true" outlineLevel="0" collapsed="false">
      <c r="B74" s="15" t="s">
        <v>12268</v>
      </c>
      <c r="C74" s="155" t="n">
        <v>2</v>
      </c>
      <c r="D74" s="15" t="s">
        <v>12269</v>
      </c>
      <c r="E74" s="177" t="s">
        <v>6925</v>
      </c>
      <c r="F74" s="177"/>
    </row>
    <row r="76" customFormat="false" ht="17.25" hidden="false" customHeight="true" outlineLevel="0" collapsed="false">
      <c r="B76" s="107" t="s">
        <v>12270</v>
      </c>
      <c r="C76" s="107"/>
      <c r="D76" s="107"/>
      <c r="E76" s="107"/>
      <c r="F76" s="107"/>
      <c r="G76" s="107"/>
      <c r="H76" s="107"/>
      <c r="I76" s="107"/>
    </row>
    <row r="77" customFormat="false" ht="30.75" hidden="false" customHeight="true" outlineLevel="0" collapsed="false">
      <c r="B77" s="152" t="s">
        <v>12271</v>
      </c>
      <c r="C77" s="152" t="s">
        <v>12272</v>
      </c>
      <c r="D77" s="152" t="s">
        <v>12256</v>
      </c>
      <c r="E77" s="152" t="s">
        <v>12273</v>
      </c>
      <c r="F77" s="152" t="s">
        <v>12274</v>
      </c>
      <c r="G77" s="152" t="s">
        <v>12275</v>
      </c>
      <c r="H77" s="152" t="s">
        <v>12276</v>
      </c>
      <c r="I77" s="152" t="s">
        <v>12277</v>
      </c>
      <c r="J77" s="152" t="s">
        <v>11517</v>
      </c>
      <c r="K77" s="152" t="s">
        <v>12278</v>
      </c>
      <c r="L77" s="152" t="s">
        <v>12279</v>
      </c>
      <c r="M77" s="152" t="s">
        <v>12280</v>
      </c>
      <c r="N77" s="152" t="s">
        <v>5376</v>
      </c>
      <c r="O77" s="152" t="s">
        <v>3008</v>
      </c>
      <c r="P77" s="152"/>
    </row>
    <row r="78" customFormat="false" ht="30.75" hidden="false" customHeight="true" outlineLevel="0" collapsed="false">
      <c r="B78" s="15" t="s">
        <v>12281</v>
      </c>
      <c r="C78" s="155" t="n">
        <v>5</v>
      </c>
      <c r="D78" s="155" t="n">
        <v>4</v>
      </c>
      <c r="E78" s="155" t="n">
        <v>5</v>
      </c>
      <c r="F78" s="155" t="n">
        <v>4</v>
      </c>
      <c r="G78" s="155" t="n">
        <v>4</v>
      </c>
      <c r="H78" s="155" t="n">
        <v>3</v>
      </c>
      <c r="I78" s="155" t="n">
        <v>4</v>
      </c>
      <c r="J78" s="161" t="n">
        <f aca="false">C78*$C$68+D78*$C$69+E78*$C$70+F78*$C$71+G78*$C$72+H78*$C$73+I78*$C$74</f>
        <v>108</v>
      </c>
      <c r="K78" s="173" t="n">
        <v>178000</v>
      </c>
      <c r="L78" s="157" t="n">
        <v>4.5</v>
      </c>
      <c r="M78" s="159" t="n">
        <f aca="false">IFERROR(K78/L78,0)</f>
        <v>39555.5555555556</v>
      </c>
      <c r="N78" s="161" t="n">
        <f aca="false">RANK(J78,$J$78:$J$84,0)</f>
        <v>1</v>
      </c>
      <c r="O78" s="167" t="str">
        <f aca="false">IF(RANK(J78,$J$78:$J$84,0)&lt;=3,"SELECT — charter it now",IF(RANK(J78,$J$78:$J$84,0)&lt;=5,"HOLD — next wave","PARK — revisit next year"))</f>
        <v>SELECT — charter it now</v>
      </c>
      <c r="P78" s="167"/>
    </row>
    <row r="79" customFormat="false" ht="30.75" hidden="false" customHeight="true" outlineLevel="0" collapsed="false">
      <c r="B79" s="15" t="s">
        <v>12282</v>
      </c>
      <c r="C79" s="155" t="n">
        <v>4</v>
      </c>
      <c r="D79" s="155" t="n">
        <v>5</v>
      </c>
      <c r="E79" s="155" t="n">
        <v>4</v>
      </c>
      <c r="F79" s="155" t="n">
        <v>4</v>
      </c>
      <c r="G79" s="155" t="n">
        <v>3</v>
      </c>
      <c r="H79" s="155" t="n">
        <v>2</v>
      </c>
      <c r="I79" s="155" t="n">
        <v>5</v>
      </c>
      <c r="J79" s="161" t="n">
        <f aca="false">C79*$C$68+D79*$C$69+E79*$C$70+F79*$C$71+G79*$C$72+H79*$C$73+I79*$C$74</f>
        <v>97</v>
      </c>
      <c r="K79" s="173" t="n">
        <v>122000</v>
      </c>
      <c r="L79" s="157" t="n">
        <v>4</v>
      </c>
      <c r="M79" s="159" t="n">
        <f aca="false">IFERROR(K79/L79,0)</f>
        <v>30500</v>
      </c>
      <c r="N79" s="161" t="n">
        <f aca="false">RANK(J79,$J$78:$J$84,0)</f>
        <v>2</v>
      </c>
      <c r="O79" s="167" t="str">
        <f aca="false">IF(RANK(J79,$J$78:$J$84,0)&lt;=3,"SELECT — charter it now",IF(RANK(J79,$J$78:$J$84,0)&lt;=5,"HOLD — next wave","PARK — revisit next year"))</f>
        <v>SELECT — charter it now</v>
      </c>
      <c r="P79" s="167"/>
    </row>
    <row r="80" customFormat="false" ht="17.25" hidden="false" customHeight="true" outlineLevel="0" collapsed="false">
      <c r="B80" s="15" t="s">
        <v>12283</v>
      </c>
      <c r="C80" s="155" t="n">
        <v>3</v>
      </c>
      <c r="D80" s="155" t="n">
        <v>3</v>
      </c>
      <c r="E80" s="155" t="n">
        <v>4</v>
      </c>
      <c r="F80" s="155" t="n">
        <v>4</v>
      </c>
      <c r="G80" s="155" t="n">
        <v>4</v>
      </c>
      <c r="H80" s="155" t="n">
        <v>4</v>
      </c>
      <c r="I80" s="155" t="n">
        <v>3</v>
      </c>
      <c r="J80" s="161" t="n">
        <f aca="false">C80*$C$68+D80*$C$69+E80*$C$70+F80*$C$71+G80*$C$72+H80*$C$73+I80*$C$74</f>
        <v>93</v>
      </c>
      <c r="K80" s="173" t="n">
        <v>46000</v>
      </c>
      <c r="L80" s="157" t="n">
        <v>3</v>
      </c>
      <c r="M80" s="159" t="n">
        <f aca="false">IFERROR(K80/L80,0)</f>
        <v>15333.3333333333</v>
      </c>
      <c r="N80" s="161" t="n">
        <f aca="false">RANK(J80,$J$78:$J$84,0)</f>
        <v>3</v>
      </c>
      <c r="O80" s="167" t="str">
        <f aca="false">IF(RANK(J80,$J$78:$J$84,0)&lt;=3,"SELECT — charter it now",IF(RANK(J80,$J$78:$J$84,0)&lt;=5,"HOLD — next wave","PARK — revisit next year"))</f>
        <v>SELECT — charter it now</v>
      </c>
      <c r="P80" s="167"/>
    </row>
    <row r="81" customFormat="false" ht="17.25" hidden="false" customHeight="true" outlineLevel="0" collapsed="false">
      <c r="B81" s="15" t="s">
        <v>12284</v>
      </c>
      <c r="C81" s="155" t="n">
        <v>4</v>
      </c>
      <c r="D81" s="155" t="n">
        <v>4</v>
      </c>
      <c r="E81" s="155" t="n">
        <v>3</v>
      </c>
      <c r="F81" s="155" t="n">
        <v>3</v>
      </c>
      <c r="G81" s="155" t="n">
        <v>3</v>
      </c>
      <c r="H81" s="155" t="n">
        <v>2</v>
      </c>
      <c r="I81" s="155" t="n">
        <v>3</v>
      </c>
      <c r="J81" s="161" t="n">
        <f aca="false">C81*$C$68+D81*$C$69+E81*$C$70+F81*$C$71+G81*$C$72+H81*$C$73+I81*$C$74</f>
        <v>82</v>
      </c>
      <c r="K81" s="173" t="n">
        <v>95000</v>
      </c>
      <c r="L81" s="157" t="n">
        <v>5</v>
      </c>
      <c r="M81" s="159" t="n">
        <f aca="false">IFERROR(K81/L81,0)</f>
        <v>19000</v>
      </c>
      <c r="N81" s="161" t="n">
        <f aca="false">RANK(J81,$J$78:$J$84,0)</f>
        <v>5</v>
      </c>
      <c r="O81" s="167" t="str">
        <f aca="false">IF(RANK(J81,$J$78:$J$84,0)&lt;=3,"SELECT — charter it now",IF(RANK(J81,$J$78:$J$84,0)&lt;=5,"HOLD — next wave","PARK — revisit next year"))</f>
        <v>HOLD — next wave</v>
      </c>
      <c r="P81" s="167"/>
    </row>
    <row r="82" customFormat="false" ht="17.25" hidden="false" customHeight="true" outlineLevel="0" collapsed="false">
      <c r="B82" s="15" t="s">
        <v>12285</v>
      </c>
      <c r="C82" s="155" t="n">
        <v>3</v>
      </c>
      <c r="D82" s="155" t="n">
        <v>3</v>
      </c>
      <c r="E82" s="155" t="n">
        <v>2</v>
      </c>
      <c r="F82" s="155" t="n">
        <v>3</v>
      </c>
      <c r="G82" s="155" t="n">
        <v>3</v>
      </c>
      <c r="H82" s="155" t="n">
        <v>5</v>
      </c>
      <c r="I82" s="155" t="n">
        <v>2</v>
      </c>
      <c r="J82" s="161" t="n">
        <f aca="false">C82*$C$68+D82*$C$69+E82*$C$70+F82*$C$71+G82*$C$72+H82*$C$73+I82*$C$74</f>
        <v>82</v>
      </c>
      <c r="K82" s="173" t="n">
        <v>58000</v>
      </c>
      <c r="L82" s="157" t="n">
        <v>4</v>
      </c>
      <c r="M82" s="159" t="n">
        <f aca="false">IFERROR(K82/L82,0)</f>
        <v>14500</v>
      </c>
      <c r="N82" s="161" t="n">
        <f aca="false">RANK(J82,$J$78:$J$84,0)</f>
        <v>5</v>
      </c>
      <c r="O82" s="167" t="str">
        <f aca="false">IF(RANK(J82,$J$78:$J$84,0)&lt;=3,"SELECT — charter it now",IF(RANK(J82,$J$78:$J$84,0)&lt;=5,"HOLD — next wave","PARK — revisit next year"))</f>
        <v>HOLD — next wave</v>
      </c>
      <c r="P82" s="167"/>
    </row>
    <row r="83" customFormat="false" ht="30.75" hidden="false" customHeight="true" outlineLevel="0" collapsed="false">
      <c r="B83" s="15" t="s">
        <v>12286</v>
      </c>
      <c r="C83" s="155" t="n">
        <v>2</v>
      </c>
      <c r="D83" s="155" t="n">
        <v>2</v>
      </c>
      <c r="E83" s="155" t="n">
        <v>4</v>
      </c>
      <c r="F83" s="155" t="n">
        <v>4</v>
      </c>
      <c r="G83" s="155" t="n">
        <v>5</v>
      </c>
      <c r="H83" s="155" t="n">
        <v>1</v>
      </c>
      <c r="I83" s="155" t="n">
        <v>4</v>
      </c>
      <c r="J83" s="161" t="n">
        <f aca="false">C83*$C$68+D83*$C$69+E83*$C$70+F83*$C$71+G83*$C$72+H83*$C$73+I83*$C$74</f>
        <v>74</v>
      </c>
      <c r="K83" s="173" t="n">
        <v>31000</v>
      </c>
      <c r="L83" s="157" t="n">
        <v>2</v>
      </c>
      <c r="M83" s="159" t="n">
        <f aca="false">IFERROR(K83/L83,0)</f>
        <v>15500</v>
      </c>
      <c r="N83" s="161" t="n">
        <f aca="false">RANK(J83,$J$78:$J$84,0)</f>
        <v>7</v>
      </c>
      <c r="O83" s="167" t="str">
        <f aca="false">IF(RANK(J83,$J$78:$J$84,0)&lt;=3,"SELECT — charter it now",IF(RANK(J83,$J$78:$J$84,0)&lt;=5,"HOLD — next wave","PARK — revisit next year"))</f>
        <v>PARK — revisit next year</v>
      </c>
      <c r="P83" s="167"/>
    </row>
    <row r="84" customFormat="false" ht="17.25" hidden="false" customHeight="true" outlineLevel="0" collapsed="false">
      <c r="B84" s="15" t="s">
        <v>12287</v>
      </c>
      <c r="C84" s="155" t="n">
        <v>3</v>
      </c>
      <c r="D84" s="155" t="n">
        <v>4</v>
      </c>
      <c r="E84" s="155" t="n">
        <v>4</v>
      </c>
      <c r="F84" s="155" t="n">
        <v>3</v>
      </c>
      <c r="G84" s="155" t="n">
        <v>3</v>
      </c>
      <c r="H84" s="155" t="n">
        <v>4</v>
      </c>
      <c r="I84" s="155" t="n">
        <v>3</v>
      </c>
      <c r="J84" s="161" t="n">
        <f aca="false">C84*$C$68+D84*$C$69+E84*$C$70+F84*$C$71+G84*$C$72+H84*$C$73+I84*$C$74</f>
        <v>91</v>
      </c>
      <c r="K84" s="173" t="n">
        <v>67000</v>
      </c>
      <c r="L84" s="157" t="n">
        <v>3.5</v>
      </c>
      <c r="M84" s="159" t="n">
        <f aca="false">IFERROR(K84/L84,0)</f>
        <v>19142.8571428571</v>
      </c>
      <c r="N84" s="161" t="n">
        <f aca="false">RANK(J84,$J$78:$J$84,0)</f>
        <v>4</v>
      </c>
      <c r="O84" s="167" t="str">
        <f aca="false">IF(RANK(J84,$J$78:$J$84,0)&lt;=3,"SELECT — charter it now",IF(RANK(J84,$J$78:$J$84,0)&lt;=5,"HOLD — next wave","PARK — revisit next year"))</f>
        <v>HOLD — next wave</v>
      </c>
      <c r="P84" s="167"/>
    </row>
    <row r="86" customFormat="false" ht="17.25" hidden="false" customHeight="true" outlineLevel="0" collapsed="false">
      <c r="B86" s="152" t="s">
        <v>6689</v>
      </c>
      <c r="C86" s="152" t="s">
        <v>6654</v>
      </c>
      <c r="D86" s="152" t="s">
        <v>88</v>
      </c>
      <c r="E86" s="152"/>
      <c r="F86" s="152"/>
      <c r="G86" s="152"/>
      <c r="H86" s="152"/>
    </row>
    <row r="87" customFormat="false" ht="17.25" hidden="false" customHeight="true" outlineLevel="0" collapsed="false">
      <c r="B87" s="15" t="s">
        <v>12288</v>
      </c>
      <c r="C87" s="161" t="n">
        <f aca="false">COUNTA(B78:B84)</f>
        <v>7</v>
      </c>
      <c r="D87" s="15"/>
      <c r="E87" s="15"/>
      <c r="F87" s="15"/>
      <c r="G87" s="15"/>
      <c r="H87" s="15"/>
    </row>
    <row r="88" customFormat="false" ht="17.25" hidden="false" customHeight="true" outlineLevel="0" collapsed="false">
      <c r="B88" s="15" t="s">
        <v>11557</v>
      </c>
      <c r="C88" s="161" t="n">
        <f aca="false">MAX(J78:J84)</f>
        <v>108</v>
      </c>
      <c r="D88" s="15"/>
      <c r="E88" s="15"/>
      <c r="F88" s="15"/>
      <c r="G88" s="15"/>
      <c r="H88" s="15"/>
    </row>
    <row r="89" customFormat="false" ht="17.25" hidden="false" customHeight="true" outlineLevel="0" collapsed="false">
      <c r="B89" s="15" t="s">
        <v>12289</v>
      </c>
      <c r="C89" s="167" t="str">
        <f aca="false">INDEX(B78:B84,MATCH(MAX(J78:J84),J78:J84,0))</f>
        <v>Reduce fill volume giveaway, 500 ml PET</v>
      </c>
      <c r="D89" s="15" t="s">
        <v>12290</v>
      </c>
      <c r="E89" s="15"/>
      <c r="F89" s="15"/>
      <c r="G89" s="15"/>
      <c r="H89" s="15"/>
    </row>
    <row r="90" customFormat="false" ht="17.25" hidden="false" customHeight="true" outlineLevel="0" collapsed="false">
      <c r="B90" s="15" t="s">
        <v>12291</v>
      </c>
      <c r="C90" s="167" t="str">
        <f aca="false">INDEX(B78:B84,MATCH(MAX(M78:M84),M78:M84,0))</f>
        <v>Reduce fill volume giveaway, 500 ml PET</v>
      </c>
      <c r="D90" s="15" t="s">
        <v>12292</v>
      </c>
      <c r="E90" s="15"/>
      <c r="F90" s="15"/>
      <c r="G90" s="15"/>
      <c r="H90" s="15"/>
    </row>
    <row r="91" customFormat="false" ht="17.25" hidden="false" customHeight="true" outlineLevel="0" collapsed="false">
      <c r="B91" s="15" t="s">
        <v>12293</v>
      </c>
      <c r="C91" s="159" t="n">
        <f aca="false">SUMIF(O78:O84,"SELECT*",K78:K84)</f>
        <v>346000</v>
      </c>
      <c r="D91" s="15" t="s">
        <v>12294</v>
      </c>
      <c r="E91" s="15"/>
      <c r="F91" s="15"/>
      <c r="G91" s="15"/>
      <c r="H91" s="15"/>
    </row>
    <row r="92" customFormat="false" ht="17.25" hidden="false" customHeight="true" outlineLevel="0" collapsed="false">
      <c r="B92" s="15" t="s">
        <v>12295</v>
      </c>
      <c r="C92" s="158" t="n">
        <f aca="false">SUMIF(O78:O84,"SELECT*",L78:L84)</f>
        <v>11.5</v>
      </c>
      <c r="D92" s="15" t="s">
        <v>12296</v>
      </c>
      <c r="E92" s="15"/>
      <c r="F92" s="15"/>
      <c r="G92" s="15"/>
      <c r="H92" s="15"/>
    </row>
    <row r="93" customFormat="false" ht="17.25" hidden="false" customHeight="true" outlineLevel="0" collapsed="false">
      <c r="B93" s="15" t="s">
        <v>12297</v>
      </c>
      <c r="C93" s="157" t="n">
        <v>12</v>
      </c>
      <c r="D93" s="15" t="s">
        <v>12298</v>
      </c>
      <c r="E93" s="15"/>
      <c r="F93" s="15"/>
      <c r="G93" s="15"/>
      <c r="H93" s="15"/>
    </row>
    <row r="94" customFormat="false" ht="31.5" hidden="false" customHeight="true" outlineLevel="0" collapsed="false">
      <c r="B94" s="15" t="s">
        <v>12299</v>
      </c>
      <c r="C94" s="167" t="str">
        <f aca="false">IF(C92&lt;=C93,"Fits the available capacity","OVER CAPACITY — drop or sequence one project")</f>
        <v>Fits the available capacity</v>
      </c>
      <c r="D94" s="15" t="s">
        <v>12300</v>
      </c>
      <c r="E94" s="15"/>
      <c r="F94" s="15"/>
      <c r="G94" s="15"/>
      <c r="H94" s="15"/>
    </row>
    <row r="96" customFormat="false" ht="15.75" hidden="false" customHeight="true" outlineLevel="0" collapsed="false">
      <c r="B96" s="103" t="s">
        <v>1493</v>
      </c>
      <c r="C96" s="8"/>
      <c r="D96" s="8"/>
      <c r="E96" s="8"/>
      <c r="F96" s="8"/>
      <c r="G96" s="8"/>
      <c r="H96" s="8"/>
      <c r="I96" s="8"/>
      <c r="J96" s="8"/>
      <c r="K96" s="8"/>
    </row>
    <row r="97" customFormat="false" ht="81" hidden="false" customHeight="true" outlineLevel="0" collapsed="false">
      <c r="B97" s="105" t="s">
        <v>1494</v>
      </c>
      <c r="C97" s="168" t="str">
        <f aca="false">"Of "&amp;TEXT(C87,"0")&amp;" candidates, the highest weighted score is "&amp;C89&amp;" at "&amp;TEXT(C88,"0")&amp;" points, while the best return per unit of effort is "&amp;C90&amp;". The selected wave is worth "&amp;TEXT(C91,"#,##0")&amp;" USD/year and needs "&amp;TEXT(C92,"0.0")&amp;" person-months against "&amp;TEXT(C93,"0.0")&amp;" available. "&amp;IF(C92&gt;C93,"OVER CAPACITY: selecting more projects than you can resource is the fastest way to deliver none of them. Sequence the third project into the next wave.","The wave fits the available capacity. Charter the selected projects (H-01) before starting any of them.")&amp;IF(C89&lt;&gt;C90," Note that the highest-scoring project is not the best return per person-month — worth a conversation with the Champion before committing.","")</f>
        <v>Of 7 candidates, the highest weighted score is Reduce fill volume giveaway, 500 ml PET at 108 points, while the best return per unit of effort is Reduce fill volume giveaway, 500 ml PET. The selected wave is worth 346,000 USD/year and needs 11.5 person-months against 12.0 available. The wave fits the available capacity. Charter the selected projects (H-01) before starting any of them.</v>
      </c>
      <c r="D97" s="168"/>
      <c r="E97" s="168"/>
      <c r="F97" s="168"/>
      <c r="G97" s="168"/>
    </row>
    <row r="99" customFormat="false" ht="17.25" hidden="false" customHeight="true" outlineLevel="0" collapsed="false">
      <c r="B99" s="152" t="s">
        <v>1495</v>
      </c>
      <c r="C99" s="152" t="s">
        <v>1496</v>
      </c>
      <c r="D99" s="152" t="s">
        <v>1497</v>
      </c>
      <c r="E99" s="152"/>
      <c r="F99" s="152"/>
      <c r="G99" s="152"/>
      <c r="H99" s="152"/>
    </row>
    <row r="100" customFormat="false" ht="17.25" hidden="false" customHeight="true" outlineLevel="0" collapsed="false">
      <c r="B100" s="15" t="s">
        <v>12301</v>
      </c>
      <c r="C100" s="15" t="s">
        <v>12302</v>
      </c>
      <c r="D100" s="15" t="s">
        <v>12303</v>
      </c>
      <c r="E100" s="15"/>
      <c r="F100" s="15"/>
      <c r="G100" s="15"/>
      <c r="H100" s="15"/>
    </row>
    <row r="101" customFormat="false" ht="17.25" hidden="false" customHeight="true" outlineLevel="0" collapsed="false">
      <c r="B101" s="15" t="s">
        <v>12280</v>
      </c>
      <c r="C101" s="15" t="s">
        <v>12304</v>
      </c>
      <c r="D101" s="15" t="s">
        <v>12305</v>
      </c>
      <c r="E101" s="15"/>
      <c r="F101" s="15"/>
      <c r="G101" s="15"/>
      <c r="H101" s="15"/>
    </row>
    <row r="102" customFormat="false" ht="31.5" hidden="false" customHeight="true" outlineLevel="0" collapsed="false">
      <c r="B102" s="15" t="s">
        <v>12306</v>
      </c>
      <c r="C102" s="15" t="s">
        <v>12307</v>
      </c>
      <c r="D102" s="15" t="s">
        <v>12308</v>
      </c>
      <c r="E102" s="15"/>
      <c r="F102" s="15"/>
      <c r="G102" s="15"/>
      <c r="H102" s="15"/>
    </row>
    <row r="103" customFormat="false" ht="17.25" hidden="false" customHeight="true" outlineLevel="0" collapsed="false">
      <c r="B103" s="15" t="s">
        <v>12309</v>
      </c>
      <c r="C103" s="15" t="s">
        <v>12310</v>
      </c>
      <c r="D103" s="15" t="s">
        <v>12311</v>
      </c>
      <c r="E103" s="15"/>
      <c r="F103" s="15"/>
      <c r="G103" s="15"/>
      <c r="H103" s="15"/>
    </row>
    <row r="105" customFormat="false" ht="15" hidden="false" customHeight="true" outlineLevel="0" collapsed="false">
      <c r="B105" s="105" t="s">
        <v>1507</v>
      </c>
    </row>
    <row r="106" customFormat="false" ht="17.25" hidden="false" customHeight="true" outlineLevel="0" collapsed="false">
      <c r="B106" s="106" t="s">
        <v>12312</v>
      </c>
      <c r="C106" s="106"/>
      <c r="D106" s="106"/>
      <c r="E106" s="106"/>
      <c r="F106" s="106"/>
      <c r="G106" s="106"/>
      <c r="H106" s="106"/>
      <c r="I106" s="106"/>
    </row>
    <row r="107" customFormat="false" ht="17.25" hidden="false" customHeight="true" outlineLevel="0" collapsed="false">
      <c r="B107" s="106" t="s">
        <v>12313</v>
      </c>
      <c r="C107" s="106"/>
      <c r="D107" s="106"/>
      <c r="E107" s="106"/>
      <c r="F107" s="106"/>
      <c r="G107" s="106"/>
      <c r="H107" s="106"/>
      <c r="I107" s="106"/>
    </row>
    <row r="108" customFormat="false" ht="17.25" hidden="false" customHeight="true" outlineLevel="0" collapsed="false">
      <c r="B108" s="106" t="s">
        <v>12314</v>
      </c>
      <c r="C108" s="106"/>
      <c r="D108" s="106"/>
      <c r="E108" s="106"/>
      <c r="F108" s="106"/>
      <c r="G108" s="106"/>
      <c r="H108" s="106"/>
      <c r="I108" s="106"/>
    </row>
    <row r="109" customFormat="false" ht="17.25" hidden="false" customHeight="true" outlineLevel="0" collapsed="false">
      <c r="B109" s="106" t="s">
        <v>12315</v>
      </c>
      <c r="C109" s="106"/>
      <c r="D109" s="106"/>
      <c r="E109" s="106"/>
      <c r="F109" s="106"/>
      <c r="G109" s="106"/>
      <c r="H109" s="106"/>
      <c r="I109" s="106"/>
    </row>
    <row r="110" customFormat="false" ht="17.25" hidden="false" customHeight="true" outlineLevel="0" collapsed="false">
      <c r="B110" s="106" t="s">
        <v>12316</v>
      </c>
      <c r="C110" s="106"/>
      <c r="D110" s="106"/>
      <c r="E110" s="106"/>
      <c r="F110" s="106"/>
      <c r="G110" s="106"/>
      <c r="H110" s="106"/>
      <c r="I110" s="106"/>
    </row>
    <row r="112" customFormat="false" ht="15.75" hidden="false" customHeight="true" outlineLevel="0" collapsed="false">
      <c r="B112" s="103" t="s">
        <v>1513</v>
      </c>
      <c r="C112" s="8"/>
      <c r="D112" s="8"/>
      <c r="E112" s="8"/>
      <c r="F112" s="8"/>
      <c r="G112" s="8"/>
      <c r="H112" s="8"/>
      <c r="I112" s="8"/>
      <c r="J112" s="8"/>
      <c r="K112" s="8"/>
    </row>
    <row r="113" customFormat="false" ht="17.25" hidden="false" customHeight="true" outlineLevel="0" collapsed="false">
      <c r="B113" s="106" t="s">
        <v>6712</v>
      </c>
      <c r="C113" s="106"/>
      <c r="D113" s="106"/>
      <c r="E113" s="106"/>
      <c r="N113" s="200" t="s">
        <v>1515</v>
      </c>
      <c r="O113" s="200"/>
      <c r="P113" s="200"/>
      <c r="Q113" s="200"/>
    </row>
    <row r="114" customFormat="false" ht="74.25" hidden="false" customHeight="true" outlineLevel="0" collapsed="false">
      <c r="B114" s="106" t="s">
        <v>12317</v>
      </c>
      <c r="C114" s="106"/>
      <c r="D114" s="106"/>
      <c r="E114" s="106"/>
      <c r="N114" s="201" t="s">
        <v>12318</v>
      </c>
      <c r="O114" s="201"/>
      <c r="P114" s="201"/>
      <c r="Q114" s="201"/>
    </row>
    <row r="115" customFormat="false" ht="60" hidden="false" customHeight="true" outlineLevel="0" collapsed="false">
      <c r="B115" s="106" t="s">
        <v>12319</v>
      </c>
      <c r="C115" s="106"/>
      <c r="D115" s="106"/>
      <c r="E115" s="106"/>
      <c r="N115" s="201" t="s">
        <v>12320</v>
      </c>
      <c r="O115" s="201"/>
      <c r="P115" s="201"/>
      <c r="Q115" s="201"/>
    </row>
    <row r="116" customFormat="false" ht="60" hidden="false" customHeight="true" outlineLevel="0" collapsed="false">
      <c r="B116" s="106" t="s">
        <v>12321</v>
      </c>
      <c r="C116" s="106"/>
      <c r="D116" s="106"/>
      <c r="E116" s="106"/>
      <c r="N116" s="201" t="s">
        <v>12322</v>
      </c>
      <c r="O116" s="201"/>
      <c r="P116" s="201"/>
      <c r="Q116" s="201"/>
    </row>
    <row r="118" customFormat="false" ht="15.75" hidden="false" customHeight="true" outlineLevel="0" collapsed="false">
      <c r="B118" s="103" t="s">
        <v>1522</v>
      </c>
      <c r="C118" s="8"/>
      <c r="D118" s="8"/>
      <c r="E118" s="8"/>
      <c r="F118" s="8"/>
      <c r="G118" s="8"/>
      <c r="H118" s="8"/>
      <c r="I118" s="8"/>
      <c r="J118" s="8"/>
      <c r="K118" s="8"/>
    </row>
    <row r="119" customFormat="false" ht="17.25" hidden="false" customHeight="true" outlineLevel="0" collapsed="false">
      <c r="B119" s="152" t="s">
        <v>1523</v>
      </c>
      <c r="C119" s="152" t="s">
        <v>1524</v>
      </c>
      <c r="D119" s="152" t="s">
        <v>6719</v>
      </c>
      <c r="E119" s="152"/>
      <c r="F119" s="152"/>
      <c r="G119" s="152"/>
    </row>
    <row r="120" customFormat="false" ht="17.25" hidden="false" customHeight="true" outlineLevel="0" collapsed="false">
      <c r="B120" s="170" t="s">
        <v>9286</v>
      </c>
      <c r="C120" s="170" t="s">
        <v>6628</v>
      </c>
      <c r="D120" s="171" t="s">
        <v>1250</v>
      </c>
      <c r="E120" s="171"/>
      <c r="F120" s="171"/>
      <c r="G120" s="171"/>
    </row>
  </sheetData>
  <mergeCells count="83">
    <mergeCell ref="B2:J2"/>
    <mergeCell ref="D3:H3"/>
    <mergeCell ref="C6:D6"/>
    <mergeCell ref="C7:D7"/>
    <mergeCell ref="C8:D8"/>
    <mergeCell ref="B11:I13"/>
    <mergeCell ref="B14:I15"/>
    <mergeCell ref="B16:I19"/>
    <mergeCell ref="B20:I22"/>
    <mergeCell ref="B23:I25"/>
    <mergeCell ref="B28:D28"/>
    <mergeCell ref="E28:I28"/>
    <mergeCell ref="B29:D29"/>
    <mergeCell ref="E29:I29"/>
    <mergeCell ref="B30:D30"/>
    <mergeCell ref="E30:I30"/>
    <mergeCell ref="B31:D31"/>
    <mergeCell ref="E31:I31"/>
    <mergeCell ref="B32:I32"/>
    <mergeCell ref="E34:G34"/>
    <mergeCell ref="E35:G35"/>
    <mergeCell ref="E36:G36"/>
    <mergeCell ref="E37:G37"/>
    <mergeCell ref="E38:G38"/>
    <mergeCell ref="B41:I43"/>
    <mergeCell ref="B45:I45"/>
    <mergeCell ref="B47:I47"/>
    <mergeCell ref="B48:I50"/>
    <mergeCell ref="D53:H53"/>
    <mergeCell ref="D54:H54"/>
    <mergeCell ref="D55:H55"/>
    <mergeCell ref="D56:H56"/>
    <mergeCell ref="D57:H57"/>
    <mergeCell ref="D58:H58"/>
    <mergeCell ref="B61:I63"/>
    <mergeCell ref="B66:I66"/>
    <mergeCell ref="E67:F67"/>
    <mergeCell ref="E68:F68"/>
    <mergeCell ref="E69:F69"/>
    <mergeCell ref="E70:F70"/>
    <mergeCell ref="E71:F71"/>
    <mergeCell ref="E72:F72"/>
    <mergeCell ref="E73:F73"/>
    <mergeCell ref="E74:F74"/>
    <mergeCell ref="B76:I76"/>
    <mergeCell ref="O77:P77"/>
    <mergeCell ref="O78:P78"/>
    <mergeCell ref="O79:P79"/>
    <mergeCell ref="O80:P80"/>
    <mergeCell ref="O81:P81"/>
    <mergeCell ref="O82:P82"/>
    <mergeCell ref="O83:P83"/>
    <mergeCell ref="O84:P84"/>
    <mergeCell ref="D86:H86"/>
    <mergeCell ref="D87:H87"/>
    <mergeCell ref="D88:H88"/>
    <mergeCell ref="D89:H89"/>
    <mergeCell ref="D90:H90"/>
    <mergeCell ref="D91:H91"/>
    <mergeCell ref="D92:H92"/>
    <mergeCell ref="D93:H93"/>
    <mergeCell ref="D94:H94"/>
    <mergeCell ref="C97:G97"/>
    <mergeCell ref="D99:H99"/>
    <mergeCell ref="D100:H100"/>
    <mergeCell ref="D101:H101"/>
    <mergeCell ref="D102:H102"/>
    <mergeCell ref="D103:H103"/>
    <mergeCell ref="B106:I106"/>
    <mergeCell ref="B107:I107"/>
    <mergeCell ref="B108:I108"/>
    <mergeCell ref="B109:I109"/>
    <mergeCell ref="B110:I110"/>
    <mergeCell ref="B113:E113"/>
    <mergeCell ref="N113:Q113"/>
    <mergeCell ref="B114:E114"/>
    <mergeCell ref="N114:Q114"/>
    <mergeCell ref="B115:E115"/>
    <mergeCell ref="N115:Q115"/>
    <mergeCell ref="B116:E116"/>
    <mergeCell ref="N116:Q116"/>
    <mergeCell ref="D119:G119"/>
    <mergeCell ref="D120:G120"/>
  </mergeCells>
  <hyperlinks>
    <hyperlink ref="B3" location="'N-03 Index DMAIC'!A1" display="← Back to Index"/>
    <hyperlink ref="E35" location="'H-01 Project Charter'!A1" display="H-01  Project Charter"/>
    <hyperlink ref="E36" location="'G-02 Business Case COPQ'!A1" display="G-02  Business Case and COPQ"/>
    <hyperlink ref="E37" location="'G-08 Schedule and CPM'!A1" display="G-08  Project Schedule and CPM"/>
    <hyperlink ref="E38" location="'N-08 Fast Track Routes'!A1" display="N-08  Fast Track Routes"/>
    <hyperlink ref="B120" location="'N-08 Fast Track Routes'!A1" display="N-08  Fast Track Routes"/>
    <hyperlink ref="C120" location="'G-02 Business Case COPQ'!A1" display="G-02  Business Case and COPQ"/>
    <hyperlink ref="D120" location="'H-01 Project Charter'!A1" display="H-01  Project Chart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N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6"/>
    <col collapsed="false" customWidth="true" hidden="false" outlineLevel="0" max="4" min="4" style="1" width="20"/>
    <col collapsed="false" customWidth="true" hidden="false" outlineLevel="0" max="5" min="5" style="1" width="22"/>
    <col collapsed="false" customWidth="true" hidden="false" outlineLevel="0" max="6" min="6" style="1" width="34"/>
    <col collapsed="false" customWidth="true" hidden="false" outlineLevel="0" max="7" min="7" style="1" width="20"/>
    <col collapsed="false" customWidth="true" hidden="false" outlineLevel="0" max="10" min="8"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12323</v>
      </c>
      <c r="C2" s="148"/>
      <c r="D2" s="148"/>
      <c r="E2" s="148"/>
      <c r="F2" s="148"/>
      <c r="G2" s="148"/>
      <c r="H2" s="148"/>
      <c r="I2" s="148"/>
      <c r="J2" s="148"/>
      <c r="K2" s="195" t="s">
        <v>9949</v>
      </c>
    </row>
    <row r="3" customFormat="false" ht="42" hidden="false" customHeight="true" outlineLevel="0" collapsed="false">
      <c r="B3" s="150" t="s">
        <v>3</v>
      </c>
      <c r="D3" s="151" t="s">
        <v>12324</v>
      </c>
      <c r="E3" s="151"/>
      <c r="F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12325</v>
      </c>
      <c r="D6" s="106"/>
    </row>
    <row r="7" customFormat="false" ht="31.5" hidden="false" customHeight="true" outlineLevel="0" collapsed="false">
      <c r="B7" s="105" t="s">
        <v>1394</v>
      </c>
      <c r="C7" s="106" t="s">
        <v>12326</v>
      </c>
      <c r="D7" s="106"/>
    </row>
    <row r="8" customFormat="false" ht="31.5" hidden="false" customHeight="true" outlineLevel="0" collapsed="false">
      <c r="B8" s="105" t="s">
        <v>1396</v>
      </c>
      <c r="C8" s="106" t="s">
        <v>12327</v>
      </c>
      <c r="D8" s="106"/>
    </row>
    <row r="10" customFormat="false" ht="15.75" hidden="false" customHeight="true" outlineLevel="0" collapsed="false">
      <c r="B10" s="103" t="s">
        <v>1398</v>
      </c>
      <c r="C10" s="8"/>
      <c r="D10" s="8"/>
      <c r="E10" s="8"/>
      <c r="F10" s="8"/>
      <c r="G10" s="8"/>
      <c r="H10" s="8"/>
      <c r="I10" s="8"/>
      <c r="J10" s="8"/>
      <c r="K10" s="8"/>
    </row>
    <row r="11" customFormat="false" ht="7.5" hidden="false" customHeight="true" outlineLevel="0" collapsed="false">
      <c r="B11" s="106" t="s">
        <v>12328</v>
      </c>
      <c r="C11" s="106"/>
      <c r="D11" s="106"/>
      <c r="E11" s="106"/>
      <c r="F11" s="106"/>
    </row>
    <row r="12" customFormat="false" ht="7.5" hidden="false" customHeight="true" outlineLevel="0" collapsed="false">
      <c r="B12" s="106"/>
      <c r="C12" s="106"/>
      <c r="D12" s="106"/>
      <c r="E12" s="106"/>
      <c r="F12" s="106"/>
    </row>
    <row r="13" customFormat="false" ht="7.5" hidden="false" customHeight="true" outlineLevel="0" collapsed="false">
      <c r="B13" s="106"/>
      <c r="C13" s="106"/>
      <c r="D13" s="106"/>
      <c r="E13" s="106"/>
      <c r="F13" s="106"/>
    </row>
    <row r="14" customFormat="false" ht="7.5" hidden="false" customHeight="true" outlineLevel="0" collapsed="false">
      <c r="B14" s="106"/>
      <c r="C14" s="106"/>
      <c r="D14" s="106"/>
      <c r="E14" s="106"/>
      <c r="F14" s="106"/>
    </row>
    <row r="15" customFormat="false" ht="10.5" hidden="false" customHeight="true" outlineLevel="0" collapsed="false">
      <c r="B15" s="106" t="s">
        <v>12329</v>
      </c>
      <c r="C15" s="106"/>
      <c r="D15" s="106"/>
      <c r="E15" s="106"/>
      <c r="F15" s="106"/>
    </row>
    <row r="16" customFormat="false" ht="10.5" hidden="false" customHeight="true" outlineLevel="0" collapsed="false">
      <c r="B16" s="106"/>
      <c r="C16" s="106"/>
      <c r="D16" s="106"/>
      <c r="E16" s="106"/>
      <c r="F16" s="106"/>
    </row>
    <row r="17" customFormat="false" ht="10.5" hidden="false" customHeight="true" outlineLevel="0" collapsed="false">
      <c r="B17" s="106"/>
      <c r="C17" s="106"/>
      <c r="D17" s="106"/>
      <c r="E17" s="106"/>
      <c r="F17" s="106"/>
    </row>
    <row r="18" customFormat="false" ht="11.25" hidden="false" customHeight="true" outlineLevel="0" collapsed="false">
      <c r="B18" s="106" t="s">
        <v>12330</v>
      </c>
      <c r="C18" s="106"/>
      <c r="D18" s="106"/>
      <c r="E18" s="106"/>
      <c r="F18" s="106"/>
    </row>
    <row r="19" customFormat="false" ht="11.25" hidden="false" customHeight="true" outlineLevel="0" collapsed="false">
      <c r="B19" s="106"/>
      <c r="C19" s="106"/>
      <c r="D19" s="106"/>
      <c r="E19" s="106"/>
      <c r="F19" s="106"/>
    </row>
    <row r="20" customFormat="false" ht="11.25" hidden="false" customHeight="true" outlineLevel="0" collapsed="false">
      <c r="B20" s="106"/>
      <c r="C20" s="106"/>
      <c r="D20" s="106"/>
      <c r="E20" s="106"/>
      <c r="F20" s="106"/>
    </row>
    <row r="21" customFormat="false" ht="11.25" hidden="false" customHeight="true" outlineLevel="0" collapsed="false">
      <c r="B21" s="106"/>
      <c r="C21" s="106"/>
      <c r="D21" s="106"/>
      <c r="E21" s="106"/>
      <c r="F21" s="106"/>
    </row>
    <row r="22" customFormat="false" ht="15.75" hidden="false" customHeight="true" outlineLevel="0" collapsed="false">
      <c r="B22" s="106" t="s">
        <v>12331</v>
      </c>
      <c r="C22" s="106"/>
      <c r="D22" s="106"/>
      <c r="E22" s="106"/>
      <c r="F22" s="106"/>
    </row>
    <row r="23" customFormat="false" ht="15.75" hidden="false" customHeight="true" outlineLevel="0" collapsed="false">
      <c r="B23" s="106"/>
      <c r="C23" s="106"/>
      <c r="D23" s="106"/>
      <c r="E23" s="106"/>
      <c r="F23" s="106"/>
    </row>
    <row r="24" customFormat="false" ht="15.75" hidden="false" customHeight="true" outlineLevel="0" collapsed="false">
      <c r="B24" s="106" t="s">
        <v>12332</v>
      </c>
      <c r="C24" s="106"/>
      <c r="D24" s="106"/>
      <c r="E24" s="106"/>
      <c r="F24" s="106"/>
    </row>
    <row r="25" customFormat="false" ht="15.75" hidden="false" customHeight="true" outlineLevel="0" collapsed="false">
      <c r="B25" s="106"/>
      <c r="C25" s="106"/>
      <c r="D25" s="106"/>
      <c r="E25" s="106"/>
      <c r="F25" s="106"/>
    </row>
    <row r="26" customFormat="false" ht="17.25" hidden="false" customHeight="true" outlineLevel="0" collapsed="false">
      <c r="B26" s="106" t="s">
        <v>12333</v>
      </c>
      <c r="C26" s="106"/>
      <c r="D26" s="106"/>
      <c r="E26" s="106"/>
      <c r="F26" s="106"/>
    </row>
    <row r="28" customFormat="false" ht="15.75" hidden="false" customHeight="true" outlineLevel="0" collapsed="false">
      <c r="B28" s="103" t="s">
        <v>1406</v>
      </c>
      <c r="C28" s="8"/>
      <c r="D28" s="8"/>
      <c r="E28" s="8"/>
      <c r="F28" s="8"/>
      <c r="G28" s="8"/>
      <c r="H28" s="8"/>
      <c r="I28" s="8"/>
      <c r="J28" s="8"/>
      <c r="K28" s="8"/>
    </row>
    <row r="29" customFormat="false" ht="17.25" hidden="false" customHeight="true" outlineLevel="0" collapsed="false">
      <c r="B29" s="107" t="s">
        <v>1407</v>
      </c>
      <c r="C29" s="107"/>
      <c r="E29" s="107" t="s">
        <v>1408</v>
      </c>
      <c r="F29" s="107"/>
    </row>
    <row r="30" customFormat="false" ht="31.5" hidden="false" customHeight="true" outlineLevel="0" collapsed="false">
      <c r="B30" s="106" t="s">
        <v>12334</v>
      </c>
      <c r="C30" s="106"/>
      <c r="E30" s="106" t="s">
        <v>12335</v>
      </c>
      <c r="F30" s="106"/>
    </row>
    <row r="31" customFormat="false" ht="31.5" hidden="false" customHeight="true" outlineLevel="0" collapsed="false">
      <c r="B31" s="106" t="s">
        <v>12336</v>
      </c>
      <c r="C31" s="106"/>
      <c r="E31" s="106" t="s">
        <v>12337</v>
      </c>
      <c r="F31" s="106"/>
    </row>
    <row r="32" customFormat="false" ht="17.25" hidden="false" customHeight="true" outlineLevel="0" collapsed="false">
      <c r="B32" s="106" t="s">
        <v>12338</v>
      </c>
      <c r="C32" s="106"/>
      <c r="E32" s="106" t="s">
        <v>12339</v>
      </c>
      <c r="F32" s="106"/>
    </row>
    <row r="33" customFormat="false" ht="17.25" hidden="false" customHeight="true" outlineLevel="0" collapsed="false">
      <c r="B33" s="106" t="s">
        <v>12340</v>
      </c>
      <c r="C33" s="106"/>
      <c r="D33" s="106"/>
      <c r="E33" s="106"/>
      <c r="F33" s="106"/>
    </row>
    <row r="35" customFormat="false" ht="30.75" hidden="false" customHeight="true" outlineLevel="0" collapsed="false">
      <c r="B35" s="152" t="s">
        <v>6621</v>
      </c>
      <c r="C35" s="152" t="s">
        <v>1417</v>
      </c>
      <c r="D35" s="152" t="s">
        <v>1418</v>
      </c>
      <c r="E35" s="152" t="s">
        <v>1419</v>
      </c>
    </row>
    <row r="36" customFormat="false" ht="44.25" hidden="false" customHeight="true" outlineLevel="0" collapsed="false">
      <c r="B36" s="15" t="s">
        <v>12341</v>
      </c>
      <c r="C36" s="15" t="s">
        <v>12342</v>
      </c>
      <c r="D36" s="15" t="s">
        <v>12343</v>
      </c>
      <c r="E36" s="153" t="s">
        <v>8365</v>
      </c>
    </row>
    <row r="37" customFormat="false" ht="58.5" hidden="false" customHeight="true" outlineLevel="0" collapsed="false">
      <c r="B37" s="15" t="s">
        <v>12344</v>
      </c>
      <c r="C37" s="15" t="s">
        <v>12345</v>
      </c>
      <c r="D37" s="15" t="s">
        <v>12346</v>
      </c>
      <c r="E37" s="153" t="s">
        <v>1089</v>
      </c>
    </row>
    <row r="38" customFormat="false" ht="58.5" hidden="false" customHeight="true" outlineLevel="0" collapsed="false">
      <c r="B38" s="15" t="s">
        <v>12347</v>
      </c>
      <c r="C38" s="15" t="s">
        <v>12348</v>
      </c>
      <c r="D38" s="15" t="s">
        <v>12349</v>
      </c>
      <c r="E38" s="153" t="s">
        <v>6632</v>
      </c>
    </row>
    <row r="39" customFormat="false" ht="58.5" hidden="false" customHeight="true" outlineLevel="0" collapsed="false">
      <c r="B39" s="15" t="s">
        <v>12350</v>
      </c>
      <c r="C39" s="15" t="s">
        <v>12351</v>
      </c>
      <c r="D39" s="15" t="s">
        <v>12352</v>
      </c>
      <c r="E39" s="153" t="s">
        <v>1250</v>
      </c>
    </row>
    <row r="41" customFormat="false" ht="15.75" hidden="false" customHeight="true" outlineLevel="0" collapsed="false">
      <c r="B41" s="103" t="s">
        <v>1429</v>
      </c>
      <c r="C41" s="8"/>
      <c r="D41" s="8"/>
      <c r="E41" s="8"/>
      <c r="F41" s="8"/>
      <c r="G41" s="8"/>
      <c r="H41" s="8"/>
      <c r="I41" s="8"/>
      <c r="J41" s="8"/>
      <c r="K41" s="8"/>
    </row>
    <row r="42" customFormat="false" ht="16.5" hidden="false" customHeight="true" outlineLevel="0" collapsed="false">
      <c r="B42" s="122" t="s">
        <v>12353</v>
      </c>
    </row>
    <row r="43" customFormat="false" ht="8.25" hidden="false" customHeight="true" outlineLevel="0" collapsed="false">
      <c r="B43" s="106" t="s">
        <v>12354</v>
      </c>
      <c r="C43" s="106"/>
      <c r="D43" s="106"/>
      <c r="E43" s="106"/>
      <c r="F43" s="106"/>
    </row>
    <row r="44" customFormat="false" ht="8.25" hidden="false" customHeight="true" outlineLevel="0" collapsed="false">
      <c r="B44" s="106"/>
      <c r="C44" s="106"/>
      <c r="D44" s="106"/>
      <c r="E44" s="106"/>
      <c r="F44" s="106"/>
    </row>
    <row r="45" customFormat="false" ht="8.25" hidden="false" customHeight="true" outlineLevel="0" collapsed="false">
      <c r="B45" s="106" t="s">
        <v>12355</v>
      </c>
      <c r="C45" s="106"/>
      <c r="D45" s="106"/>
      <c r="E45" s="106"/>
      <c r="F45" s="106"/>
    </row>
    <row r="46" customFormat="false" ht="8.25" hidden="false" customHeight="true" outlineLevel="0" collapsed="false">
      <c r="B46" s="106"/>
      <c r="C46" s="106"/>
      <c r="D46" s="106"/>
      <c r="E46" s="106"/>
      <c r="F46" s="106"/>
    </row>
    <row r="47" customFormat="false" ht="15" hidden="false" customHeight="true" outlineLevel="0" collapsed="false">
      <c r="B47" s="122"/>
    </row>
    <row r="48" customFormat="false" ht="8.25" hidden="false" customHeight="true" outlineLevel="0" collapsed="false">
      <c r="B48" s="106" t="s">
        <v>12356</v>
      </c>
      <c r="C48" s="106"/>
      <c r="D48" s="106"/>
      <c r="E48" s="106"/>
      <c r="F48" s="106"/>
    </row>
    <row r="49" customFormat="false" ht="8.25" hidden="false" customHeight="true" outlineLevel="0" collapsed="false">
      <c r="B49" s="106"/>
      <c r="C49" s="106"/>
      <c r="D49" s="106"/>
      <c r="E49" s="106"/>
      <c r="F49" s="106"/>
    </row>
    <row r="50" customFormat="false" ht="15" hidden="false" customHeight="true" outlineLevel="0" collapsed="false">
      <c r="B50" s="122"/>
    </row>
    <row r="51" customFormat="false" ht="16.5" hidden="false" customHeight="true" outlineLevel="0" collapsed="false">
      <c r="B51" s="122" t="s">
        <v>12357</v>
      </c>
    </row>
    <row r="52" customFormat="false" ht="10.5" hidden="false" customHeight="true" outlineLevel="0" collapsed="false">
      <c r="B52" s="106" t="s">
        <v>12358</v>
      </c>
      <c r="C52" s="106"/>
      <c r="D52" s="106"/>
      <c r="E52" s="106"/>
      <c r="F52" s="106"/>
    </row>
    <row r="53" customFormat="false" ht="10.5" hidden="false" customHeight="true" outlineLevel="0" collapsed="false">
      <c r="B53" s="106"/>
      <c r="C53" s="106"/>
      <c r="D53" s="106"/>
      <c r="E53" s="106"/>
      <c r="F53" s="106"/>
    </row>
    <row r="54" customFormat="false" ht="10.5" hidden="false" customHeight="true" outlineLevel="0" collapsed="false">
      <c r="B54" s="106"/>
      <c r="C54" s="106"/>
      <c r="D54" s="106"/>
      <c r="E54" s="106"/>
      <c r="F54" s="106"/>
    </row>
    <row r="55" customFormat="false" ht="15" hidden="false" customHeight="true" outlineLevel="0" collapsed="false">
      <c r="B55" s="122"/>
    </row>
    <row r="56" customFormat="false" ht="16.5" hidden="false" customHeight="true" outlineLevel="0" collapsed="false">
      <c r="B56" s="122" t="s">
        <v>12359</v>
      </c>
    </row>
    <row r="57" customFormat="false" ht="10.5" hidden="false" customHeight="true" outlineLevel="0" collapsed="false">
      <c r="B57" s="106" t="s">
        <v>12360</v>
      </c>
      <c r="C57" s="106"/>
      <c r="D57" s="106"/>
      <c r="E57" s="106"/>
      <c r="F57" s="106"/>
    </row>
    <row r="58" customFormat="false" ht="10.5" hidden="false" customHeight="true" outlineLevel="0" collapsed="false">
      <c r="B58" s="106"/>
      <c r="C58" s="106"/>
      <c r="D58" s="106"/>
      <c r="E58" s="106"/>
      <c r="F58" s="106"/>
    </row>
    <row r="59" customFormat="false" ht="10.5" hidden="false" customHeight="true" outlineLevel="0" collapsed="false">
      <c r="B59" s="106"/>
      <c r="C59" s="106"/>
      <c r="D59" s="106"/>
      <c r="E59" s="106"/>
      <c r="F59" s="106"/>
    </row>
    <row r="61" customFormat="false" ht="15.75" hidden="false" customHeight="true" outlineLevel="0" collapsed="false">
      <c r="B61" s="103" t="s">
        <v>1437</v>
      </c>
      <c r="C61" s="8"/>
      <c r="D61" s="8"/>
      <c r="E61" s="8"/>
      <c r="F61" s="8"/>
      <c r="G61" s="8"/>
      <c r="H61" s="8"/>
      <c r="I61" s="8"/>
      <c r="J61" s="8"/>
      <c r="K61" s="8"/>
    </row>
    <row r="62" customFormat="false" ht="17.25" hidden="false" customHeight="true" outlineLevel="0" collapsed="false">
      <c r="B62" s="152" t="s">
        <v>1438</v>
      </c>
      <c r="C62" s="152" t="s">
        <v>1439</v>
      </c>
      <c r="D62" s="152" t="s">
        <v>1440</v>
      </c>
      <c r="E62" s="152"/>
    </row>
    <row r="63" customFormat="false" ht="17.25" hidden="false" customHeight="true" outlineLevel="0" collapsed="false">
      <c r="B63" s="15" t="s">
        <v>6757</v>
      </c>
      <c r="C63" s="15" t="s">
        <v>12361</v>
      </c>
      <c r="D63" s="15" t="s">
        <v>12362</v>
      </c>
      <c r="E63" s="15"/>
    </row>
    <row r="64" customFormat="false" ht="31.5" hidden="false" customHeight="true" outlineLevel="0" collapsed="false">
      <c r="B64" s="15" t="s">
        <v>12363</v>
      </c>
      <c r="C64" s="15" t="s">
        <v>12364</v>
      </c>
      <c r="D64" s="15" t="s">
        <v>12365</v>
      </c>
      <c r="E64" s="15"/>
    </row>
    <row r="65" customFormat="false" ht="17.25" hidden="false" customHeight="true" outlineLevel="0" collapsed="false">
      <c r="B65" s="15" t="s">
        <v>12366</v>
      </c>
      <c r="C65" s="15" t="s">
        <v>12367</v>
      </c>
      <c r="D65" s="15" t="s">
        <v>12368</v>
      </c>
      <c r="E65" s="15"/>
    </row>
    <row r="66" customFormat="false" ht="31.5" hidden="false" customHeight="true" outlineLevel="0" collapsed="false">
      <c r="B66" s="15" t="s">
        <v>1839</v>
      </c>
      <c r="C66" s="15" t="s">
        <v>6647</v>
      </c>
      <c r="D66" s="15" t="s">
        <v>12369</v>
      </c>
      <c r="E66" s="15"/>
    </row>
    <row r="68" customFormat="false" ht="15.75" hidden="false" customHeight="true" outlineLevel="0" collapsed="false">
      <c r="B68" s="103" t="s">
        <v>1454</v>
      </c>
      <c r="C68" s="8"/>
      <c r="D68" s="8"/>
      <c r="E68" s="8"/>
      <c r="F68" s="8"/>
      <c r="G68" s="8"/>
      <c r="H68" s="8"/>
      <c r="I68" s="8"/>
      <c r="J68" s="8"/>
      <c r="K68" s="8"/>
    </row>
    <row r="69" customFormat="false" ht="10.5" hidden="false" customHeight="true" outlineLevel="0" collapsed="false">
      <c r="B69" s="106" t="s">
        <v>12370</v>
      </c>
      <c r="C69" s="106"/>
      <c r="D69" s="106"/>
      <c r="E69" s="106"/>
      <c r="F69" s="106"/>
    </row>
    <row r="70" customFormat="false" ht="10.5" hidden="false" customHeight="true" outlineLevel="0" collapsed="false">
      <c r="B70" s="106"/>
      <c r="C70" s="106"/>
      <c r="D70" s="106"/>
      <c r="E70" s="106"/>
      <c r="F70" s="106"/>
    </row>
    <row r="71" customFormat="false" ht="10.5" hidden="false" customHeight="true" outlineLevel="0" collapsed="false">
      <c r="B71" s="106"/>
      <c r="C71" s="106"/>
      <c r="D71" s="106"/>
      <c r="E71" s="106"/>
      <c r="F71" s="106"/>
    </row>
    <row r="72" customFormat="false" ht="15" hidden="false" customHeight="true" outlineLevel="0" collapsed="false">
      <c r="B72" s="112" t="s">
        <v>85</v>
      </c>
      <c r="C72" s="154" t="s">
        <v>86</v>
      </c>
    </row>
    <row r="74" customFormat="false" ht="17.25" hidden="false" customHeight="true" outlineLevel="0" collapsed="false">
      <c r="B74" s="107" t="s">
        <v>12371</v>
      </c>
      <c r="C74" s="107"/>
      <c r="D74" s="107"/>
      <c r="E74" s="107"/>
      <c r="F74" s="107"/>
    </row>
    <row r="75" customFormat="false" ht="17.25" hidden="false" customHeight="true" outlineLevel="0" collapsed="false">
      <c r="B75" s="152" t="s">
        <v>7297</v>
      </c>
      <c r="C75" s="152" t="s">
        <v>8567</v>
      </c>
      <c r="D75" s="152" t="s">
        <v>12372</v>
      </c>
      <c r="E75" s="152" t="s">
        <v>12373</v>
      </c>
      <c r="F75" s="152"/>
    </row>
    <row r="76" customFormat="false" ht="30.75" hidden="false" customHeight="true" outlineLevel="0" collapsed="false">
      <c r="B76" s="15" t="s">
        <v>8725</v>
      </c>
      <c r="C76" s="15" t="s">
        <v>12374</v>
      </c>
      <c r="D76" s="15" t="s">
        <v>12375</v>
      </c>
      <c r="E76" s="15" t="s">
        <v>12376</v>
      </c>
      <c r="F76" s="15"/>
    </row>
    <row r="77" customFormat="false" ht="30.75" hidden="false" customHeight="true" outlineLevel="0" collapsed="false">
      <c r="B77" s="15" t="s">
        <v>12377</v>
      </c>
      <c r="C77" s="15" t="s">
        <v>12378</v>
      </c>
      <c r="D77" s="15" t="s">
        <v>12375</v>
      </c>
      <c r="E77" s="15" t="s">
        <v>12379</v>
      </c>
      <c r="F77" s="15"/>
    </row>
    <row r="78" customFormat="false" ht="30.75" hidden="false" customHeight="true" outlineLevel="0" collapsed="false">
      <c r="B78" s="15" t="s">
        <v>12380</v>
      </c>
      <c r="C78" s="15" t="s">
        <v>12381</v>
      </c>
      <c r="D78" s="15" t="s">
        <v>12382</v>
      </c>
      <c r="E78" s="15" t="s">
        <v>12383</v>
      </c>
      <c r="F78" s="15"/>
    </row>
    <row r="79" customFormat="false" ht="30.75" hidden="false" customHeight="true" outlineLevel="0" collapsed="false">
      <c r="B79" s="15" t="s">
        <v>12384</v>
      </c>
      <c r="C79" s="15" t="s">
        <v>12385</v>
      </c>
      <c r="D79" s="15" t="s">
        <v>12386</v>
      </c>
      <c r="E79" s="15" t="s">
        <v>12387</v>
      </c>
      <c r="F79" s="15"/>
    </row>
    <row r="81" customFormat="false" ht="17.25" hidden="false" customHeight="true" outlineLevel="0" collapsed="false">
      <c r="B81" s="107" t="s">
        <v>12388</v>
      </c>
      <c r="C81" s="107"/>
      <c r="D81" s="107"/>
      <c r="E81" s="107"/>
      <c r="F81" s="107"/>
    </row>
    <row r="82" customFormat="false" ht="30.75" hidden="false" customHeight="true" outlineLevel="0" collapsed="false">
      <c r="B82" s="152" t="s">
        <v>7297</v>
      </c>
      <c r="C82" s="152" t="s">
        <v>12389</v>
      </c>
      <c r="D82" s="152" t="s">
        <v>6669</v>
      </c>
      <c r="E82" s="152" t="s">
        <v>12390</v>
      </c>
      <c r="F82" s="152" t="s">
        <v>12391</v>
      </c>
    </row>
    <row r="83" customFormat="false" ht="16.5" hidden="false" customHeight="true" outlineLevel="0" collapsed="false">
      <c r="B83" s="15" t="s">
        <v>8725</v>
      </c>
      <c r="C83" s="177" t="s">
        <v>12392</v>
      </c>
      <c r="D83" s="173" t="n">
        <v>18000</v>
      </c>
      <c r="E83" s="160" t="n">
        <f aca="false">IFERROR(D83/SUM($D$83:$D$96),0)</f>
        <v>0.0261627906976744</v>
      </c>
      <c r="F83" s="159" t="n">
        <f aca="false">IF(OR(B83="INTERNAL FAILURE",B83="EXTERNAL FAILURE"),D83,0)</f>
        <v>0</v>
      </c>
    </row>
    <row r="84" customFormat="false" ht="16.5" hidden="false" customHeight="true" outlineLevel="0" collapsed="false">
      <c r="B84" s="15" t="s">
        <v>8725</v>
      </c>
      <c r="C84" s="177" t="s">
        <v>12393</v>
      </c>
      <c r="D84" s="173" t="n">
        <v>64000</v>
      </c>
      <c r="E84" s="160" t="n">
        <f aca="false">IFERROR(D84/SUM($D$83:$D$96),0)</f>
        <v>0.0930232558139535</v>
      </c>
      <c r="F84" s="159" t="n">
        <f aca="false">IF(OR(B84="INTERNAL FAILURE",B84="EXTERNAL FAILURE"),D84,0)</f>
        <v>0</v>
      </c>
    </row>
    <row r="85" customFormat="false" ht="16.5" hidden="false" customHeight="true" outlineLevel="0" collapsed="false">
      <c r="B85" s="15" t="s">
        <v>8725</v>
      </c>
      <c r="C85" s="177" t="s">
        <v>12394</v>
      </c>
      <c r="D85" s="173" t="n">
        <v>12000</v>
      </c>
      <c r="E85" s="160" t="n">
        <f aca="false">IFERROR(D85/SUM($D$83:$D$96),0)</f>
        <v>0.0174418604651163</v>
      </c>
      <c r="F85" s="159" t="n">
        <f aca="false">IF(OR(B85="INTERNAL FAILURE",B85="EXTERNAL FAILURE"),D85,0)</f>
        <v>0</v>
      </c>
    </row>
    <row r="86" customFormat="false" ht="16.5" hidden="false" customHeight="true" outlineLevel="0" collapsed="false">
      <c r="B86" s="15" t="s">
        <v>12377</v>
      </c>
      <c r="C86" s="177" t="s">
        <v>12395</v>
      </c>
      <c r="D86" s="173" t="n">
        <v>41000</v>
      </c>
      <c r="E86" s="160" t="n">
        <f aca="false">IFERROR(D86/SUM($D$83:$D$96),0)</f>
        <v>0.059593023255814</v>
      </c>
      <c r="F86" s="159" t="n">
        <f aca="false">IF(OR(B86="INTERNAL FAILURE",B86="EXTERNAL FAILURE"),D86,0)</f>
        <v>0</v>
      </c>
    </row>
    <row r="87" customFormat="false" ht="16.5" hidden="false" customHeight="true" outlineLevel="0" collapsed="false">
      <c r="B87" s="15" t="s">
        <v>12377</v>
      </c>
      <c r="C87" s="177" t="s">
        <v>12396</v>
      </c>
      <c r="D87" s="173" t="n">
        <v>27000</v>
      </c>
      <c r="E87" s="160" t="n">
        <f aca="false">IFERROR(D87/SUM($D$83:$D$96),0)</f>
        <v>0.0392441860465116</v>
      </c>
      <c r="F87" s="159" t="n">
        <f aca="false">IF(OR(B87="INTERNAL FAILURE",B87="EXTERNAL FAILURE"),D87,0)</f>
        <v>0</v>
      </c>
    </row>
    <row r="88" customFormat="false" ht="16.5" hidden="false" customHeight="true" outlineLevel="0" collapsed="false">
      <c r="B88" s="15" t="s">
        <v>12377</v>
      </c>
      <c r="C88" s="177" t="s">
        <v>12397</v>
      </c>
      <c r="D88" s="173" t="n">
        <v>15000</v>
      </c>
      <c r="E88" s="160" t="n">
        <f aca="false">IFERROR(D88/SUM($D$83:$D$96),0)</f>
        <v>0.0218023255813954</v>
      </c>
      <c r="F88" s="159" t="n">
        <f aca="false">IF(OR(B88="INTERNAL FAILURE",B88="EXTERNAL FAILURE"),D88,0)</f>
        <v>0</v>
      </c>
    </row>
    <row r="89" customFormat="false" ht="16.5" hidden="false" customHeight="true" outlineLevel="0" collapsed="false">
      <c r="B89" s="15" t="s">
        <v>12380</v>
      </c>
      <c r="C89" s="177" t="s">
        <v>12398</v>
      </c>
      <c r="D89" s="173" t="n">
        <v>178000</v>
      </c>
      <c r="E89" s="160" t="n">
        <f aca="false">IFERROR(D89/SUM($D$83:$D$96),0)</f>
        <v>0.258720930232558</v>
      </c>
      <c r="F89" s="159" t="n">
        <f aca="false">IF(OR(B89="INTERNAL FAILURE",B89="EXTERNAL FAILURE"),D89,0)</f>
        <v>178000</v>
      </c>
    </row>
    <row r="90" customFormat="false" ht="16.5" hidden="false" customHeight="true" outlineLevel="0" collapsed="false">
      <c r="B90" s="15" t="s">
        <v>12380</v>
      </c>
      <c r="C90" s="177" t="s">
        <v>12399</v>
      </c>
      <c r="D90" s="173" t="n">
        <v>96000</v>
      </c>
      <c r="E90" s="160" t="n">
        <f aca="false">IFERROR(D90/SUM($D$83:$D$96),0)</f>
        <v>0.13953488372093</v>
      </c>
      <c r="F90" s="159" t="n">
        <f aca="false">IF(OR(B90="INTERNAL FAILURE",B90="EXTERNAL FAILURE"),D90,0)</f>
        <v>96000</v>
      </c>
    </row>
    <row r="91" customFormat="false" ht="16.5" hidden="false" customHeight="true" outlineLevel="0" collapsed="false">
      <c r="B91" s="15" t="s">
        <v>12380</v>
      </c>
      <c r="C91" s="177" t="s">
        <v>12400</v>
      </c>
      <c r="D91" s="173" t="n">
        <v>34000</v>
      </c>
      <c r="E91" s="160" t="n">
        <f aca="false">IFERROR(D91/SUM($D$83:$D$96),0)</f>
        <v>0.0494186046511628</v>
      </c>
      <c r="F91" s="159" t="n">
        <f aca="false">IF(OR(B91="INTERNAL FAILURE",B91="EXTERNAL FAILURE"),D91,0)</f>
        <v>34000</v>
      </c>
    </row>
    <row r="92" customFormat="false" ht="16.5" hidden="false" customHeight="true" outlineLevel="0" collapsed="false">
      <c r="B92" s="15" t="s">
        <v>12380</v>
      </c>
      <c r="C92" s="177" t="s">
        <v>12401</v>
      </c>
      <c r="D92" s="173" t="n">
        <v>88000</v>
      </c>
      <c r="E92" s="160" t="n">
        <f aca="false">IFERROR(D92/SUM($D$83:$D$96),0)</f>
        <v>0.127906976744186</v>
      </c>
      <c r="F92" s="159" t="n">
        <f aca="false">IF(OR(B92="INTERNAL FAILURE",B92="EXTERNAL FAILURE"),D92,0)</f>
        <v>88000</v>
      </c>
    </row>
    <row r="93" customFormat="false" ht="16.5" hidden="false" customHeight="true" outlineLevel="0" collapsed="false">
      <c r="B93" s="15" t="s">
        <v>12380</v>
      </c>
      <c r="C93" s="177" t="s">
        <v>12402</v>
      </c>
      <c r="D93" s="173" t="n">
        <v>22000</v>
      </c>
      <c r="E93" s="160" t="n">
        <f aca="false">IFERROR(D93/SUM($D$83:$D$96),0)</f>
        <v>0.0319767441860465</v>
      </c>
      <c r="F93" s="159" t="n">
        <f aca="false">IF(OR(B93="INTERNAL FAILURE",B93="EXTERNAL FAILURE"),D93,0)</f>
        <v>22000</v>
      </c>
    </row>
    <row r="94" customFormat="false" ht="16.5" hidden="false" customHeight="true" outlineLevel="0" collapsed="false">
      <c r="B94" s="15" t="s">
        <v>12384</v>
      </c>
      <c r="C94" s="177" t="s">
        <v>12403</v>
      </c>
      <c r="D94" s="173" t="n">
        <v>19000</v>
      </c>
      <c r="E94" s="160" t="n">
        <f aca="false">IFERROR(D94/SUM($D$83:$D$96),0)</f>
        <v>0.0276162790697674</v>
      </c>
      <c r="F94" s="159" t="n">
        <f aca="false">IF(OR(B94="INTERNAL FAILURE",B94="EXTERNAL FAILURE"),D94,0)</f>
        <v>19000</v>
      </c>
    </row>
    <row r="95" customFormat="false" ht="16.5" hidden="false" customHeight="true" outlineLevel="0" collapsed="false">
      <c r="B95" s="15" t="s">
        <v>12384</v>
      </c>
      <c r="C95" s="177" t="s">
        <v>12404</v>
      </c>
      <c r="D95" s="173" t="n">
        <v>46000</v>
      </c>
      <c r="E95" s="160" t="n">
        <f aca="false">IFERROR(D95/SUM($D$83:$D$96),0)</f>
        <v>0.0668604651162791</v>
      </c>
      <c r="F95" s="159" t="n">
        <f aca="false">IF(OR(B95="INTERNAL FAILURE",B95="EXTERNAL FAILURE"),D95,0)</f>
        <v>46000</v>
      </c>
    </row>
    <row r="96" customFormat="false" ht="16.5" hidden="false" customHeight="true" outlineLevel="0" collapsed="false">
      <c r="B96" s="15" t="s">
        <v>12384</v>
      </c>
      <c r="C96" s="177" t="s">
        <v>12405</v>
      </c>
      <c r="D96" s="173" t="n">
        <v>28000</v>
      </c>
      <c r="E96" s="160" t="n">
        <f aca="false">IFERROR(D96/SUM($D$83:$D$96),0)</f>
        <v>0.0406976744186047</v>
      </c>
      <c r="F96" s="159" t="n">
        <f aca="false">IF(OR(B96="INTERNAL FAILURE",B96="EXTERNAL FAILURE"),D96,0)</f>
        <v>28000</v>
      </c>
    </row>
    <row r="98" customFormat="false" ht="15" hidden="false" customHeight="true" outlineLevel="0" collapsed="false">
      <c r="B98" s="105" t="s">
        <v>12406</v>
      </c>
    </row>
    <row r="99" customFormat="false" ht="17.25" hidden="false" customHeight="true" outlineLevel="0" collapsed="false">
      <c r="B99" s="152" t="s">
        <v>12407</v>
      </c>
      <c r="C99" s="152" t="s">
        <v>6654</v>
      </c>
      <c r="D99" s="152" t="s">
        <v>6575</v>
      </c>
      <c r="E99" s="152" t="s">
        <v>6655</v>
      </c>
      <c r="F99" s="152"/>
    </row>
    <row r="100" customFormat="false" ht="17.25" hidden="false" customHeight="true" outlineLevel="0" collapsed="false">
      <c r="B100" s="15" t="s">
        <v>8696</v>
      </c>
      <c r="C100" s="159" t="n">
        <f aca="false">SUMIF($B$83:$B$96,"PREVENTION",$D$83:$D$96)</f>
        <v>94000</v>
      </c>
      <c r="D100" s="15" t="s">
        <v>12408</v>
      </c>
      <c r="E100" s="15"/>
      <c r="F100" s="15"/>
    </row>
    <row r="101" customFormat="false" ht="17.25" hidden="false" customHeight="true" outlineLevel="0" collapsed="false">
      <c r="B101" s="15" t="s">
        <v>12409</v>
      </c>
      <c r="C101" s="159" t="n">
        <f aca="false">SUMIF($B$83:$B$96,"APPRAISAL",$D$83:$D$96)</f>
        <v>83000</v>
      </c>
      <c r="D101" s="15" t="s">
        <v>12408</v>
      </c>
      <c r="E101" s="15"/>
      <c r="F101" s="15"/>
    </row>
    <row r="102" customFormat="false" ht="17.25" hidden="false" customHeight="true" outlineLevel="0" collapsed="false">
      <c r="B102" s="15" t="s">
        <v>12410</v>
      </c>
      <c r="C102" s="159" t="n">
        <f aca="false">SUMIF($B$83:$B$96,"INTERNAL FAILURE",$D$83:$D$96)</f>
        <v>418000</v>
      </c>
      <c r="D102" s="15" t="s">
        <v>12408</v>
      </c>
      <c r="E102" s="15"/>
      <c r="F102" s="15"/>
    </row>
    <row r="103" customFormat="false" ht="17.25" hidden="false" customHeight="true" outlineLevel="0" collapsed="false">
      <c r="B103" s="15" t="s">
        <v>12411</v>
      </c>
      <c r="C103" s="159" t="n">
        <f aca="false">SUMIF($B$83:$B$96,"EXTERNAL FAILURE",$D$83:$D$96)</f>
        <v>93000</v>
      </c>
      <c r="D103" s="15" t="s">
        <v>12408</v>
      </c>
      <c r="E103" s="15"/>
      <c r="F103" s="15"/>
    </row>
    <row r="104" customFormat="false" ht="17.25" hidden="false" customHeight="true" outlineLevel="0" collapsed="false">
      <c r="B104" s="15" t="s">
        <v>12412</v>
      </c>
      <c r="C104" s="159" t="n">
        <f aca="false">SUM(C100:C103)</f>
        <v>688000</v>
      </c>
      <c r="D104" s="15" t="s">
        <v>12408</v>
      </c>
      <c r="E104" s="15" t="s">
        <v>12413</v>
      </c>
      <c r="F104" s="15"/>
    </row>
    <row r="105" customFormat="false" ht="31.5" hidden="false" customHeight="true" outlineLevel="0" collapsed="false">
      <c r="B105" s="15" t="s">
        <v>12414</v>
      </c>
      <c r="C105" s="159" t="n">
        <f aca="false">C102+C103</f>
        <v>511000</v>
      </c>
      <c r="D105" s="15" t="s">
        <v>12408</v>
      </c>
      <c r="E105" s="15" t="s">
        <v>12415</v>
      </c>
      <c r="F105" s="15"/>
    </row>
    <row r="106" customFormat="false" ht="17.25" hidden="false" customHeight="true" outlineLevel="0" collapsed="false">
      <c r="B106" s="15" t="s">
        <v>12416</v>
      </c>
      <c r="C106" s="173" t="n">
        <v>14200000</v>
      </c>
      <c r="D106" s="15" t="s">
        <v>12408</v>
      </c>
      <c r="E106" s="15"/>
      <c r="F106" s="15"/>
    </row>
    <row r="107" customFormat="false" ht="31.5" hidden="false" customHeight="true" outlineLevel="0" collapsed="false">
      <c r="B107" s="15" t="s">
        <v>12417</v>
      </c>
      <c r="C107" s="160" t="n">
        <f aca="false">IFERROR(C104/C106,0)</f>
        <v>0.0484507042253521</v>
      </c>
      <c r="D107" s="15"/>
      <c r="E107" s="15" t="s">
        <v>12418</v>
      </c>
      <c r="F107" s="15"/>
    </row>
    <row r="108" customFormat="false" ht="17.25" hidden="false" customHeight="true" outlineLevel="0" collapsed="false">
      <c r="B108" s="15" t="s">
        <v>12419</v>
      </c>
      <c r="C108" s="160" t="n">
        <f aca="false">IFERROR(C105/C106,0)</f>
        <v>0.0359859154929577</v>
      </c>
      <c r="D108" s="15"/>
      <c r="E108" s="15"/>
      <c r="F108" s="15"/>
    </row>
    <row r="109" customFormat="false" ht="31.5" hidden="false" customHeight="true" outlineLevel="0" collapsed="false">
      <c r="B109" s="15" t="s">
        <v>12420</v>
      </c>
      <c r="C109" s="160" t="n">
        <f aca="false">IFERROR((C100+C101)/C104,0)</f>
        <v>0.257267441860465</v>
      </c>
      <c r="D109" s="15"/>
      <c r="E109" s="15" t="s">
        <v>12421</v>
      </c>
      <c r="F109" s="15"/>
    </row>
    <row r="110" customFormat="false" ht="31.5" hidden="false" customHeight="true" outlineLevel="0" collapsed="false">
      <c r="B110" s="15" t="s">
        <v>12422</v>
      </c>
      <c r="C110" s="158" t="n">
        <f aca="false">IFERROR(C105/C100,0)</f>
        <v>5.43617021276596</v>
      </c>
      <c r="D110" s="15" t="s">
        <v>2337</v>
      </c>
      <c r="E110" s="15" t="s">
        <v>12423</v>
      </c>
      <c r="F110" s="15"/>
    </row>
    <row r="112" customFormat="false" ht="17.25" hidden="false" customHeight="true" outlineLevel="0" collapsed="false">
      <c r="B112" s="107" t="s">
        <v>12424</v>
      </c>
      <c r="C112" s="107"/>
      <c r="D112" s="107"/>
      <c r="E112" s="107"/>
      <c r="F112" s="107"/>
    </row>
    <row r="113" customFormat="false" ht="17.25" hidden="false" customHeight="true" outlineLevel="0" collapsed="false">
      <c r="B113" s="152" t="s">
        <v>8423</v>
      </c>
      <c r="C113" s="152" t="s">
        <v>6654</v>
      </c>
      <c r="D113" s="152" t="s">
        <v>6575</v>
      </c>
      <c r="E113" s="152" t="s">
        <v>6655</v>
      </c>
      <c r="F113" s="152"/>
    </row>
    <row r="114" customFormat="false" ht="17.25" hidden="false" customHeight="true" outlineLevel="0" collapsed="false">
      <c r="B114" s="15" t="s">
        <v>12425</v>
      </c>
      <c r="C114" s="173" t="n">
        <v>178000</v>
      </c>
      <c r="D114" s="15" t="s">
        <v>12408</v>
      </c>
      <c r="E114" s="15" t="s">
        <v>12426</v>
      </c>
      <c r="F114" s="15"/>
    </row>
    <row r="115" customFormat="false" ht="17.25" hidden="false" customHeight="true" outlineLevel="0" collapsed="false">
      <c r="B115" s="15" t="s">
        <v>12427</v>
      </c>
      <c r="C115" s="175" t="n">
        <v>0.72</v>
      </c>
      <c r="D115" s="15"/>
      <c r="E115" s="15" t="s">
        <v>12428</v>
      </c>
      <c r="F115" s="15"/>
    </row>
    <row r="116" customFormat="false" ht="17.25" hidden="false" customHeight="true" outlineLevel="0" collapsed="false">
      <c r="B116" s="15" t="s">
        <v>12429</v>
      </c>
      <c r="C116" s="159" t="n">
        <f aca="false">C114*C115</f>
        <v>128160</v>
      </c>
      <c r="D116" s="15" t="s">
        <v>12408</v>
      </c>
      <c r="E116" s="15"/>
      <c r="F116" s="15"/>
    </row>
    <row r="117" customFormat="false" ht="17.25" hidden="false" customHeight="true" outlineLevel="0" collapsed="false">
      <c r="B117" s="15" t="s">
        <v>12430</v>
      </c>
      <c r="C117" s="173" t="n">
        <v>24000</v>
      </c>
      <c r="D117" s="15" t="s">
        <v>7171</v>
      </c>
      <c r="E117" s="15" t="s">
        <v>12431</v>
      </c>
      <c r="F117" s="15"/>
    </row>
    <row r="118" customFormat="false" ht="17.25" hidden="false" customHeight="true" outlineLevel="0" collapsed="false">
      <c r="B118" s="15" t="s">
        <v>12432</v>
      </c>
      <c r="C118" s="173" t="n">
        <v>6000</v>
      </c>
      <c r="D118" s="15" t="s">
        <v>12408</v>
      </c>
      <c r="E118" s="15" t="s">
        <v>12433</v>
      </c>
      <c r="F118" s="15"/>
    </row>
    <row r="119" customFormat="false" ht="17.25" hidden="false" customHeight="true" outlineLevel="0" collapsed="false">
      <c r="B119" s="15" t="s">
        <v>12434</v>
      </c>
      <c r="C119" s="159" t="n">
        <f aca="false">C116-C118</f>
        <v>122160</v>
      </c>
      <c r="D119" s="15" t="s">
        <v>12408</v>
      </c>
      <c r="E119" s="15" t="s">
        <v>12435</v>
      </c>
      <c r="F119" s="15"/>
    </row>
    <row r="120" customFormat="false" ht="17.25" hidden="false" customHeight="true" outlineLevel="0" collapsed="false">
      <c r="B120" s="15" t="s">
        <v>10045</v>
      </c>
      <c r="C120" s="158" t="n">
        <f aca="false">IFERROR(C117/C119*12,0)</f>
        <v>2.35756385068762</v>
      </c>
      <c r="D120" s="15" t="s">
        <v>10046</v>
      </c>
      <c r="E120" s="15"/>
      <c r="F120" s="15"/>
    </row>
    <row r="121" customFormat="false" ht="17.25" hidden="false" customHeight="true" outlineLevel="0" collapsed="false">
      <c r="B121" s="15" t="s">
        <v>12436</v>
      </c>
      <c r="C121" s="159" t="n">
        <f aca="false">C119*3-C117</f>
        <v>342480</v>
      </c>
      <c r="D121" s="15" t="s">
        <v>7171</v>
      </c>
      <c r="E121" s="15" t="s">
        <v>12437</v>
      </c>
      <c r="F121" s="15"/>
    </row>
    <row r="122" customFormat="false" ht="17.25" hidden="false" customHeight="true" outlineLevel="0" collapsed="false">
      <c r="B122" s="15" t="s">
        <v>12438</v>
      </c>
      <c r="C122" s="175" t="n">
        <v>0.12</v>
      </c>
      <c r="D122" s="15"/>
      <c r="E122" s="15" t="s">
        <v>12439</v>
      </c>
      <c r="F122" s="15"/>
    </row>
    <row r="123" customFormat="false" ht="17.25" hidden="false" customHeight="true" outlineLevel="0" collapsed="false">
      <c r="B123" s="15" t="s">
        <v>12440</v>
      </c>
      <c r="C123" s="159" t="n">
        <f aca="false">IFERROR(-C117+C119/(1+C122)+C119/(1+C122)^2+C119/(1+C122)^3,0)</f>
        <v>269407.707725948</v>
      </c>
      <c r="D123" s="15" t="s">
        <v>7171</v>
      </c>
      <c r="E123" s="15" t="s">
        <v>12441</v>
      </c>
      <c r="F123" s="15"/>
    </row>
    <row r="124" customFormat="false" ht="17.25" hidden="false" customHeight="true" outlineLevel="0" collapsed="false">
      <c r="B124" s="15" t="s">
        <v>10048</v>
      </c>
      <c r="C124" s="177" t="s">
        <v>12442</v>
      </c>
      <c r="D124" s="15"/>
      <c r="E124" s="15" t="s">
        <v>12443</v>
      </c>
      <c r="F124" s="15"/>
    </row>
    <row r="126" customFormat="false" ht="15.75" hidden="false" customHeight="true" outlineLevel="0" collapsed="false">
      <c r="B126" s="103" t="s">
        <v>1493</v>
      </c>
      <c r="C126" s="8"/>
      <c r="D126" s="8"/>
      <c r="E126" s="8"/>
      <c r="F126" s="8"/>
      <c r="G126" s="8"/>
      <c r="H126" s="8"/>
      <c r="I126" s="8"/>
      <c r="J126" s="8"/>
      <c r="K126" s="8"/>
    </row>
    <row r="127" customFormat="false" ht="81" hidden="false" customHeight="true" outlineLevel="0" collapsed="false">
      <c r="B127" s="105" t="s">
        <v>1494</v>
      </c>
      <c r="C127" s="168" t="str">
        <f aca="false">"Total cost of quality is "&amp;TEXT(C104,"#,##0")&amp;" USD/year, "&amp;TEXT(C107,"0.0%")&amp;" of sales, of which "&amp;TEXT(C105,"#,##0")&amp;" USD is pure failure cost ("&amp;TEXT(C108,"0.0%")&amp;" of sales). Prevention and appraisal are "&amp;TEXT(C109,"0.0%")&amp;" of the total, and every USD of prevention spend sits against "&amp;TEXT(C110,"0.0")&amp;" USD of failure. "&amp;IF(C109&lt;0.4,"Below 40% on prevention and appraisal means the plant is paying to find and repair defects rather than to avoid them — the classic signature of an under-invested prevention programme.","The prevention and appraisal share is healthy.")&amp;" The project below returns "&amp;TEXT(C119,"#,##0")&amp;" USD/year net, paying back in "&amp;TEXT(C120,"0.0")&amp;" months with a three-year NPV of "&amp;TEXT(C123,"#,##0")&amp;" USD."</f>
        <v>Total cost of quality is 688,000 USD/year, 4.8% of sales, of which 511,000 USD is pure failure cost (3.6% of sales). Prevention and appraisal are 25.7% of the total, and every USD of prevention spend sits against 5.4 USD of failure. Below 40% on prevention and appraisal means the plant is paying to find and repair defects rather than to avoid them — the classic signature of an under-invested prevention programme. The project below returns 122,160 USD/year net, paying back in 2.4 months with a three-year NPV of 269,408 USD.</v>
      </c>
      <c r="D127" s="168"/>
      <c r="E127" s="168"/>
      <c r="F127" s="168"/>
    </row>
    <row r="129" customFormat="false" ht="17.25" hidden="false" customHeight="true" outlineLevel="0" collapsed="false">
      <c r="B129" s="152" t="s">
        <v>1495</v>
      </c>
      <c r="C129" s="152" t="s">
        <v>1496</v>
      </c>
      <c r="D129" s="152" t="s">
        <v>1497</v>
      </c>
      <c r="E129" s="152"/>
    </row>
    <row r="130" customFormat="false" ht="30.75" hidden="false" customHeight="true" outlineLevel="0" collapsed="false">
      <c r="B130" s="15" t="s">
        <v>12419</v>
      </c>
      <c r="C130" s="15" t="s">
        <v>12444</v>
      </c>
      <c r="D130" s="15" t="s">
        <v>12445</v>
      </c>
      <c r="E130" s="15"/>
    </row>
    <row r="131" customFormat="false" ht="31.5" hidden="false" customHeight="true" outlineLevel="0" collapsed="false">
      <c r="B131" s="15" t="s">
        <v>12446</v>
      </c>
      <c r="C131" s="15" t="s">
        <v>12447</v>
      </c>
      <c r="D131" s="15" t="s">
        <v>12448</v>
      </c>
      <c r="E131" s="15"/>
    </row>
    <row r="132" customFormat="false" ht="31.5" hidden="false" customHeight="true" outlineLevel="0" collapsed="false">
      <c r="B132" s="15" t="s">
        <v>12449</v>
      </c>
      <c r="C132" s="15" t="s">
        <v>12450</v>
      </c>
      <c r="D132" s="15" t="s">
        <v>12451</v>
      </c>
      <c r="E132" s="15"/>
    </row>
    <row r="133" customFormat="false" ht="31.5" hidden="false" customHeight="true" outlineLevel="0" collapsed="false">
      <c r="B133" s="15" t="s">
        <v>10089</v>
      </c>
      <c r="C133" s="15" t="s">
        <v>12452</v>
      </c>
      <c r="D133" s="15" t="s">
        <v>10091</v>
      </c>
      <c r="E133" s="15"/>
    </row>
    <row r="134" customFormat="false" ht="31.5" hidden="false" customHeight="true" outlineLevel="0" collapsed="false">
      <c r="B134" s="15" t="s">
        <v>12453</v>
      </c>
      <c r="C134" s="15" t="s">
        <v>12454</v>
      </c>
      <c r="D134" s="15" t="s">
        <v>12455</v>
      </c>
      <c r="E134" s="15"/>
    </row>
    <row r="136" customFormat="false" ht="15" hidden="false" customHeight="true" outlineLevel="0" collapsed="false">
      <c r="B136" s="105" t="s">
        <v>1507</v>
      </c>
    </row>
    <row r="137" customFormat="false" ht="17.25" hidden="false" customHeight="true" outlineLevel="0" collapsed="false">
      <c r="B137" s="106" t="s">
        <v>12456</v>
      </c>
      <c r="C137" s="106"/>
      <c r="D137" s="106"/>
      <c r="E137" s="106"/>
      <c r="F137" s="106"/>
    </row>
    <row r="138" customFormat="false" ht="17.25" hidden="false" customHeight="true" outlineLevel="0" collapsed="false">
      <c r="B138" s="106" t="s">
        <v>12457</v>
      </c>
      <c r="C138" s="106"/>
      <c r="D138" s="106"/>
      <c r="E138" s="106"/>
      <c r="F138" s="106"/>
    </row>
    <row r="139" customFormat="false" ht="17.25" hidden="false" customHeight="true" outlineLevel="0" collapsed="false">
      <c r="B139" s="106" t="s">
        <v>12458</v>
      </c>
      <c r="C139" s="106"/>
      <c r="D139" s="106"/>
      <c r="E139" s="106"/>
      <c r="F139" s="106"/>
    </row>
    <row r="140" customFormat="false" ht="17.25" hidden="false" customHeight="true" outlineLevel="0" collapsed="false">
      <c r="B140" s="106" t="s">
        <v>12459</v>
      </c>
      <c r="C140" s="106"/>
      <c r="D140" s="106"/>
      <c r="E140" s="106"/>
      <c r="F140" s="106"/>
    </row>
    <row r="141" customFormat="false" ht="17.25" hidden="false" customHeight="true" outlineLevel="0" collapsed="false">
      <c r="B141" s="106" t="s">
        <v>12460</v>
      </c>
      <c r="C141" s="106"/>
      <c r="D141" s="106"/>
      <c r="E141" s="106"/>
      <c r="F141" s="106"/>
    </row>
    <row r="142" customFormat="false" ht="17.25" hidden="false" customHeight="true" outlineLevel="0" collapsed="false">
      <c r="B142" s="106" t="s">
        <v>12461</v>
      </c>
      <c r="C142" s="106"/>
      <c r="D142" s="106"/>
      <c r="E142" s="106"/>
      <c r="F142" s="106"/>
    </row>
    <row r="144" customFormat="false" ht="15.75" hidden="false" customHeight="true" outlineLevel="0" collapsed="false">
      <c r="B144" s="103" t="s">
        <v>1513</v>
      </c>
      <c r="C144" s="8"/>
      <c r="D144" s="8"/>
      <c r="E144" s="8"/>
      <c r="F144" s="8"/>
      <c r="G144" s="8"/>
      <c r="H144" s="8"/>
      <c r="I144" s="8"/>
      <c r="J144" s="8"/>
      <c r="K144" s="8"/>
    </row>
    <row r="145" customFormat="false" ht="17.25" hidden="false" customHeight="true" outlineLevel="0" collapsed="false">
      <c r="B145" s="106" t="s">
        <v>6712</v>
      </c>
      <c r="C145" s="106"/>
      <c r="D145" s="106"/>
      <c r="N145" s="169" t="s">
        <v>1515</v>
      </c>
    </row>
    <row r="146" customFormat="false" ht="44.25" hidden="false" customHeight="true" outlineLevel="0" collapsed="false">
      <c r="B146" s="106" t="s">
        <v>12462</v>
      </c>
      <c r="C146" s="106"/>
      <c r="D146" s="106"/>
      <c r="N146" s="120" t="s">
        <v>12463</v>
      </c>
    </row>
    <row r="147" customFormat="false" ht="44.25" hidden="false" customHeight="true" outlineLevel="0" collapsed="false">
      <c r="B147" s="106" t="s">
        <v>12464</v>
      </c>
      <c r="C147" s="106"/>
      <c r="D147" s="106"/>
      <c r="N147" s="120" t="s">
        <v>12465</v>
      </c>
    </row>
    <row r="148" customFormat="false" ht="44.25" hidden="false" customHeight="true" outlineLevel="0" collapsed="false">
      <c r="B148" s="106" t="s">
        <v>12466</v>
      </c>
      <c r="C148" s="106"/>
      <c r="D148" s="106"/>
      <c r="N148" s="120" t="s">
        <v>12467</v>
      </c>
    </row>
    <row r="150" customFormat="false" ht="15.75" hidden="false" customHeight="true" outlineLevel="0" collapsed="false">
      <c r="B150" s="103" t="s">
        <v>1522</v>
      </c>
      <c r="C150" s="8"/>
      <c r="D150" s="8"/>
      <c r="E150" s="8"/>
      <c r="F150" s="8"/>
      <c r="G150" s="8"/>
      <c r="H150" s="8"/>
      <c r="I150" s="8"/>
      <c r="J150" s="8"/>
      <c r="K150" s="8"/>
    </row>
    <row r="151" customFormat="false" ht="30.75" hidden="false" customHeight="true" outlineLevel="0" collapsed="false">
      <c r="B151" s="152" t="s">
        <v>1523</v>
      </c>
      <c r="C151" s="152" t="s">
        <v>1524</v>
      </c>
      <c r="D151" s="152" t="s">
        <v>6719</v>
      </c>
    </row>
    <row r="152" customFormat="false" ht="30.75" hidden="false" customHeight="true" outlineLevel="0" collapsed="false">
      <c r="B152" s="170" t="s">
        <v>12468</v>
      </c>
      <c r="C152" s="170" t="s">
        <v>1250</v>
      </c>
      <c r="D152" s="170" t="s">
        <v>8365</v>
      </c>
    </row>
  </sheetData>
  <mergeCells count="80">
    <mergeCell ref="B2:J2"/>
    <mergeCell ref="D3:F3"/>
    <mergeCell ref="C6:D6"/>
    <mergeCell ref="C7:D7"/>
    <mergeCell ref="C8:D8"/>
    <mergeCell ref="B11:F14"/>
    <mergeCell ref="B15:F17"/>
    <mergeCell ref="B18:F21"/>
    <mergeCell ref="B22:F23"/>
    <mergeCell ref="B24:F25"/>
    <mergeCell ref="B26:F26"/>
    <mergeCell ref="B29:C29"/>
    <mergeCell ref="E29:F29"/>
    <mergeCell ref="B30:C30"/>
    <mergeCell ref="E30:F30"/>
    <mergeCell ref="B31:C31"/>
    <mergeCell ref="E31:F31"/>
    <mergeCell ref="B32:C32"/>
    <mergeCell ref="E32:F32"/>
    <mergeCell ref="B33:F33"/>
    <mergeCell ref="B43:F44"/>
    <mergeCell ref="B45:F46"/>
    <mergeCell ref="B48:F49"/>
    <mergeCell ref="B52:F54"/>
    <mergeCell ref="B57:F59"/>
    <mergeCell ref="D62:E62"/>
    <mergeCell ref="D63:E63"/>
    <mergeCell ref="D64:E64"/>
    <mergeCell ref="D65:E65"/>
    <mergeCell ref="D66:E66"/>
    <mergeCell ref="B69:F71"/>
    <mergeCell ref="B74:F74"/>
    <mergeCell ref="E75:F75"/>
    <mergeCell ref="E76:F76"/>
    <mergeCell ref="E77:F77"/>
    <mergeCell ref="E78:F78"/>
    <mergeCell ref="E79:F79"/>
    <mergeCell ref="B81:F81"/>
    <mergeCell ref="E99:F99"/>
    <mergeCell ref="E100:F100"/>
    <mergeCell ref="E101:F101"/>
    <mergeCell ref="E102:F102"/>
    <mergeCell ref="E103:F103"/>
    <mergeCell ref="E104:F104"/>
    <mergeCell ref="E105:F105"/>
    <mergeCell ref="E106:F106"/>
    <mergeCell ref="E107:F107"/>
    <mergeCell ref="E108:F108"/>
    <mergeCell ref="E109:F109"/>
    <mergeCell ref="E110:F110"/>
    <mergeCell ref="B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C127:F127"/>
    <mergeCell ref="D129:E129"/>
    <mergeCell ref="D130:E130"/>
    <mergeCell ref="D131:E131"/>
    <mergeCell ref="D132:E132"/>
    <mergeCell ref="D133:E133"/>
    <mergeCell ref="D134:E134"/>
    <mergeCell ref="B137:F137"/>
    <mergeCell ref="B138:F138"/>
    <mergeCell ref="B139:F139"/>
    <mergeCell ref="B140:F140"/>
    <mergeCell ref="B141:F141"/>
    <mergeCell ref="B142:F142"/>
    <mergeCell ref="B145:D145"/>
    <mergeCell ref="B146:D146"/>
    <mergeCell ref="B147:D147"/>
    <mergeCell ref="B148:D148"/>
  </mergeCells>
  <hyperlinks>
    <hyperlink ref="B3" location="'N-03 Index DMAIC'!A1" display="← Back to Index"/>
    <hyperlink ref="E36" location="'G-09 Benefit Validation'!A1" display="G-09  Benefit Validation"/>
    <hyperlink ref="E37" location="'L-11 OEE'!A1" display="L-11  Overall Equipment Effectiveness"/>
    <hyperlink ref="E38" location="'H-05 Check Sheets'!A1" display="H-05  Check Sheets"/>
    <hyperlink ref="E39" location="'H-01 Project Charter'!A1" display="H-01  Project Charter"/>
    <hyperlink ref="B152" location="'G-01 Project Selection'!A1" display="G-01  Project Selection"/>
    <hyperlink ref="C152" location="'H-01 Project Charter'!A1" display="H-01  Project Charter"/>
    <hyperlink ref="D152" location="'G-09 Benefit Validation'!A1" display="G-09  Benefit Valid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N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26"/>
    <col collapsed="false" customWidth="true" hidden="false" outlineLevel="0" max="6" min="5" style="1" width="12"/>
    <col collapsed="false" customWidth="true" hidden="false" outlineLevel="0" max="7" min="7" style="1" width="16"/>
    <col collapsed="false" customWidth="true" hidden="false" outlineLevel="0" max="8" min="8" style="1" width="17"/>
    <col collapsed="false" customWidth="true" hidden="false" outlineLevel="0" max="9" min="9" style="1" width="44"/>
    <col collapsed="false" customWidth="true" hidden="false" outlineLevel="0" max="10" min="10" style="1" width="14"/>
    <col collapsed="false" customWidth="true" hidden="false" outlineLevel="0" max="11" min="11" style="1" width="20"/>
    <col collapsed="false" customWidth="true" hidden="false" outlineLevel="0" max="12" min="12" style="1" width="13"/>
    <col collapsed="false" customWidth="true" hidden="false" outlineLevel="0" max="13" min="13" style="1" width="30"/>
    <col collapsed="false" customWidth="true" hidden="false" outlineLevel="0" max="14" min="14" style="1" width="95"/>
  </cols>
  <sheetData>
    <row r="1" customFormat="false" ht="15" hidden="false" customHeight="true" outlineLevel="0" collapsed="false">
      <c r="A1" s="147" t="s">
        <v>0</v>
      </c>
    </row>
    <row r="2" customFormat="false" ht="22.5" hidden="false" customHeight="true" outlineLevel="0" collapsed="false">
      <c r="B2" s="148" t="s">
        <v>12469</v>
      </c>
      <c r="C2" s="148"/>
      <c r="D2" s="148"/>
      <c r="E2" s="148"/>
      <c r="F2" s="148"/>
      <c r="G2" s="148"/>
      <c r="H2" s="148"/>
      <c r="I2" s="148"/>
      <c r="J2" s="148"/>
      <c r="K2" s="195" t="s">
        <v>9949</v>
      </c>
    </row>
    <row r="3" customFormat="false" ht="42" hidden="false" customHeight="true" outlineLevel="0" collapsed="false">
      <c r="B3" s="150" t="s">
        <v>3</v>
      </c>
      <c r="D3" s="151" t="s">
        <v>12470</v>
      </c>
      <c r="E3" s="151"/>
      <c r="F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12471</v>
      </c>
      <c r="D6" s="106"/>
    </row>
    <row r="7" customFormat="false" ht="31.5" hidden="false" customHeight="true" outlineLevel="0" collapsed="false">
      <c r="B7" s="105" t="s">
        <v>1394</v>
      </c>
      <c r="C7" s="106" t="s">
        <v>12472</v>
      </c>
      <c r="D7" s="106"/>
    </row>
    <row r="8" customFormat="false" ht="31.5" hidden="false" customHeight="true" outlineLevel="0" collapsed="false">
      <c r="B8" s="105" t="s">
        <v>1396</v>
      </c>
      <c r="C8" s="106" t="s">
        <v>12473</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12474</v>
      </c>
      <c r="C11" s="106"/>
      <c r="D11" s="106"/>
      <c r="E11" s="106"/>
      <c r="F11" s="106"/>
    </row>
    <row r="12" customFormat="false" ht="10.5" hidden="false" customHeight="true" outlineLevel="0" collapsed="false">
      <c r="B12" s="106"/>
      <c r="C12" s="106"/>
      <c r="D12" s="106"/>
      <c r="E12" s="106"/>
      <c r="F12" s="106"/>
    </row>
    <row r="13" customFormat="false" ht="10.5" hidden="false" customHeight="true" outlineLevel="0" collapsed="false">
      <c r="B13" s="106"/>
      <c r="C13" s="106"/>
      <c r="D13" s="106"/>
      <c r="E13" s="106"/>
      <c r="F13" s="106"/>
    </row>
    <row r="14" customFormat="false" ht="11.25" hidden="false" customHeight="true" outlineLevel="0" collapsed="false">
      <c r="B14" s="106" t="s">
        <v>12475</v>
      </c>
      <c r="C14" s="106"/>
      <c r="D14" s="106"/>
      <c r="E14" s="106"/>
      <c r="F14" s="106"/>
    </row>
    <row r="15" customFormat="false" ht="11.25" hidden="false" customHeight="true" outlineLevel="0" collapsed="false">
      <c r="B15" s="106"/>
      <c r="C15" s="106"/>
      <c r="D15" s="106"/>
      <c r="E15" s="106"/>
      <c r="F15" s="106"/>
    </row>
    <row r="16" customFormat="false" ht="11.25" hidden="false" customHeight="true" outlineLevel="0" collapsed="false">
      <c r="B16" s="106"/>
      <c r="C16" s="106"/>
      <c r="D16" s="106"/>
      <c r="E16" s="106"/>
      <c r="F16" s="106"/>
    </row>
    <row r="17" customFormat="false" ht="11.25" hidden="false" customHeight="true" outlineLevel="0" collapsed="false">
      <c r="B17" s="106"/>
      <c r="C17" s="106"/>
      <c r="D17" s="106"/>
      <c r="E17" s="106"/>
      <c r="F17" s="106"/>
    </row>
    <row r="18" customFormat="false" ht="11.25" hidden="false" customHeight="true" outlineLevel="0" collapsed="false">
      <c r="B18" s="106" t="s">
        <v>12476</v>
      </c>
      <c r="C18" s="106"/>
      <c r="D18" s="106"/>
      <c r="E18" s="106"/>
      <c r="F18" s="106"/>
    </row>
    <row r="19" customFormat="false" ht="11.25" hidden="false" customHeight="true" outlineLevel="0" collapsed="false">
      <c r="B19" s="106"/>
      <c r="C19" s="106"/>
      <c r="D19" s="106"/>
      <c r="E19" s="106"/>
      <c r="F19" s="106"/>
    </row>
    <row r="20" customFormat="false" ht="11.25" hidden="false" customHeight="true" outlineLevel="0" collapsed="false">
      <c r="B20" s="106"/>
      <c r="C20" s="106"/>
      <c r="D20" s="106"/>
      <c r="E20" s="106"/>
      <c r="F20" s="106"/>
    </row>
    <row r="21" customFormat="false" ht="11.25" hidden="false" customHeight="true" outlineLevel="0" collapsed="false">
      <c r="B21" s="106"/>
      <c r="C21" s="106"/>
      <c r="D21" s="106"/>
      <c r="E21" s="106"/>
      <c r="F21" s="106"/>
    </row>
    <row r="22" customFormat="false" ht="15.75" hidden="false" customHeight="true" outlineLevel="0" collapsed="false">
      <c r="B22" s="106" t="s">
        <v>12477</v>
      </c>
      <c r="C22" s="106"/>
      <c r="D22" s="106"/>
      <c r="E22" s="106"/>
      <c r="F22" s="106"/>
    </row>
    <row r="23" customFormat="false" ht="15.75" hidden="false" customHeight="true" outlineLevel="0" collapsed="false">
      <c r="B23" s="106"/>
      <c r="C23" s="106"/>
      <c r="D23" s="106"/>
      <c r="E23" s="106"/>
      <c r="F23" s="106"/>
    </row>
    <row r="24" customFormat="false" ht="10.5" hidden="false" customHeight="true" outlineLevel="0" collapsed="false">
      <c r="B24" s="106" t="s">
        <v>12478</v>
      </c>
      <c r="C24" s="106"/>
      <c r="D24" s="106"/>
      <c r="E24" s="106"/>
      <c r="F24" s="106"/>
    </row>
    <row r="25" customFormat="false" ht="10.5" hidden="false" customHeight="true" outlineLevel="0" collapsed="false">
      <c r="B25" s="106"/>
      <c r="C25" s="106"/>
      <c r="D25" s="106"/>
      <c r="E25" s="106"/>
      <c r="F25" s="106"/>
    </row>
    <row r="26" customFormat="false" ht="10.5" hidden="false" customHeight="true" outlineLevel="0" collapsed="false">
      <c r="B26" s="106"/>
      <c r="C26" s="106"/>
      <c r="D26" s="106"/>
      <c r="E26" s="106"/>
      <c r="F26" s="106"/>
    </row>
    <row r="27" customFormat="false" ht="17.25" hidden="false" customHeight="true" outlineLevel="0" collapsed="false">
      <c r="B27" s="106" t="s">
        <v>12479</v>
      </c>
      <c r="C27" s="106"/>
      <c r="D27" s="106"/>
      <c r="E27" s="106"/>
      <c r="F27" s="106"/>
    </row>
    <row r="28" customFormat="false" ht="8.25" hidden="false" customHeight="true" outlineLevel="0" collapsed="false">
      <c r="B28" s="106" t="s">
        <v>12480</v>
      </c>
      <c r="C28" s="106"/>
      <c r="D28" s="106"/>
      <c r="E28" s="106"/>
      <c r="F28" s="106"/>
    </row>
    <row r="29" customFormat="false" ht="8.25" hidden="false" customHeight="true" outlineLevel="0" collapsed="false">
      <c r="B29" s="106"/>
      <c r="C29" s="106"/>
      <c r="D29" s="106"/>
      <c r="E29" s="106"/>
      <c r="F29" s="106"/>
    </row>
    <row r="31" customFormat="false" ht="15.75" hidden="false" customHeight="true" outlineLevel="0" collapsed="false">
      <c r="B31" s="103" t="s">
        <v>1406</v>
      </c>
      <c r="C31" s="8"/>
      <c r="D31" s="8"/>
      <c r="E31" s="8"/>
      <c r="F31" s="8"/>
      <c r="G31" s="8"/>
      <c r="H31" s="8"/>
      <c r="I31" s="8"/>
      <c r="J31" s="8"/>
      <c r="K31" s="8"/>
    </row>
    <row r="32" customFormat="false" ht="17.25" hidden="false" customHeight="true" outlineLevel="0" collapsed="false">
      <c r="B32" s="107" t="s">
        <v>1407</v>
      </c>
      <c r="C32" s="107"/>
      <c r="D32" s="107"/>
      <c r="E32" s="107" t="s">
        <v>1408</v>
      </c>
      <c r="F32" s="107"/>
    </row>
    <row r="33" customFormat="false" ht="31.5" hidden="false" customHeight="true" outlineLevel="0" collapsed="false">
      <c r="B33" s="106" t="s">
        <v>12481</v>
      </c>
      <c r="C33" s="106"/>
      <c r="D33" s="106"/>
      <c r="E33" s="106" t="s">
        <v>12482</v>
      </c>
      <c r="F33" s="106"/>
    </row>
    <row r="34" customFormat="false" ht="45.75" hidden="false" customHeight="true" outlineLevel="0" collapsed="false">
      <c r="B34" s="106" t="s">
        <v>12483</v>
      </c>
      <c r="C34" s="106"/>
      <c r="D34" s="106"/>
      <c r="E34" s="106" t="s">
        <v>12484</v>
      </c>
      <c r="F34" s="106"/>
    </row>
    <row r="35" customFormat="false" ht="17.25" hidden="false" customHeight="true" outlineLevel="0" collapsed="false">
      <c r="B35" s="106" t="s">
        <v>12485</v>
      </c>
      <c r="C35" s="106"/>
      <c r="D35" s="106"/>
      <c r="E35" s="106" t="s">
        <v>12486</v>
      </c>
      <c r="F35" s="106"/>
    </row>
    <row r="36" customFormat="false" ht="17.25" hidden="false" customHeight="true" outlineLevel="0" collapsed="false">
      <c r="B36" s="106" t="s">
        <v>12487</v>
      </c>
      <c r="C36" s="106"/>
      <c r="D36" s="106"/>
      <c r="E36" s="106"/>
      <c r="F36" s="106"/>
    </row>
    <row r="38" customFormat="false" ht="17.25" hidden="false" customHeight="true" outlineLevel="0" collapsed="false">
      <c r="B38" s="152" t="s">
        <v>6621</v>
      </c>
      <c r="C38" s="152" t="s">
        <v>1417</v>
      </c>
      <c r="D38" s="152" t="s">
        <v>1418</v>
      </c>
      <c r="E38" s="152" t="s">
        <v>1419</v>
      </c>
      <c r="F38" s="152"/>
    </row>
    <row r="39" customFormat="false" ht="44.25" hidden="false" customHeight="true" outlineLevel="0" collapsed="false">
      <c r="B39" s="15" t="s">
        <v>12488</v>
      </c>
      <c r="C39" s="15" t="s">
        <v>12489</v>
      </c>
      <c r="D39" s="15" t="s">
        <v>12490</v>
      </c>
      <c r="E39" s="153" t="s">
        <v>1113</v>
      </c>
      <c r="F39" s="153"/>
    </row>
    <row r="40" customFormat="false" ht="30.75" hidden="false" customHeight="true" outlineLevel="0" collapsed="false">
      <c r="B40" s="15" t="s">
        <v>12491</v>
      </c>
      <c r="C40" s="15" t="s">
        <v>12492</v>
      </c>
      <c r="D40" s="15" t="s">
        <v>12493</v>
      </c>
      <c r="E40" s="153" t="s">
        <v>12494</v>
      </c>
      <c r="F40" s="153"/>
    </row>
    <row r="41" customFormat="false" ht="44.25" hidden="false" customHeight="true" outlineLevel="0" collapsed="false">
      <c r="B41" s="15" t="s">
        <v>12495</v>
      </c>
      <c r="C41" s="15" t="s">
        <v>12496</v>
      </c>
      <c r="D41" s="15" t="s">
        <v>12497</v>
      </c>
      <c r="E41" s="153" t="s">
        <v>12498</v>
      </c>
      <c r="F41" s="153"/>
    </row>
    <row r="42" customFormat="false" ht="44.25" hidden="false" customHeight="true" outlineLevel="0" collapsed="false">
      <c r="B42" s="15" t="s">
        <v>12499</v>
      </c>
      <c r="C42" s="15" t="s">
        <v>12500</v>
      </c>
      <c r="D42" s="15" t="s">
        <v>12501</v>
      </c>
      <c r="E42" s="153" t="s">
        <v>1250</v>
      </c>
      <c r="F42" s="153"/>
    </row>
    <row r="44" customFormat="false" ht="15.75" hidden="false" customHeight="true" outlineLevel="0" collapsed="false">
      <c r="B44" s="103" t="s">
        <v>1429</v>
      </c>
      <c r="C44" s="8"/>
      <c r="D44" s="8"/>
      <c r="E44" s="8"/>
      <c r="F44" s="8"/>
      <c r="G44" s="8"/>
      <c r="H44" s="8"/>
      <c r="I44" s="8"/>
      <c r="J44" s="8"/>
      <c r="K44" s="8"/>
    </row>
    <row r="45" customFormat="false" ht="17.25" hidden="false" customHeight="true" outlineLevel="0" collapsed="false">
      <c r="B45" s="106" t="s">
        <v>12502</v>
      </c>
      <c r="C45" s="106"/>
      <c r="D45" s="106"/>
      <c r="E45" s="106"/>
      <c r="F45" s="106"/>
    </row>
    <row r="46" customFormat="false" ht="15" hidden="false" customHeight="true" outlineLevel="0" collapsed="false">
      <c r="B46" s="122"/>
    </row>
    <row r="47" customFormat="false" ht="16.5" hidden="false" customHeight="true" outlineLevel="0" collapsed="false">
      <c r="B47" s="122" t="s">
        <v>12503</v>
      </c>
    </row>
    <row r="48" customFormat="false" ht="11.25" hidden="false" customHeight="true" outlineLevel="0" collapsed="false">
      <c r="B48" s="106" t="s">
        <v>12504</v>
      </c>
      <c r="C48" s="106"/>
      <c r="D48" s="106"/>
      <c r="E48" s="106"/>
      <c r="F48" s="106"/>
    </row>
    <row r="49" customFormat="false" ht="11.25" hidden="false" customHeight="true" outlineLevel="0" collapsed="false">
      <c r="B49" s="106"/>
      <c r="C49" s="106"/>
      <c r="D49" s="106"/>
      <c r="E49" s="106"/>
      <c r="F49" s="106"/>
    </row>
    <row r="50" customFormat="false" ht="11.25" hidden="false" customHeight="true" outlineLevel="0" collapsed="false">
      <c r="B50" s="106"/>
      <c r="C50" s="106"/>
      <c r="D50" s="106"/>
      <c r="E50" s="106"/>
      <c r="F50" s="106"/>
    </row>
    <row r="51" customFormat="false" ht="11.25" hidden="false" customHeight="true" outlineLevel="0" collapsed="false">
      <c r="B51" s="106"/>
      <c r="C51" s="106"/>
      <c r="D51" s="106"/>
      <c r="E51" s="106"/>
      <c r="F51" s="106"/>
    </row>
    <row r="52" customFormat="false" ht="15" hidden="false" customHeight="true" outlineLevel="0" collapsed="false">
      <c r="B52" s="122"/>
    </row>
    <row r="53" customFormat="false" ht="7.5" hidden="false" customHeight="true" outlineLevel="0" collapsed="false">
      <c r="B53" s="106" t="s">
        <v>12505</v>
      </c>
      <c r="C53" s="106"/>
      <c r="D53" s="106"/>
      <c r="E53" s="106"/>
      <c r="F53" s="106"/>
    </row>
    <row r="54" customFormat="false" ht="7.5" hidden="false" customHeight="true" outlineLevel="0" collapsed="false">
      <c r="B54" s="106"/>
      <c r="C54" s="106"/>
      <c r="D54" s="106"/>
      <c r="E54" s="106"/>
      <c r="F54" s="106"/>
    </row>
    <row r="55" customFormat="false" ht="7.5" hidden="false" customHeight="true" outlineLevel="0" collapsed="false">
      <c r="B55" s="106"/>
      <c r="C55" s="106"/>
      <c r="D55" s="106"/>
      <c r="E55" s="106"/>
      <c r="F55" s="106"/>
    </row>
    <row r="56" customFormat="false" ht="7.5" hidden="false" customHeight="true" outlineLevel="0" collapsed="false">
      <c r="B56" s="106"/>
      <c r="C56" s="106"/>
      <c r="D56" s="106"/>
      <c r="E56" s="106"/>
      <c r="F56" s="106"/>
    </row>
    <row r="57" customFormat="false" ht="17.25" hidden="false" customHeight="true" outlineLevel="0" collapsed="false">
      <c r="B57" s="106" t="s">
        <v>12506</v>
      </c>
      <c r="C57" s="106"/>
      <c r="D57" s="106"/>
      <c r="E57" s="106"/>
      <c r="F57" s="106"/>
    </row>
    <row r="58" customFormat="false" ht="15" hidden="false" customHeight="true" outlineLevel="0" collapsed="false">
      <c r="B58" s="122"/>
    </row>
    <row r="59" customFormat="false" ht="17.25" hidden="false" customHeight="true" outlineLevel="0" collapsed="false">
      <c r="B59" s="106" t="s">
        <v>12507</v>
      </c>
      <c r="C59" s="106"/>
      <c r="D59" s="106"/>
      <c r="E59" s="106"/>
      <c r="F59" s="106"/>
    </row>
    <row r="61" customFormat="false" ht="15.75" hidden="false" customHeight="true" outlineLevel="0" collapsed="false">
      <c r="B61" s="103" t="s">
        <v>1437</v>
      </c>
      <c r="C61" s="8"/>
      <c r="D61" s="8"/>
      <c r="E61" s="8"/>
      <c r="F61" s="8"/>
      <c r="G61" s="8"/>
      <c r="H61" s="8"/>
      <c r="I61" s="8"/>
      <c r="J61" s="8"/>
      <c r="K61" s="8"/>
    </row>
    <row r="62" customFormat="false" ht="17.25" hidden="false" customHeight="true" outlineLevel="0" collapsed="false">
      <c r="B62" s="152" t="s">
        <v>1438</v>
      </c>
      <c r="C62" s="152" t="s">
        <v>1439</v>
      </c>
      <c r="D62" s="152" t="s">
        <v>1440</v>
      </c>
      <c r="E62" s="152"/>
    </row>
    <row r="63" customFormat="false" ht="30.75" hidden="false" customHeight="true" outlineLevel="0" collapsed="false">
      <c r="B63" s="15" t="s">
        <v>12508</v>
      </c>
      <c r="C63" s="15" t="s">
        <v>12509</v>
      </c>
      <c r="D63" s="15" t="s">
        <v>12510</v>
      </c>
      <c r="E63" s="15"/>
    </row>
    <row r="64" customFormat="false" ht="31.5" hidden="false" customHeight="true" outlineLevel="0" collapsed="false">
      <c r="B64" s="15" t="s">
        <v>12511</v>
      </c>
      <c r="C64" s="15" t="s">
        <v>12512</v>
      </c>
      <c r="D64" s="15" t="s">
        <v>12513</v>
      </c>
      <c r="E64" s="15"/>
    </row>
    <row r="65" customFormat="false" ht="31.5" hidden="false" customHeight="true" outlineLevel="0" collapsed="false">
      <c r="B65" s="15" t="s">
        <v>1668</v>
      </c>
      <c r="C65" s="15" t="s">
        <v>12514</v>
      </c>
      <c r="D65" s="15" t="s">
        <v>12515</v>
      </c>
      <c r="E65" s="15"/>
    </row>
    <row r="66" customFormat="false" ht="30.75" hidden="false" customHeight="true" outlineLevel="0" collapsed="false">
      <c r="B66" s="15" t="s">
        <v>12073</v>
      </c>
      <c r="C66" s="15" t="s">
        <v>12516</v>
      </c>
      <c r="D66" s="15" t="s">
        <v>12517</v>
      </c>
      <c r="E66" s="15"/>
    </row>
    <row r="68" customFormat="false" ht="15.75" hidden="false" customHeight="true" outlineLevel="0" collapsed="false">
      <c r="B68" s="103" t="s">
        <v>1454</v>
      </c>
      <c r="C68" s="8"/>
      <c r="D68" s="8"/>
      <c r="E68" s="8"/>
      <c r="F68" s="8"/>
      <c r="G68" s="8"/>
      <c r="H68" s="8"/>
      <c r="I68" s="8"/>
      <c r="J68" s="8"/>
      <c r="K68" s="8"/>
    </row>
    <row r="69" customFormat="false" ht="15.75" hidden="false" customHeight="true" outlineLevel="0" collapsed="false">
      <c r="B69" s="106" t="s">
        <v>12518</v>
      </c>
      <c r="C69" s="106"/>
      <c r="D69" s="106"/>
      <c r="E69" s="106"/>
      <c r="F69" s="106"/>
    </row>
    <row r="70" customFormat="false" ht="15.75" hidden="false" customHeight="true" outlineLevel="0" collapsed="false">
      <c r="B70" s="106"/>
      <c r="C70" s="106"/>
      <c r="D70" s="106"/>
      <c r="E70" s="106"/>
      <c r="F70" s="106"/>
    </row>
    <row r="71" customFormat="false" ht="15" hidden="false" customHeight="true" outlineLevel="0" collapsed="false">
      <c r="B71" s="112" t="s">
        <v>85</v>
      </c>
      <c r="C71" s="154" t="s">
        <v>86</v>
      </c>
    </row>
    <row r="73" customFormat="false" ht="17.25" hidden="false" customHeight="true" outlineLevel="0" collapsed="false">
      <c r="B73" s="107" t="s">
        <v>12519</v>
      </c>
      <c r="C73" s="107"/>
      <c r="D73" s="107"/>
      <c r="E73" s="107"/>
      <c r="F73" s="107"/>
    </row>
    <row r="74" customFormat="false" ht="17.25" hidden="false" customHeight="true" outlineLevel="0" collapsed="false">
      <c r="B74" s="152" t="s">
        <v>12520</v>
      </c>
      <c r="C74" s="152" t="s">
        <v>12521</v>
      </c>
      <c r="D74" s="152" t="s">
        <v>12522</v>
      </c>
      <c r="E74" s="152" t="s">
        <v>12523</v>
      </c>
      <c r="F74" s="152" t="s">
        <v>12524</v>
      </c>
      <c r="G74" s="152" t="s">
        <v>12525</v>
      </c>
      <c r="H74" s="152" t="s">
        <v>12526</v>
      </c>
      <c r="I74" s="152" t="s">
        <v>12527</v>
      </c>
      <c r="J74" s="152" t="s">
        <v>12528</v>
      </c>
      <c r="K74" s="152" t="s">
        <v>12529</v>
      </c>
      <c r="L74" s="152" t="s">
        <v>12530</v>
      </c>
      <c r="M74" s="152"/>
    </row>
    <row r="75" customFormat="false" ht="44.25" hidden="false" customHeight="true" outlineLevel="0" collapsed="false">
      <c r="B75" s="177" t="s">
        <v>9196</v>
      </c>
      <c r="C75" s="177" t="s">
        <v>9195</v>
      </c>
      <c r="D75" s="155" t="n">
        <v>5</v>
      </c>
      <c r="E75" s="155" t="n">
        <v>5</v>
      </c>
      <c r="F75" s="177" t="s">
        <v>12531</v>
      </c>
      <c r="G75" s="177" t="s">
        <v>12264</v>
      </c>
      <c r="H75" s="177" t="s">
        <v>12532</v>
      </c>
      <c r="I75" s="161" t="n">
        <f aca="false">D75*E75</f>
        <v>25</v>
      </c>
      <c r="J75" s="167" t="str">
        <f aca="false">IF(AND(D75&gt;=4,E75&gt;=4),"MANAGE CLOSELY",IF(AND(D75&gt;=4,E75&lt;4),"KEEP SATISFIED",IF(AND(D75&lt;4,E75&gt;=4),"KEEP INFORMED","MONITOR")))</f>
        <v>MANAGE CLOSELY</v>
      </c>
      <c r="K75" s="188" t="n">
        <f aca="false">(IF(G75="Champion",4,IF(G75="Supportive",3,IF(G75="Neutral",2,1))))-(IF(F75="Champion",4,IF(F75="Supportive",3,IF(F75="Neutral",2,1))))</f>
        <v>1</v>
      </c>
      <c r="L75" s="167" t="str">
        <f aca="false">IF((IF(G75="Champion",4,IF(G75="Supportive",3,IF(G75="Neutral",2,1))))-(IF(F75="Champion",4,IF(F75="Supportive",3,IF(F75="Neutral",2,1))))&gt;=2,"HIGH — active plan needed",IF((IF(G75="Champion",4,IF(G75="Supportive",3,IF(G75="Neutral",2,1))))-(IF(F75="Champion",4,IF(F75="Supportive",3,IF(F75="Neutral",2,1))))=1,"MEDIUM — nudge required","None — already where they need to be"))</f>
        <v>MEDIUM — nudge required</v>
      </c>
      <c r="M75" s="167"/>
    </row>
    <row r="76" customFormat="false" ht="44.25" hidden="false" customHeight="true" outlineLevel="0" collapsed="false">
      <c r="B76" s="177" t="s">
        <v>6925</v>
      </c>
      <c r="C76" s="177" t="s">
        <v>10003</v>
      </c>
      <c r="D76" s="155" t="n">
        <v>5</v>
      </c>
      <c r="E76" s="155" t="n">
        <v>5</v>
      </c>
      <c r="F76" s="177" t="s">
        <v>12531</v>
      </c>
      <c r="G76" s="177" t="s">
        <v>12264</v>
      </c>
      <c r="H76" s="177" t="s">
        <v>12533</v>
      </c>
      <c r="I76" s="161" t="n">
        <f aca="false">D76*E76</f>
        <v>25</v>
      </c>
      <c r="J76" s="167" t="str">
        <f aca="false">IF(AND(D76&gt;=4,E76&gt;=4),"MANAGE CLOSELY",IF(AND(D76&gt;=4,E76&lt;4),"KEEP SATISFIED",IF(AND(D76&lt;4,E76&gt;=4),"KEEP INFORMED","MONITOR")))</f>
        <v>MANAGE CLOSELY</v>
      </c>
      <c r="K76" s="188" t="n">
        <f aca="false">(IF(G76="Champion",4,IF(G76="Supportive",3,IF(G76="Neutral",2,1))))-(IF(F76="Champion",4,IF(F76="Supportive",3,IF(F76="Neutral",2,1))))</f>
        <v>1</v>
      </c>
      <c r="L76" s="167" t="str">
        <f aca="false">IF((IF(G76="Champion",4,IF(G76="Supportive",3,IF(G76="Neutral",2,1))))-(IF(F76="Champion",4,IF(F76="Supportive",3,IF(F76="Neutral",2,1))))&gt;=2,"HIGH — active plan needed",IF((IF(G76="Champion",4,IF(G76="Supportive",3,IF(G76="Neutral",2,1))))-(IF(F76="Champion",4,IF(F76="Supportive",3,IF(F76="Neutral",2,1))))=1,"MEDIUM — nudge required","None — already where they need to be"))</f>
        <v>MEDIUM — nudge required</v>
      </c>
      <c r="M76" s="167"/>
    </row>
    <row r="77" customFormat="false" ht="44.25" hidden="false" customHeight="true" outlineLevel="0" collapsed="false">
      <c r="B77" s="177" t="s">
        <v>12534</v>
      </c>
      <c r="C77" s="177" t="s">
        <v>12535</v>
      </c>
      <c r="D77" s="155" t="n">
        <v>3</v>
      </c>
      <c r="E77" s="155" t="n">
        <v>4</v>
      </c>
      <c r="F77" s="177" t="s">
        <v>12536</v>
      </c>
      <c r="G77" s="177" t="s">
        <v>12531</v>
      </c>
      <c r="H77" s="177" t="s">
        <v>12537</v>
      </c>
      <c r="I77" s="161" t="n">
        <f aca="false">D77*E77</f>
        <v>12</v>
      </c>
      <c r="J77" s="167" t="str">
        <f aca="false">IF(AND(D77&gt;=4,E77&gt;=4),"MANAGE CLOSELY",IF(AND(D77&gt;=4,E77&lt;4),"KEEP SATISFIED",IF(AND(D77&lt;4,E77&gt;=4),"KEEP INFORMED","MONITOR")))</f>
        <v>KEEP INFORMED</v>
      </c>
      <c r="K77" s="188" t="n">
        <f aca="false">(IF(G77="Champion",4,IF(G77="Supportive",3,IF(G77="Neutral",2,1))))-(IF(F77="Champion",4,IF(F77="Supportive",3,IF(F77="Neutral",2,1))))</f>
        <v>1</v>
      </c>
      <c r="L77" s="167" t="str">
        <f aca="false">IF((IF(G77="Champion",4,IF(G77="Supportive",3,IF(G77="Neutral",2,1))))-(IF(F77="Champion",4,IF(F77="Supportive",3,IF(F77="Neutral",2,1))))&gt;=2,"HIGH — active plan needed",IF((IF(G77="Champion",4,IF(G77="Supportive",3,IF(G77="Neutral",2,1))))-(IF(F77="Champion",4,IF(F77="Supportive",3,IF(F77="Neutral",2,1))))=1,"MEDIUM — nudge required","None — already where they need to be"))</f>
        <v>MEDIUM — nudge required</v>
      </c>
      <c r="M77" s="167"/>
    </row>
    <row r="78" customFormat="false" ht="44.25" hidden="false" customHeight="true" outlineLevel="0" collapsed="false">
      <c r="B78" s="177" t="s">
        <v>12538</v>
      </c>
      <c r="C78" s="177" t="s">
        <v>12539</v>
      </c>
      <c r="D78" s="155" t="n">
        <v>2</v>
      </c>
      <c r="E78" s="155" t="n">
        <v>5</v>
      </c>
      <c r="F78" s="177" t="s">
        <v>12540</v>
      </c>
      <c r="G78" s="177" t="s">
        <v>12531</v>
      </c>
      <c r="H78" s="177" t="s">
        <v>12541</v>
      </c>
      <c r="I78" s="161" t="n">
        <f aca="false">D78*E78</f>
        <v>10</v>
      </c>
      <c r="J78" s="167" t="str">
        <f aca="false">IF(AND(D78&gt;=4,E78&gt;=4),"MANAGE CLOSELY",IF(AND(D78&gt;=4,E78&lt;4),"KEEP SATISFIED",IF(AND(D78&lt;4,E78&gt;=4),"KEEP INFORMED","MONITOR")))</f>
        <v>KEEP INFORMED</v>
      </c>
      <c r="K78" s="188" t="n">
        <f aca="false">(IF(G78="Champion",4,IF(G78="Supportive",3,IF(G78="Neutral",2,1))))-(IF(F78="Champion",4,IF(F78="Supportive",3,IF(F78="Neutral",2,1))))</f>
        <v>2</v>
      </c>
      <c r="L78" s="167" t="str">
        <f aca="false">IF((IF(G78="Champion",4,IF(G78="Supportive",3,IF(G78="Neutral",2,1))))-(IF(F78="Champion",4,IF(F78="Supportive",3,IF(F78="Neutral",2,1))))&gt;=2,"HIGH — active plan needed",IF((IF(G78="Champion",4,IF(G78="Supportive",3,IF(G78="Neutral",2,1))))-(IF(F78="Champion",4,IF(F78="Supportive",3,IF(F78="Neutral",2,1))))=1,"MEDIUM — nudge required","None — already where they need to be"))</f>
        <v>HIGH — active plan needed</v>
      </c>
      <c r="M78" s="167"/>
    </row>
    <row r="79" customFormat="false" ht="44.25" hidden="false" customHeight="true" outlineLevel="0" collapsed="false">
      <c r="B79" s="177" t="s">
        <v>12542</v>
      </c>
      <c r="C79" s="177" t="s">
        <v>12543</v>
      </c>
      <c r="D79" s="155" t="n">
        <v>4</v>
      </c>
      <c r="E79" s="155" t="n">
        <v>3</v>
      </c>
      <c r="F79" s="177" t="s">
        <v>12536</v>
      </c>
      <c r="G79" s="177" t="s">
        <v>12531</v>
      </c>
      <c r="H79" s="177" t="s">
        <v>12544</v>
      </c>
      <c r="I79" s="161" t="n">
        <f aca="false">D79*E79</f>
        <v>12</v>
      </c>
      <c r="J79" s="167" t="str">
        <f aca="false">IF(AND(D79&gt;=4,E79&gt;=4),"MANAGE CLOSELY",IF(AND(D79&gt;=4,E79&lt;4),"KEEP SATISFIED",IF(AND(D79&lt;4,E79&gt;=4),"KEEP INFORMED","MONITOR")))</f>
        <v>KEEP SATISFIED</v>
      </c>
      <c r="K79" s="188" t="n">
        <f aca="false">(IF(G79="Champion",4,IF(G79="Supportive",3,IF(G79="Neutral",2,1))))-(IF(F79="Champion",4,IF(F79="Supportive",3,IF(F79="Neutral",2,1))))</f>
        <v>1</v>
      </c>
      <c r="L79" s="167" t="str">
        <f aca="false">IF((IF(G79="Champion",4,IF(G79="Supportive",3,IF(G79="Neutral",2,1))))-(IF(F79="Champion",4,IF(F79="Supportive",3,IF(F79="Neutral",2,1))))&gt;=2,"HIGH — active plan needed",IF((IF(G79="Champion",4,IF(G79="Supportive",3,IF(G79="Neutral",2,1))))-(IF(F79="Champion",4,IF(F79="Supportive",3,IF(F79="Neutral",2,1))))=1,"MEDIUM — nudge required","None — already where they need to be"))</f>
        <v>MEDIUM — nudge required</v>
      </c>
      <c r="M79" s="167"/>
    </row>
    <row r="80" customFormat="false" ht="44.25" hidden="false" customHeight="true" outlineLevel="0" collapsed="false">
      <c r="B80" s="177" t="s">
        <v>12545</v>
      </c>
      <c r="C80" s="177" t="s">
        <v>12546</v>
      </c>
      <c r="D80" s="155" t="n">
        <v>4</v>
      </c>
      <c r="E80" s="155" t="n">
        <v>4</v>
      </c>
      <c r="F80" s="177" t="s">
        <v>12531</v>
      </c>
      <c r="G80" s="177" t="s">
        <v>12531</v>
      </c>
      <c r="H80" s="177" t="s">
        <v>12547</v>
      </c>
      <c r="I80" s="161" t="n">
        <f aca="false">D80*E80</f>
        <v>16</v>
      </c>
      <c r="J80" s="167" t="str">
        <f aca="false">IF(AND(D80&gt;=4,E80&gt;=4),"MANAGE CLOSELY",IF(AND(D80&gt;=4,E80&lt;4),"KEEP SATISFIED",IF(AND(D80&lt;4,E80&gt;=4),"KEEP INFORMED","MONITOR")))</f>
        <v>MANAGE CLOSELY</v>
      </c>
      <c r="K80" s="188" t="n">
        <f aca="false">(IF(G80="Champion",4,IF(G80="Supportive",3,IF(G80="Neutral",2,1))))-(IF(F80="Champion",4,IF(F80="Supportive",3,IF(F80="Neutral",2,1))))</f>
        <v>0</v>
      </c>
      <c r="L80" s="167" t="str">
        <f aca="false">IF((IF(G80="Champion",4,IF(G80="Supportive",3,IF(G80="Neutral",2,1))))-(IF(F80="Champion",4,IF(F80="Supportive",3,IF(F80="Neutral",2,1))))&gt;=2,"HIGH — active plan needed",IF((IF(G80="Champion",4,IF(G80="Supportive",3,IF(G80="Neutral",2,1))))-(IF(F80="Champion",4,IF(F80="Supportive",3,IF(F80="Neutral",2,1))))=1,"MEDIUM — nudge required","None — already where they need to be"))</f>
        <v>None — already where they need to be</v>
      </c>
      <c r="M80" s="167"/>
    </row>
    <row r="81" customFormat="false" ht="44.25" hidden="false" customHeight="true" outlineLevel="0" collapsed="false">
      <c r="B81" s="177" t="s">
        <v>9254</v>
      </c>
      <c r="C81" s="177" t="s">
        <v>12548</v>
      </c>
      <c r="D81" s="155" t="n">
        <v>3</v>
      </c>
      <c r="E81" s="155" t="n">
        <v>2</v>
      </c>
      <c r="F81" s="177" t="s">
        <v>12536</v>
      </c>
      <c r="G81" s="177" t="s">
        <v>12531</v>
      </c>
      <c r="H81" s="177" t="s">
        <v>12549</v>
      </c>
      <c r="I81" s="161" t="n">
        <f aca="false">D81*E81</f>
        <v>6</v>
      </c>
      <c r="J81" s="167" t="str">
        <f aca="false">IF(AND(D81&gt;=4,E81&gt;=4),"MANAGE CLOSELY",IF(AND(D81&gt;=4,E81&lt;4),"KEEP SATISFIED",IF(AND(D81&lt;4,E81&gt;=4),"KEEP INFORMED","MONITOR")))</f>
        <v>MONITOR</v>
      </c>
      <c r="K81" s="188" t="n">
        <f aca="false">(IF(G81="Champion",4,IF(G81="Supportive",3,IF(G81="Neutral",2,1))))-(IF(F81="Champion",4,IF(F81="Supportive",3,IF(F81="Neutral",2,1))))</f>
        <v>1</v>
      </c>
      <c r="L81" s="167" t="str">
        <f aca="false">IF((IF(G81="Champion",4,IF(G81="Supportive",3,IF(G81="Neutral",2,1))))-(IF(F81="Champion",4,IF(F81="Supportive",3,IF(F81="Neutral",2,1))))&gt;=2,"HIGH — active plan needed",IF((IF(G81="Champion",4,IF(G81="Supportive",3,IF(G81="Neutral",2,1))))-(IF(F81="Champion",4,IF(F81="Supportive",3,IF(F81="Neutral",2,1))))=1,"MEDIUM — nudge required","None — already where they need to be"))</f>
        <v>MEDIUM — nudge required</v>
      </c>
      <c r="M81" s="167"/>
    </row>
    <row r="82" customFormat="false" ht="58.5" hidden="false" customHeight="true" outlineLevel="0" collapsed="false">
      <c r="B82" s="177" t="s">
        <v>7015</v>
      </c>
      <c r="C82" s="177" t="s">
        <v>12550</v>
      </c>
      <c r="D82" s="155" t="n">
        <v>3</v>
      </c>
      <c r="E82" s="155" t="n">
        <v>2</v>
      </c>
      <c r="F82" s="177" t="s">
        <v>12540</v>
      </c>
      <c r="G82" s="177" t="s">
        <v>12536</v>
      </c>
      <c r="H82" s="177" t="s">
        <v>12551</v>
      </c>
      <c r="I82" s="161" t="n">
        <f aca="false">D82*E82</f>
        <v>6</v>
      </c>
      <c r="J82" s="167" t="str">
        <f aca="false">IF(AND(D82&gt;=4,E82&gt;=4),"MANAGE CLOSELY",IF(AND(D82&gt;=4,E82&lt;4),"KEEP SATISFIED",IF(AND(D82&lt;4,E82&gt;=4),"KEEP INFORMED","MONITOR")))</f>
        <v>MONITOR</v>
      </c>
      <c r="K82" s="188" t="n">
        <f aca="false">(IF(G82="Champion",4,IF(G82="Supportive",3,IF(G82="Neutral",2,1))))-(IF(F82="Champion",4,IF(F82="Supportive",3,IF(F82="Neutral",2,1))))</f>
        <v>1</v>
      </c>
      <c r="L82" s="167" t="str">
        <f aca="false">IF((IF(G82="Champion",4,IF(G82="Supportive",3,IF(G82="Neutral",2,1))))-(IF(F82="Champion",4,IF(F82="Supportive",3,IF(F82="Neutral",2,1))))&gt;=2,"HIGH — active plan needed",IF((IF(G82="Champion",4,IF(G82="Supportive",3,IF(G82="Neutral",2,1))))-(IF(F82="Champion",4,IF(F82="Supportive",3,IF(F82="Neutral",2,1))))=1,"MEDIUM — nudge required","None — already where they need to be"))</f>
        <v>MEDIUM — nudge required</v>
      </c>
      <c r="M82" s="167"/>
    </row>
    <row r="83" customFormat="false" ht="44.25" hidden="false" customHeight="true" outlineLevel="0" collapsed="false">
      <c r="B83" s="177" t="s">
        <v>12552</v>
      </c>
      <c r="C83" s="177" t="s">
        <v>12553</v>
      </c>
      <c r="D83" s="155" t="n">
        <v>3</v>
      </c>
      <c r="E83" s="155" t="n">
        <v>3</v>
      </c>
      <c r="F83" s="177" t="s">
        <v>12536</v>
      </c>
      <c r="G83" s="177" t="s">
        <v>12536</v>
      </c>
      <c r="H83" s="177" t="s">
        <v>12554</v>
      </c>
      <c r="I83" s="161" t="n">
        <f aca="false">D83*E83</f>
        <v>9</v>
      </c>
      <c r="J83" s="167" t="str">
        <f aca="false">IF(AND(D83&gt;=4,E83&gt;=4),"MANAGE CLOSELY",IF(AND(D83&gt;=4,E83&lt;4),"KEEP SATISFIED",IF(AND(D83&lt;4,E83&gt;=4),"KEEP INFORMED","MONITOR")))</f>
        <v>MONITOR</v>
      </c>
      <c r="K83" s="188" t="n">
        <f aca="false">(IF(G83="Champion",4,IF(G83="Supportive",3,IF(G83="Neutral",2,1))))-(IF(F83="Champion",4,IF(F83="Supportive",3,IF(F83="Neutral",2,1))))</f>
        <v>0</v>
      </c>
      <c r="L83" s="167" t="str">
        <f aca="false">IF((IF(G83="Champion",4,IF(G83="Supportive",3,IF(G83="Neutral",2,1))))-(IF(F83="Champion",4,IF(F83="Supportive",3,IF(F83="Neutral",2,1))))&gt;=2,"HIGH — active plan needed",IF((IF(G83="Champion",4,IF(G83="Supportive",3,IF(G83="Neutral",2,1))))-(IF(F83="Champion",4,IF(F83="Supportive",3,IF(F83="Neutral",2,1))))=1,"MEDIUM — nudge required","None — already where they need to be"))</f>
        <v>None — already where they need to be</v>
      </c>
      <c r="M83" s="167"/>
    </row>
    <row r="84" customFormat="false" ht="44.25" hidden="false" customHeight="true" outlineLevel="0" collapsed="false">
      <c r="B84" s="177" t="s">
        <v>12555</v>
      </c>
      <c r="C84" s="177" t="s">
        <v>12556</v>
      </c>
      <c r="D84" s="155" t="n">
        <v>4</v>
      </c>
      <c r="E84" s="155" t="n">
        <v>1</v>
      </c>
      <c r="F84" s="177" t="s">
        <v>12536</v>
      </c>
      <c r="G84" s="177" t="s">
        <v>12536</v>
      </c>
      <c r="H84" s="177" t="s">
        <v>12557</v>
      </c>
      <c r="I84" s="161" t="n">
        <f aca="false">D84*E84</f>
        <v>4</v>
      </c>
      <c r="J84" s="167" t="str">
        <f aca="false">IF(AND(D84&gt;=4,E84&gt;=4),"MANAGE CLOSELY",IF(AND(D84&gt;=4,E84&lt;4),"KEEP SATISFIED",IF(AND(D84&lt;4,E84&gt;=4),"KEEP INFORMED","MONITOR")))</f>
        <v>KEEP SATISFIED</v>
      </c>
      <c r="K84" s="188" t="n">
        <f aca="false">(IF(G84="Champion",4,IF(G84="Supportive",3,IF(G84="Neutral",2,1))))-(IF(F84="Champion",4,IF(F84="Supportive",3,IF(F84="Neutral",2,1))))</f>
        <v>0</v>
      </c>
      <c r="L84" s="167" t="str">
        <f aca="false">IF((IF(G84="Champion",4,IF(G84="Supportive",3,IF(G84="Neutral",2,1))))-(IF(F84="Champion",4,IF(F84="Supportive",3,IF(F84="Neutral",2,1))))&gt;=2,"HIGH — active plan needed",IF((IF(G84="Champion",4,IF(G84="Supportive",3,IF(G84="Neutral",2,1))))-(IF(F84="Champion",4,IF(F84="Supportive",3,IF(F84="Neutral",2,1))))=1,"MEDIUM — nudge required","None — already where they need to be"))</f>
        <v>None — already where they need to be</v>
      </c>
      <c r="M84" s="167"/>
    </row>
    <row r="86" customFormat="false" ht="17.25" hidden="false" customHeight="true" outlineLevel="0" collapsed="false">
      <c r="B86" s="107" t="s">
        <v>12558</v>
      </c>
      <c r="C86" s="107"/>
      <c r="D86" s="107"/>
      <c r="E86" s="107"/>
      <c r="F86" s="107"/>
    </row>
    <row r="87" customFormat="false" ht="16.5" hidden="false" customHeight="true" outlineLevel="0" collapsed="false">
      <c r="B87" s="152" t="s">
        <v>9783</v>
      </c>
      <c r="C87" s="152" t="s">
        <v>3094</v>
      </c>
      <c r="D87" s="152" t="s">
        <v>12559</v>
      </c>
      <c r="E87" s="152" t="s">
        <v>12560</v>
      </c>
      <c r="F87" s="152" t="s">
        <v>12561</v>
      </c>
    </row>
    <row r="88" customFormat="false" ht="72" hidden="false" customHeight="true" outlineLevel="0" collapsed="false">
      <c r="B88" s="15" t="s">
        <v>12562</v>
      </c>
      <c r="C88" s="15" t="s">
        <v>5437</v>
      </c>
      <c r="D88" s="15" t="s">
        <v>5437</v>
      </c>
      <c r="E88" s="15" t="s">
        <v>12563</v>
      </c>
      <c r="F88" s="15" t="s">
        <v>12564</v>
      </c>
    </row>
    <row r="89" customFormat="false" ht="72" hidden="false" customHeight="true" outlineLevel="0" collapsed="false">
      <c r="B89" s="15" t="s">
        <v>12565</v>
      </c>
      <c r="C89" s="15" t="s">
        <v>5437</v>
      </c>
      <c r="D89" s="15" t="s">
        <v>5436</v>
      </c>
      <c r="E89" s="15" t="s">
        <v>12566</v>
      </c>
      <c r="F89" s="15" t="s">
        <v>12567</v>
      </c>
    </row>
    <row r="90" customFormat="false" ht="86.25" hidden="false" customHeight="true" outlineLevel="0" collapsed="false">
      <c r="B90" s="15" t="s">
        <v>12568</v>
      </c>
      <c r="C90" s="15" t="s">
        <v>5436</v>
      </c>
      <c r="D90" s="15" t="s">
        <v>5437</v>
      </c>
      <c r="E90" s="15" t="s">
        <v>12569</v>
      </c>
      <c r="F90" s="15" t="s">
        <v>12570</v>
      </c>
    </row>
    <row r="91" customFormat="false" ht="58.5" hidden="false" customHeight="true" outlineLevel="0" collapsed="false">
      <c r="B91" s="15" t="s">
        <v>12571</v>
      </c>
      <c r="C91" s="15" t="s">
        <v>5436</v>
      </c>
      <c r="D91" s="15" t="s">
        <v>5436</v>
      </c>
      <c r="E91" s="15" t="s">
        <v>12572</v>
      </c>
      <c r="F91" s="15" t="s">
        <v>12573</v>
      </c>
    </row>
    <row r="93" customFormat="false" ht="16.5" hidden="false" customHeight="true" outlineLevel="0" collapsed="false">
      <c r="B93" s="152" t="s">
        <v>6689</v>
      </c>
      <c r="C93" s="152" t="s">
        <v>6654</v>
      </c>
      <c r="D93" s="152" t="s">
        <v>88</v>
      </c>
    </row>
    <row r="94" customFormat="false" ht="16.5" hidden="false" customHeight="true" outlineLevel="0" collapsed="false">
      <c r="B94" s="15" t="s">
        <v>12574</v>
      </c>
      <c r="C94" s="161" t="n">
        <f aca="false">COUNTA(B75:B84)</f>
        <v>10</v>
      </c>
      <c r="D94" s="15"/>
    </row>
    <row r="95" customFormat="false" ht="30.75" hidden="false" customHeight="true" outlineLevel="0" collapsed="false">
      <c r="B95" s="15" t="s">
        <v>12575</v>
      </c>
      <c r="C95" s="161" t="n">
        <f aca="false">COUNTIF(J75:J84,"MANAGE CLOSELY")</f>
        <v>3</v>
      </c>
      <c r="D95" s="15" t="s">
        <v>12576</v>
      </c>
    </row>
    <row r="96" customFormat="false" ht="30.75" hidden="false" customHeight="true" outlineLevel="0" collapsed="false">
      <c r="B96" s="15" t="s">
        <v>12577</v>
      </c>
      <c r="C96" s="161" t="n">
        <f aca="false">COUNTIF(F75:F84,"Resistant")</f>
        <v>2</v>
      </c>
      <c r="D96" s="15" t="s">
        <v>12578</v>
      </c>
    </row>
    <row r="97" customFormat="false" ht="16.5" hidden="false" customHeight="true" outlineLevel="0" collapsed="false">
      <c r="B97" s="15" t="s">
        <v>12579</v>
      </c>
      <c r="C97" s="161" t="n">
        <f aca="false">COUNTIF(L75:L84,"HIGH*")</f>
        <v>1</v>
      </c>
      <c r="D97" s="15" t="s">
        <v>12580</v>
      </c>
    </row>
    <row r="98" customFormat="false" ht="16.5" hidden="false" customHeight="true" outlineLevel="0" collapsed="false">
      <c r="B98" s="15" t="s">
        <v>12581</v>
      </c>
      <c r="C98" s="161" t="n">
        <f aca="false">COUNTIFS(F75:F84,"Resistant",D75:D84,"&gt;=4")</f>
        <v>0</v>
      </c>
      <c r="D98" s="15" t="s">
        <v>12582</v>
      </c>
    </row>
    <row r="99" customFormat="false" ht="30.75" hidden="false" customHeight="true" outlineLevel="0" collapsed="false">
      <c r="B99" s="15" t="s">
        <v>12583</v>
      </c>
      <c r="C99" s="161" t="n">
        <f aca="false">COUNTA(B75:B84)-COUNTA(H75:H84)</f>
        <v>0</v>
      </c>
      <c r="D99" s="15" t="s">
        <v>12584</v>
      </c>
    </row>
    <row r="101" customFormat="false" ht="15.75" hidden="false" customHeight="true" outlineLevel="0" collapsed="false">
      <c r="B101" s="103" t="s">
        <v>1493</v>
      </c>
      <c r="C101" s="8"/>
      <c r="D101" s="8"/>
      <c r="E101" s="8"/>
      <c r="F101" s="8"/>
      <c r="G101" s="8"/>
      <c r="H101" s="8"/>
      <c r="I101" s="8"/>
      <c r="J101" s="8"/>
      <c r="K101" s="8"/>
    </row>
    <row r="102" customFormat="false" ht="49.5" hidden="false" customHeight="true" outlineLevel="0" collapsed="false">
      <c r="B102" s="105" t="s">
        <v>1494</v>
      </c>
      <c r="C102" s="168" t="str">
        <f aca="false">"The register holds "&amp;TEXT(C94,"0")&amp;" stakeholders: "&amp;TEXT(C95,"0")&amp;" to manage closely, "&amp;TEXT(C96,"0")&amp;" currently resistant and "&amp;TEXT(C97,"0")&amp;" needing an active engagement plan. "&amp;IF(C98&gt;0,"WARNING: "&amp;TEXT(C98,"0")&amp;" resistant stakeholder(s) also hold high power. That combination is what stops projects — not at the start, but at implementation, when it is most expensive. Address them personally and early.","No high-power stakeholder is currently resistant, which is the condition for a project to reach implementation.")&amp;IF(C99&gt;0," "&amp;TEXT(C99,"0")&amp;" stakeholder(s) have no engagement action recorded.","")</f>
        <v>The register holds 10 stakeholders: 3 to manage closely, 2 currently resistant and 1 needing an active engagement plan. No high-power stakeholder is currently resistant, which is the condition for a project to reach implementation.</v>
      </c>
      <c r="D102" s="168"/>
      <c r="E102" s="168"/>
      <c r="F102" s="168"/>
    </row>
    <row r="104" customFormat="false" ht="16.5" hidden="false" customHeight="true" outlineLevel="0" collapsed="false">
      <c r="B104" s="152" t="s">
        <v>1495</v>
      </c>
      <c r="C104" s="152" t="s">
        <v>1496</v>
      </c>
      <c r="D104" s="152" t="s">
        <v>1497</v>
      </c>
    </row>
    <row r="105" customFormat="false" ht="30.75" hidden="false" customHeight="true" outlineLevel="0" collapsed="false">
      <c r="B105" s="15" t="s">
        <v>12585</v>
      </c>
      <c r="C105" s="15" t="s">
        <v>12586</v>
      </c>
      <c r="D105" s="15" t="s">
        <v>12587</v>
      </c>
    </row>
    <row r="106" customFormat="false" ht="30.75" hidden="false" customHeight="true" outlineLevel="0" collapsed="false">
      <c r="B106" s="15" t="s">
        <v>12588</v>
      </c>
      <c r="C106" s="15" t="s">
        <v>12589</v>
      </c>
      <c r="D106" s="15" t="s">
        <v>12590</v>
      </c>
    </row>
    <row r="107" customFormat="false" ht="30.75" hidden="false" customHeight="true" outlineLevel="0" collapsed="false">
      <c r="B107" s="15" t="s">
        <v>12591</v>
      </c>
      <c r="C107" s="15" t="s">
        <v>12592</v>
      </c>
      <c r="D107" s="15" t="s">
        <v>12593</v>
      </c>
    </row>
    <row r="108" customFormat="false" ht="30.75" hidden="false" customHeight="true" outlineLevel="0" collapsed="false">
      <c r="B108" s="15" t="s">
        <v>12594</v>
      </c>
      <c r="C108" s="15" t="s">
        <v>8899</v>
      </c>
      <c r="D108" s="15" t="s">
        <v>12584</v>
      </c>
    </row>
    <row r="110" customFormat="false" ht="15" hidden="false" customHeight="true" outlineLevel="0" collapsed="false">
      <c r="B110" s="105" t="s">
        <v>1507</v>
      </c>
    </row>
    <row r="111" customFormat="false" ht="17.25" hidden="false" customHeight="true" outlineLevel="0" collapsed="false">
      <c r="B111" s="106" t="s">
        <v>12595</v>
      </c>
      <c r="C111" s="106"/>
      <c r="D111" s="106"/>
      <c r="E111" s="106"/>
      <c r="F111" s="106"/>
    </row>
    <row r="112" customFormat="false" ht="17.25" hidden="false" customHeight="true" outlineLevel="0" collapsed="false">
      <c r="B112" s="106" t="s">
        <v>12596</v>
      </c>
      <c r="C112" s="106"/>
      <c r="D112" s="106"/>
      <c r="E112" s="106"/>
      <c r="F112" s="106"/>
    </row>
    <row r="113" customFormat="false" ht="17.25" hidden="false" customHeight="true" outlineLevel="0" collapsed="false">
      <c r="B113" s="106" t="s">
        <v>12597</v>
      </c>
      <c r="C113" s="106"/>
      <c r="D113" s="106"/>
      <c r="E113" s="106"/>
      <c r="F113" s="106"/>
    </row>
    <row r="114" customFormat="false" ht="17.25" hidden="false" customHeight="true" outlineLevel="0" collapsed="false">
      <c r="B114" s="106" t="s">
        <v>12598</v>
      </c>
      <c r="C114" s="106"/>
      <c r="D114" s="106"/>
      <c r="E114" s="106"/>
      <c r="F114" s="106"/>
    </row>
    <row r="115" customFormat="false" ht="17.25" hidden="false" customHeight="true" outlineLevel="0" collapsed="false">
      <c r="B115" s="106" t="s">
        <v>12599</v>
      </c>
      <c r="C115" s="106"/>
      <c r="D115" s="106"/>
      <c r="E115" s="106"/>
      <c r="F115" s="106"/>
    </row>
    <row r="117" customFormat="false" ht="15.75" hidden="false" customHeight="true" outlineLevel="0" collapsed="false">
      <c r="B117" s="103" t="s">
        <v>1513</v>
      </c>
      <c r="C117" s="8"/>
      <c r="D117" s="8"/>
      <c r="E117" s="8"/>
      <c r="F117" s="8"/>
      <c r="G117" s="8"/>
      <c r="H117" s="8"/>
      <c r="I117" s="8"/>
      <c r="J117" s="8"/>
      <c r="K117" s="8"/>
    </row>
    <row r="118" customFormat="false" ht="17.25" hidden="false" customHeight="true" outlineLevel="0" collapsed="false">
      <c r="B118" s="106" t="s">
        <v>6712</v>
      </c>
      <c r="C118" s="106"/>
      <c r="D118" s="106"/>
      <c r="E118" s="106"/>
      <c r="N118" s="169" t="s">
        <v>1515</v>
      </c>
    </row>
    <row r="119" customFormat="false" ht="58.5" hidden="false" customHeight="true" outlineLevel="0" collapsed="false">
      <c r="B119" s="106" t="s">
        <v>12600</v>
      </c>
      <c r="C119" s="106"/>
      <c r="D119" s="106"/>
      <c r="E119" s="106"/>
      <c r="N119" s="120" t="s">
        <v>12601</v>
      </c>
    </row>
    <row r="120" customFormat="false" ht="58.5" hidden="false" customHeight="true" outlineLevel="0" collapsed="false">
      <c r="B120" s="106" t="s">
        <v>12602</v>
      </c>
      <c r="C120" s="106"/>
      <c r="D120" s="106"/>
      <c r="E120" s="106"/>
      <c r="N120" s="120" t="s">
        <v>12603</v>
      </c>
    </row>
    <row r="121" customFormat="false" ht="44.25" hidden="false" customHeight="true" outlineLevel="0" collapsed="false">
      <c r="B121" s="106" t="s">
        <v>12604</v>
      </c>
      <c r="C121" s="106"/>
      <c r="D121" s="106"/>
      <c r="E121" s="106"/>
      <c r="N121" s="120" t="s">
        <v>12605</v>
      </c>
    </row>
    <row r="123" customFormat="false" ht="15.75" hidden="false" customHeight="true" outlineLevel="0" collapsed="false">
      <c r="B123" s="103" t="s">
        <v>1522</v>
      </c>
      <c r="C123" s="8"/>
      <c r="D123" s="8"/>
      <c r="E123" s="8"/>
      <c r="F123" s="8"/>
      <c r="G123" s="8"/>
      <c r="H123" s="8"/>
      <c r="I123" s="8"/>
      <c r="J123" s="8"/>
      <c r="K123" s="8"/>
    </row>
    <row r="124" customFormat="false" ht="30.75" hidden="false" customHeight="true" outlineLevel="0" collapsed="false">
      <c r="B124" s="152" t="s">
        <v>1523</v>
      </c>
      <c r="C124" s="152" t="s">
        <v>1524</v>
      </c>
      <c r="D124" s="152" t="s">
        <v>6719</v>
      </c>
    </row>
    <row r="125" customFormat="false" ht="16.5" hidden="false" customHeight="true" outlineLevel="0" collapsed="false">
      <c r="B125" s="170" t="s">
        <v>1262</v>
      </c>
      <c r="C125" s="170" t="s">
        <v>12494</v>
      </c>
      <c r="D125" s="170" t="s">
        <v>12498</v>
      </c>
    </row>
  </sheetData>
  <mergeCells count="60">
    <mergeCell ref="B2:J2"/>
    <mergeCell ref="D3:F3"/>
    <mergeCell ref="C6:D6"/>
    <mergeCell ref="C7:D7"/>
    <mergeCell ref="C8:D8"/>
    <mergeCell ref="B11:F13"/>
    <mergeCell ref="B14:F17"/>
    <mergeCell ref="B18:F21"/>
    <mergeCell ref="B22:F23"/>
    <mergeCell ref="B24:F26"/>
    <mergeCell ref="B27:F27"/>
    <mergeCell ref="B28:F29"/>
    <mergeCell ref="B32:D32"/>
    <mergeCell ref="E32:F32"/>
    <mergeCell ref="B33:D33"/>
    <mergeCell ref="E33:F33"/>
    <mergeCell ref="B34:D34"/>
    <mergeCell ref="E34:F34"/>
    <mergeCell ref="B35:D35"/>
    <mergeCell ref="E35:F35"/>
    <mergeCell ref="B36:F36"/>
    <mergeCell ref="E38:F38"/>
    <mergeCell ref="E39:F39"/>
    <mergeCell ref="E40:F40"/>
    <mergeCell ref="E41:F41"/>
    <mergeCell ref="E42:F42"/>
    <mergeCell ref="B45:F45"/>
    <mergeCell ref="B48:F51"/>
    <mergeCell ref="B53:F56"/>
    <mergeCell ref="B57:F57"/>
    <mergeCell ref="B59:F59"/>
    <mergeCell ref="D62:E62"/>
    <mergeCell ref="D63:E63"/>
    <mergeCell ref="D64:E64"/>
    <mergeCell ref="D65:E65"/>
    <mergeCell ref="D66:E66"/>
    <mergeCell ref="B69:F70"/>
    <mergeCell ref="B73:F73"/>
    <mergeCell ref="L74:M74"/>
    <mergeCell ref="L75:M75"/>
    <mergeCell ref="L76:M76"/>
    <mergeCell ref="L77:M77"/>
    <mergeCell ref="L78:M78"/>
    <mergeCell ref="L79:M79"/>
    <mergeCell ref="L80:M80"/>
    <mergeCell ref="L81:M81"/>
    <mergeCell ref="L82:M82"/>
    <mergeCell ref="L83:M83"/>
    <mergeCell ref="L84:M84"/>
    <mergeCell ref="B86:F86"/>
    <mergeCell ref="C102:F102"/>
    <mergeCell ref="B111:F111"/>
    <mergeCell ref="B112:F112"/>
    <mergeCell ref="B113:F113"/>
    <mergeCell ref="B114:F114"/>
    <mergeCell ref="B115:F115"/>
    <mergeCell ref="B118:E118"/>
    <mergeCell ref="B119:E119"/>
    <mergeCell ref="B120:E120"/>
    <mergeCell ref="B121:E121"/>
  </mergeCells>
  <hyperlinks>
    <hyperlink ref="B3" location="'N-03 Index DMAIC'!A1" display="← Back to Index"/>
    <hyperlink ref="E39" location="'L-22 Gemba Walk'!A1" display="L-22  Gemba Walk"/>
    <hyperlink ref="E40" location="'G-05 Communication Plan'!A1" display="G-05  Communication Plan"/>
    <hyperlink ref="E41" location="'G-06 Change Management'!A1" display="G-06  Change Management (ADKAR)"/>
    <hyperlink ref="E42" location="'H-01 Project Charter'!A1" display="H-01  Project Charter"/>
    <hyperlink ref="B125" location="'G-04 RACI Matrix'!A1" display="G-04  RACI Matrix"/>
    <hyperlink ref="C125" location="'G-05 Communication Plan'!A1" display="G-05  Communication Plan"/>
    <hyperlink ref="D125" location="'G-06 Change Management'!A1" display="G-06  Change Management (ADKA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N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4"/>
    <col collapsed="false" customWidth="true" hidden="false" outlineLevel="0" max="6" min="4" style="1" width="13"/>
    <col collapsed="false" customWidth="true" hidden="false" outlineLevel="0" max="7" min="7" style="1" width="14"/>
    <col collapsed="false" customWidth="true" hidden="false" outlineLevel="0" max="10" min="8" style="1" width="13"/>
    <col collapsed="false" customWidth="true" hidden="false" outlineLevel="0" max="12" min="11" style="1" width="12"/>
    <col collapsed="false" customWidth="true" hidden="false" outlineLevel="0" max="13" min="13" style="1" width="34"/>
    <col collapsed="false" customWidth="true" hidden="false" outlineLevel="0" max="14" min="14" style="1" width="95"/>
  </cols>
  <sheetData>
    <row r="1" customFormat="false" ht="15" hidden="false" customHeight="true" outlineLevel="0" collapsed="false">
      <c r="A1" s="147" t="s">
        <v>0</v>
      </c>
    </row>
    <row r="2" customFormat="false" ht="22.5" hidden="false" customHeight="true" outlineLevel="0" collapsed="false">
      <c r="B2" s="148" t="s">
        <v>12606</v>
      </c>
      <c r="C2" s="148"/>
      <c r="D2" s="148"/>
      <c r="E2" s="148"/>
      <c r="F2" s="148"/>
      <c r="G2" s="148"/>
      <c r="H2" s="148"/>
      <c r="I2" s="148"/>
      <c r="J2" s="148"/>
      <c r="K2" s="195" t="s">
        <v>9949</v>
      </c>
    </row>
    <row r="3" customFormat="false" ht="42" hidden="false" customHeight="true" outlineLevel="0" collapsed="false">
      <c r="B3" s="150" t="s">
        <v>3</v>
      </c>
      <c r="D3" s="151" t="s">
        <v>12607</v>
      </c>
      <c r="E3" s="151"/>
      <c r="F3" s="151"/>
      <c r="G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12608</v>
      </c>
      <c r="D6" s="106"/>
    </row>
    <row r="7" customFormat="false" ht="31.5" hidden="false" customHeight="true" outlineLevel="0" collapsed="false">
      <c r="B7" s="105" t="s">
        <v>1394</v>
      </c>
      <c r="C7" s="106" t="s">
        <v>12609</v>
      </c>
      <c r="D7" s="106"/>
    </row>
    <row r="8" customFormat="false" ht="31.5" hidden="false" customHeight="true" outlineLevel="0" collapsed="false">
      <c r="B8" s="105" t="s">
        <v>1396</v>
      </c>
      <c r="C8" s="106" t="s">
        <v>12610</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12611</v>
      </c>
      <c r="C11" s="106"/>
      <c r="D11" s="106"/>
      <c r="E11" s="106"/>
      <c r="F11" s="106"/>
      <c r="G11" s="106"/>
    </row>
    <row r="12" customFormat="false" ht="10.5" hidden="false" customHeight="true" outlineLevel="0" collapsed="false">
      <c r="B12" s="106"/>
      <c r="C12" s="106"/>
      <c r="D12" s="106"/>
      <c r="E12" s="106"/>
      <c r="F12" s="106"/>
      <c r="G12" s="106"/>
    </row>
    <row r="13" customFormat="false" ht="10.5" hidden="false" customHeight="true" outlineLevel="0" collapsed="false">
      <c r="B13" s="106"/>
      <c r="C13" s="106"/>
      <c r="D13" s="106"/>
      <c r="E13" s="106"/>
      <c r="F13" s="106"/>
      <c r="G13" s="106"/>
    </row>
    <row r="14" customFormat="false" ht="17.25" hidden="false" customHeight="true" outlineLevel="0" collapsed="false">
      <c r="B14" s="106" t="s">
        <v>12612</v>
      </c>
      <c r="C14" s="106"/>
      <c r="D14" s="106"/>
      <c r="E14" s="106"/>
      <c r="F14" s="106"/>
      <c r="G14" s="106"/>
    </row>
    <row r="15" customFormat="false" ht="10.5" hidden="false" customHeight="true" outlineLevel="0" collapsed="false">
      <c r="B15" s="106" t="s">
        <v>12613</v>
      </c>
      <c r="C15" s="106"/>
      <c r="D15" s="106"/>
      <c r="E15" s="106"/>
      <c r="F15" s="106"/>
      <c r="G15" s="106"/>
    </row>
    <row r="16" customFormat="false" ht="10.5" hidden="false" customHeight="true" outlineLevel="0" collapsed="false">
      <c r="B16" s="106"/>
      <c r="C16" s="106"/>
      <c r="D16" s="106"/>
      <c r="E16" s="106"/>
      <c r="F16" s="106"/>
      <c r="G16" s="106"/>
    </row>
    <row r="17" customFormat="false" ht="10.5" hidden="false" customHeight="true" outlineLevel="0" collapsed="false">
      <c r="B17" s="106"/>
      <c r="C17" s="106"/>
      <c r="D17" s="106"/>
      <c r="E17" s="106"/>
      <c r="F17" s="106"/>
      <c r="G17" s="106"/>
    </row>
    <row r="18" customFormat="false" ht="17.25" hidden="false" customHeight="true" outlineLevel="0" collapsed="false">
      <c r="B18" s="106" t="s">
        <v>12614</v>
      </c>
      <c r="C18" s="106"/>
      <c r="D18" s="106"/>
      <c r="E18" s="106"/>
      <c r="F18" s="106"/>
      <c r="G18" s="106"/>
    </row>
    <row r="19" customFormat="false" ht="10.5" hidden="false" customHeight="true" outlineLevel="0" collapsed="false">
      <c r="B19" s="106" t="s">
        <v>12615</v>
      </c>
      <c r="C19" s="106"/>
      <c r="D19" s="106"/>
      <c r="E19" s="106"/>
      <c r="F19" s="106"/>
      <c r="G19" s="106"/>
    </row>
    <row r="20" customFormat="false" ht="10.5" hidden="false" customHeight="true" outlineLevel="0" collapsed="false">
      <c r="B20" s="106"/>
      <c r="C20" s="106"/>
      <c r="D20" s="106"/>
      <c r="E20" s="106"/>
      <c r="F20" s="106"/>
      <c r="G20" s="106"/>
    </row>
    <row r="21" customFormat="false" ht="10.5" hidden="false" customHeight="true" outlineLevel="0" collapsed="false">
      <c r="B21" s="106"/>
      <c r="C21" s="106"/>
      <c r="D21" s="106"/>
      <c r="E21" s="106"/>
      <c r="F21" s="106"/>
      <c r="G21" s="106"/>
    </row>
    <row r="22" customFormat="false" ht="8.25" hidden="false" customHeight="true" outlineLevel="0" collapsed="false">
      <c r="B22" s="106" t="s">
        <v>12616</v>
      </c>
      <c r="C22" s="106"/>
      <c r="D22" s="106"/>
      <c r="E22" s="106"/>
      <c r="F22" s="106"/>
      <c r="G22" s="106"/>
    </row>
    <row r="23" customFormat="false" ht="8.25" hidden="false" customHeight="true" outlineLevel="0" collapsed="false">
      <c r="B23" s="106"/>
      <c r="C23" s="106"/>
      <c r="D23" s="106"/>
      <c r="E23" s="106"/>
      <c r="F23" s="106"/>
      <c r="G23" s="106"/>
    </row>
    <row r="24" customFormat="false" ht="10.5" hidden="false" customHeight="true" outlineLevel="0" collapsed="false">
      <c r="B24" s="106" t="s">
        <v>12617</v>
      </c>
      <c r="C24" s="106"/>
      <c r="D24" s="106"/>
      <c r="E24" s="106"/>
      <c r="F24" s="106"/>
      <c r="G24" s="106"/>
    </row>
    <row r="25" customFormat="false" ht="10.5" hidden="false" customHeight="true" outlineLevel="0" collapsed="false">
      <c r="B25" s="106"/>
      <c r="C25" s="106"/>
      <c r="D25" s="106"/>
      <c r="E25" s="106"/>
      <c r="F25" s="106"/>
      <c r="G25" s="106"/>
    </row>
    <row r="26" customFormat="false" ht="10.5" hidden="false" customHeight="true" outlineLevel="0" collapsed="false">
      <c r="B26" s="106"/>
      <c r="C26" s="106"/>
      <c r="D26" s="106"/>
      <c r="E26" s="106"/>
      <c r="F26" s="106"/>
      <c r="G26" s="106"/>
    </row>
    <row r="28" customFormat="false" ht="15.75" hidden="false" customHeight="true" outlineLevel="0" collapsed="false">
      <c r="B28" s="103" t="s">
        <v>1406</v>
      </c>
      <c r="C28" s="8"/>
      <c r="D28" s="8"/>
      <c r="E28" s="8"/>
      <c r="F28" s="8"/>
      <c r="G28" s="8"/>
      <c r="H28" s="8"/>
      <c r="I28" s="8"/>
      <c r="J28" s="8"/>
      <c r="K28" s="8"/>
    </row>
    <row r="29" customFormat="false" ht="17.25" hidden="false" customHeight="true" outlineLevel="0" collapsed="false">
      <c r="B29" s="107" t="s">
        <v>1407</v>
      </c>
      <c r="C29" s="107"/>
      <c r="E29" s="107" t="s">
        <v>1408</v>
      </c>
      <c r="F29" s="107"/>
      <c r="G29" s="107"/>
    </row>
    <row r="30" customFormat="false" ht="17.25" hidden="false" customHeight="true" outlineLevel="0" collapsed="false">
      <c r="B30" s="106" t="s">
        <v>12618</v>
      </c>
      <c r="C30" s="106"/>
      <c r="E30" s="106" t="s">
        <v>12619</v>
      </c>
      <c r="F30" s="106"/>
      <c r="G30" s="106"/>
    </row>
    <row r="31" customFormat="false" ht="31.5" hidden="false" customHeight="true" outlineLevel="0" collapsed="false">
      <c r="B31" s="106" t="s">
        <v>12620</v>
      </c>
      <c r="C31" s="106"/>
      <c r="E31" s="106" t="s">
        <v>12621</v>
      </c>
      <c r="F31" s="106"/>
      <c r="G31" s="106"/>
    </row>
    <row r="32" customFormat="false" ht="31.5" hidden="false" customHeight="true" outlineLevel="0" collapsed="false">
      <c r="B32" s="106" t="s">
        <v>12622</v>
      </c>
      <c r="C32" s="106"/>
      <c r="E32" s="106" t="s">
        <v>12623</v>
      </c>
      <c r="F32" s="106"/>
      <c r="G32" s="106"/>
    </row>
    <row r="33" customFormat="false" ht="17.25" hidden="false" customHeight="true" outlineLevel="0" collapsed="false">
      <c r="B33" s="106" t="s">
        <v>12624</v>
      </c>
      <c r="C33" s="106"/>
      <c r="D33" s="106"/>
      <c r="E33" s="106"/>
      <c r="F33" s="106"/>
      <c r="G33" s="106"/>
    </row>
    <row r="35" customFormat="false" ht="30.75" hidden="false" customHeight="true" outlineLevel="0" collapsed="false">
      <c r="B35" s="152" t="s">
        <v>6621</v>
      </c>
      <c r="C35" s="152" t="s">
        <v>1417</v>
      </c>
      <c r="D35" s="152" t="s">
        <v>1418</v>
      </c>
      <c r="E35" s="152" t="s">
        <v>1419</v>
      </c>
    </row>
    <row r="36" customFormat="false" ht="72" hidden="false" customHeight="true" outlineLevel="0" collapsed="false">
      <c r="B36" s="15" t="s">
        <v>12625</v>
      </c>
      <c r="C36" s="15" t="s">
        <v>12626</v>
      </c>
      <c r="D36" s="15" t="s">
        <v>12627</v>
      </c>
      <c r="E36" s="153" t="s">
        <v>1259</v>
      </c>
    </row>
    <row r="37" customFormat="false" ht="86.25" hidden="false" customHeight="true" outlineLevel="0" collapsed="false">
      <c r="B37" s="15" t="s">
        <v>12628</v>
      </c>
      <c r="C37" s="15" t="s">
        <v>12629</v>
      </c>
      <c r="D37" s="15" t="s">
        <v>12630</v>
      </c>
      <c r="E37" s="153" t="s">
        <v>1250</v>
      </c>
    </row>
    <row r="38" customFormat="false" ht="58.5" hidden="false" customHeight="true" outlineLevel="0" collapsed="false">
      <c r="B38" s="15" t="s">
        <v>12631</v>
      </c>
      <c r="C38" s="15" t="s">
        <v>12632</v>
      </c>
      <c r="D38" s="15" t="s">
        <v>12633</v>
      </c>
      <c r="E38" s="153" t="s">
        <v>12232</v>
      </c>
    </row>
    <row r="39" customFormat="false" ht="72" hidden="false" customHeight="true" outlineLevel="0" collapsed="false">
      <c r="B39" s="15" t="s">
        <v>12634</v>
      </c>
      <c r="C39" s="15" t="s">
        <v>12635</v>
      </c>
      <c r="D39" s="15" t="s">
        <v>12636</v>
      </c>
      <c r="E39" s="153" t="s">
        <v>12494</v>
      </c>
    </row>
    <row r="41" customFormat="false" ht="15.75" hidden="false" customHeight="true" outlineLevel="0" collapsed="false">
      <c r="B41" s="103" t="s">
        <v>1429</v>
      </c>
      <c r="C41" s="8"/>
      <c r="D41" s="8"/>
      <c r="E41" s="8"/>
      <c r="F41" s="8"/>
      <c r="G41" s="8"/>
      <c r="H41" s="8"/>
      <c r="I41" s="8"/>
      <c r="J41" s="8"/>
      <c r="K41" s="8"/>
    </row>
    <row r="42" customFormat="false" ht="17.25" hidden="false" customHeight="true" outlineLevel="0" collapsed="false">
      <c r="B42" s="106" t="s">
        <v>12637</v>
      </c>
      <c r="C42" s="106"/>
      <c r="D42" s="106"/>
      <c r="E42" s="106"/>
      <c r="F42" s="106"/>
      <c r="G42" s="106"/>
    </row>
    <row r="43" customFormat="false" ht="17.25" hidden="false" customHeight="true" outlineLevel="0" collapsed="false">
      <c r="B43" s="106" t="s">
        <v>12638</v>
      </c>
      <c r="C43" s="106"/>
      <c r="D43" s="106"/>
      <c r="E43" s="106"/>
      <c r="F43" s="106"/>
      <c r="G43" s="106"/>
    </row>
    <row r="44" customFormat="false" ht="17.25" hidden="false" customHeight="true" outlineLevel="0" collapsed="false">
      <c r="B44" s="106" t="s">
        <v>12639</v>
      </c>
      <c r="C44" s="106"/>
      <c r="D44" s="106"/>
      <c r="E44" s="106"/>
      <c r="F44" s="106"/>
      <c r="G44" s="106"/>
    </row>
    <row r="45" customFormat="false" ht="17.25" hidden="false" customHeight="true" outlineLevel="0" collapsed="false">
      <c r="B45" s="106" t="s">
        <v>12640</v>
      </c>
      <c r="C45" s="106"/>
      <c r="D45" s="106"/>
      <c r="E45" s="106"/>
      <c r="F45" s="106"/>
      <c r="G45" s="106"/>
    </row>
    <row r="46" customFormat="false" ht="15" hidden="false" customHeight="true" outlineLevel="0" collapsed="false">
      <c r="B46" s="122"/>
    </row>
    <row r="47" customFormat="false" ht="17.25" hidden="false" customHeight="true" outlineLevel="0" collapsed="false">
      <c r="B47" s="106" t="s">
        <v>12641</v>
      </c>
      <c r="C47" s="106"/>
      <c r="D47" s="106"/>
      <c r="E47" s="106"/>
      <c r="F47" s="106"/>
      <c r="G47" s="106"/>
    </row>
    <row r="48" customFormat="false" ht="8.25" hidden="false" customHeight="true" outlineLevel="0" collapsed="false">
      <c r="B48" s="106" t="s">
        <v>12642</v>
      </c>
      <c r="C48" s="106"/>
      <c r="D48" s="106"/>
      <c r="E48" s="106"/>
      <c r="F48" s="106"/>
      <c r="G48" s="106"/>
    </row>
    <row r="49" customFormat="false" ht="8.25" hidden="false" customHeight="true" outlineLevel="0" collapsed="false">
      <c r="B49" s="106"/>
      <c r="C49" s="106"/>
      <c r="D49" s="106"/>
      <c r="E49" s="106"/>
      <c r="F49" s="106"/>
      <c r="G49" s="106"/>
    </row>
    <row r="50" customFormat="false" ht="15" hidden="false" customHeight="true" outlineLevel="0" collapsed="false">
      <c r="B50" s="122"/>
    </row>
    <row r="51" customFormat="false" ht="8.25" hidden="false" customHeight="true" outlineLevel="0" collapsed="false">
      <c r="B51" s="106" t="s">
        <v>12643</v>
      </c>
      <c r="C51" s="106"/>
      <c r="D51" s="106"/>
      <c r="E51" s="106"/>
      <c r="F51" s="106"/>
      <c r="G51" s="106"/>
    </row>
    <row r="52" customFormat="false" ht="8.25" hidden="false" customHeight="true" outlineLevel="0" collapsed="false">
      <c r="B52" s="106"/>
      <c r="C52" s="106"/>
      <c r="D52" s="106"/>
      <c r="E52" s="106"/>
      <c r="F52" s="106"/>
      <c r="G52" s="106"/>
    </row>
    <row r="54" customFormat="false" ht="15.75" hidden="false" customHeight="true" outlineLevel="0" collapsed="false">
      <c r="B54" s="103" t="s">
        <v>1437</v>
      </c>
      <c r="C54" s="8"/>
      <c r="D54" s="8"/>
      <c r="E54" s="8"/>
      <c r="F54" s="8"/>
      <c r="G54" s="8"/>
      <c r="H54" s="8"/>
      <c r="I54" s="8"/>
      <c r="J54" s="8"/>
      <c r="K54" s="8"/>
    </row>
    <row r="55" customFormat="false" ht="17.25" hidden="false" customHeight="true" outlineLevel="0" collapsed="false">
      <c r="B55" s="152" t="s">
        <v>1438</v>
      </c>
      <c r="C55" s="152" t="s">
        <v>1439</v>
      </c>
      <c r="D55" s="152" t="s">
        <v>1440</v>
      </c>
      <c r="E55" s="152"/>
      <c r="F55" s="152"/>
      <c r="G55" s="152"/>
    </row>
    <row r="56" customFormat="false" ht="17.25" hidden="false" customHeight="true" outlineLevel="0" collapsed="false">
      <c r="B56" s="15" t="s">
        <v>12644</v>
      </c>
      <c r="C56" s="15" t="s">
        <v>12645</v>
      </c>
      <c r="D56" s="15" t="s">
        <v>12646</v>
      </c>
      <c r="E56" s="15"/>
      <c r="F56" s="15"/>
      <c r="G56" s="15"/>
    </row>
    <row r="57" customFormat="false" ht="17.25" hidden="false" customHeight="true" outlineLevel="0" collapsed="false">
      <c r="B57" s="15" t="s">
        <v>12647</v>
      </c>
      <c r="C57" s="15" t="s">
        <v>12648</v>
      </c>
      <c r="D57" s="15" t="s">
        <v>12649</v>
      </c>
      <c r="E57" s="15"/>
      <c r="F57" s="15"/>
      <c r="G57" s="15"/>
    </row>
    <row r="58" customFormat="false" ht="17.25" hidden="false" customHeight="true" outlineLevel="0" collapsed="false">
      <c r="B58" s="15" t="s">
        <v>3248</v>
      </c>
      <c r="C58" s="15" t="s">
        <v>12650</v>
      </c>
      <c r="D58" s="15" t="s">
        <v>12651</v>
      </c>
      <c r="E58" s="15"/>
      <c r="F58" s="15"/>
      <c r="G58" s="15"/>
    </row>
    <row r="59" customFormat="false" ht="17.25" hidden="false" customHeight="true" outlineLevel="0" collapsed="false">
      <c r="B59" s="15" t="s">
        <v>7487</v>
      </c>
      <c r="C59" s="15" t="s">
        <v>12652</v>
      </c>
      <c r="D59" s="15" t="s">
        <v>12653</v>
      </c>
      <c r="E59" s="15"/>
      <c r="F59" s="15"/>
      <c r="G59" s="15"/>
    </row>
    <row r="61" customFormat="false" ht="15.75" hidden="false" customHeight="true" outlineLevel="0" collapsed="false">
      <c r="B61" s="103" t="s">
        <v>1454</v>
      </c>
      <c r="C61" s="8"/>
      <c r="D61" s="8"/>
      <c r="E61" s="8"/>
      <c r="F61" s="8"/>
      <c r="G61" s="8"/>
      <c r="H61" s="8"/>
      <c r="I61" s="8"/>
      <c r="J61" s="8"/>
      <c r="K61" s="8"/>
    </row>
    <row r="62" customFormat="false" ht="15.75" hidden="false" customHeight="true" outlineLevel="0" collapsed="false">
      <c r="B62" s="106" t="s">
        <v>12654</v>
      </c>
      <c r="C62" s="106"/>
      <c r="D62" s="106"/>
      <c r="E62" s="106"/>
      <c r="F62" s="106"/>
      <c r="G62" s="106"/>
    </row>
    <row r="63" customFormat="false" ht="15.75" hidden="false" customHeight="true" outlineLevel="0" collapsed="false">
      <c r="B63" s="106"/>
      <c r="C63" s="106"/>
      <c r="D63" s="106"/>
      <c r="E63" s="106"/>
      <c r="F63" s="106"/>
      <c r="G63" s="106"/>
    </row>
    <row r="64" customFormat="false" ht="15" hidden="false" customHeight="true" outlineLevel="0" collapsed="false">
      <c r="B64" s="112" t="s">
        <v>85</v>
      </c>
      <c r="C64" s="154" t="s">
        <v>86</v>
      </c>
    </row>
    <row r="66" customFormat="false" ht="17.25" hidden="false" customHeight="true" outlineLevel="0" collapsed="false">
      <c r="B66" s="107" t="s">
        <v>12655</v>
      </c>
      <c r="C66" s="107"/>
      <c r="D66" s="107"/>
      <c r="E66" s="107"/>
      <c r="F66" s="107"/>
      <c r="G66" s="107"/>
    </row>
    <row r="67" customFormat="false" ht="28.5" hidden="false" customHeight="true" outlineLevel="0" collapsed="false">
      <c r="B67" s="182" t="s">
        <v>12656</v>
      </c>
      <c r="C67" s="182"/>
      <c r="D67" s="182"/>
      <c r="E67" s="182"/>
      <c r="F67" s="182"/>
      <c r="G67" s="182"/>
    </row>
    <row r="69" customFormat="false" ht="30.75" hidden="false" customHeight="true" outlineLevel="0" collapsed="false">
      <c r="B69" s="152" t="s">
        <v>1245</v>
      </c>
      <c r="C69" s="152" t="s">
        <v>10001</v>
      </c>
      <c r="D69" s="152" t="s">
        <v>12264</v>
      </c>
      <c r="E69" s="152" t="s">
        <v>10003</v>
      </c>
      <c r="F69" s="152" t="s">
        <v>8885</v>
      </c>
      <c r="G69" s="152" t="s">
        <v>7027</v>
      </c>
      <c r="H69" s="152" t="s">
        <v>7029</v>
      </c>
      <c r="I69" s="152" t="s">
        <v>9254</v>
      </c>
      <c r="J69" s="152" t="s">
        <v>12657</v>
      </c>
      <c r="K69" s="152" t="s">
        <v>12658</v>
      </c>
      <c r="L69" s="152" t="s">
        <v>960</v>
      </c>
    </row>
    <row r="70" customFormat="false" ht="16.5" hidden="false" customHeight="true" outlineLevel="0" collapsed="false">
      <c r="B70" s="15" t="s">
        <v>12659</v>
      </c>
      <c r="C70" s="177" t="s">
        <v>5868</v>
      </c>
      <c r="D70" s="177" t="s">
        <v>378</v>
      </c>
      <c r="E70" s="177" t="s">
        <v>640</v>
      </c>
      <c r="F70" s="177" t="s">
        <v>538</v>
      </c>
      <c r="G70" s="177" t="s">
        <v>538</v>
      </c>
      <c r="H70" s="177" t="s">
        <v>640</v>
      </c>
      <c r="I70" s="177" t="s">
        <v>640</v>
      </c>
      <c r="J70" s="161" t="n">
        <f aca="false">IF(C70="A",1,0)+IF(D70="A",1,0)+IF(E70="A",1,0)+IF(F70="A",1,0)+IF(G70="A",1,0)+IF(H70="A",1,0)+IF(I70="A",1,0)</f>
        <v>1</v>
      </c>
      <c r="K70" s="161" t="n">
        <f aca="false">IF(C70="R",1,0)+IF(D70="R",1,0)+IF(E70="R",1,0)+IF(F70="R",1,0)+IF(G70="R",1,0)+IF(H70="R",1,0)+IF(I70="R",1,0)</f>
        <v>1</v>
      </c>
      <c r="L70" s="167" t="str">
        <f aca="false">IF((IF(C70="A",1,0)+IF(D70="A",1,0)+IF(E70="A",1,0)+IF(F70="A",1,0)+IF(G70="A",1,0)+IF(H70="A",1,0)+IF(I70="A",1,0))&lt;&gt;1,"ERROR — there must be exactly one A",IF((IF(C70="R",1,0)+IF(D70="R",1,0)+IF(E70="R",1,0)+IF(F70="R",1,0)+IF(G70="R",1,0)+IF(H70="R",1,0)+IF(I70="R",1,0))=0,"ERROR — nobody is doing the work","OK"))</f>
        <v>OK</v>
      </c>
    </row>
    <row r="71" customFormat="false" ht="16.5" hidden="false" customHeight="true" outlineLevel="0" collapsed="false">
      <c r="B71" s="15" t="s">
        <v>1278</v>
      </c>
      <c r="C71" s="177" t="s">
        <v>378</v>
      </c>
      <c r="D71" s="177" t="s">
        <v>538</v>
      </c>
      <c r="E71" s="177" t="s">
        <v>640</v>
      </c>
      <c r="F71" s="177" t="s">
        <v>5868</v>
      </c>
      <c r="G71" s="177" t="s">
        <v>538</v>
      </c>
      <c r="H71" s="177" t="s">
        <v>640</v>
      </c>
      <c r="I71" s="177" t="s">
        <v>538</v>
      </c>
      <c r="J71" s="161" t="n">
        <f aca="false">IF(C71="A",1,0)+IF(D71="A",1,0)+IF(E71="A",1,0)+IF(F71="A",1,0)+IF(G71="A",1,0)+IF(H71="A",1,0)+IF(I71="A",1,0)</f>
        <v>1</v>
      </c>
      <c r="K71" s="161" t="n">
        <f aca="false">IF(C71="R",1,0)+IF(D71="R",1,0)+IF(E71="R",1,0)+IF(F71="R",1,0)+IF(G71="R",1,0)+IF(H71="R",1,0)+IF(I71="R",1,0)</f>
        <v>1</v>
      </c>
      <c r="L71" s="167" t="str">
        <f aca="false">IF((IF(C71="A",1,0)+IF(D71="A",1,0)+IF(E71="A",1,0)+IF(F71="A",1,0)+IF(G71="A",1,0)+IF(H71="A",1,0)+IF(I71="A",1,0))&lt;&gt;1,"ERROR — there must be exactly one A",IF((IF(C71="R",1,0)+IF(D71="R",1,0)+IF(E71="R",1,0)+IF(F71="R",1,0)+IF(G71="R",1,0)+IF(H71="R",1,0)+IF(I71="R",1,0))=0,"ERROR — nobody is doing the work","OK"))</f>
        <v>OK</v>
      </c>
    </row>
    <row r="72" customFormat="false" ht="16.5" hidden="false" customHeight="true" outlineLevel="0" collapsed="false">
      <c r="B72" s="15" t="s">
        <v>12660</v>
      </c>
      <c r="C72" s="177" t="s">
        <v>378</v>
      </c>
      <c r="D72" s="177" t="s">
        <v>538</v>
      </c>
      <c r="E72" s="177" t="s">
        <v>538</v>
      </c>
      <c r="F72" s="177" t="s">
        <v>640</v>
      </c>
      <c r="G72" s="177" t="s">
        <v>640</v>
      </c>
      <c r="H72" s="177" t="s">
        <v>5868</v>
      </c>
      <c r="I72" s="177" t="s">
        <v>538</v>
      </c>
      <c r="J72" s="161" t="n">
        <f aca="false">IF(C72="A",1,0)+IF(D72="A",1,0)+IF(E72="A",1,0)+IF(F72="A",1,0)+IF(G72="A",1,0)+IF(H72="A",1,0)+IF(I72="A",1,0)</f>
        <v>1</v>
      </c>
      <c r="K72" s="161" t="n">
        <f aca="false">IF(C72="R",1,0)+IF(D72="R",1,0)+IF(E72="R",1,0)+IF(F72="R",1,0)+IF(G72="R",1,0)+IF(H72="R",1,0)+IF(I72="R",1,0)</f>
        <v>1</v>
      </c>
      <c r="L72" s="167" t="str">
        <f aca="false">IF((IF(C72="A",1,0)+IF(D72="A",1,0)+IF(E72="A",1,0)+IF(F72="A",1,0)+IF(G72="A",1,0)+IF(H72="A",1,0)+IF(I72="A",1,0))&lt;&gt;1,"ERROR — there must be exactly one A",IF((IF(C72="R",1,0)+IF(D72="R",1,0)+IF(E72="R",1,0)+IF(F72="R",1,0)+IF(G72="R",1,0)+IF(H72="R",1,0)+IF(I72="R",1,0))=0,"ERROR — nobody is doing the work","OK"))</f>
        <v>OK</v>
      </c>
    </row>
    <row r="73" customFormat="false" ht="16.5" hidden="false" customHeight="true" outlineLevel="0" collapsed="false">
      <c r="B73" s="15" t="s">
        <v>12661</v>
      </c>
      <c r="C73" s="177" t="s">
        <v>378</v>
      </c>
      <c r="D73" s="177" t="s">
        <v>538</v>
      </c>
      <c r="E73" s="177" t="s">
        <v>640</v>
      </c>
      <c r="F73" s="177" t="s">
        <v>640</v>
      </c>
      <c r="G73" s="177" t="s">
        <v>5868</v>
      </c>
      <c r="H73" s="177" t="s">
        <v>640</v>
      </c>
      <c r="I73" s="177" t="s">
        <v>538</v>
      </c>
      <c r="J73" s="161" t="n">
        <f aca="false">IF(C73="A",1,0)+IF(D73="A",1,0)+IF(E73="A",1,0)+IF(F73="A",1,0)+IF(G73="A",1,0)+IF(H73="A",1,0)+IF(I73="A",1,0)</f>
        <v>1</v>
      </c>
      <c r="K73" s="161" t="n">
        <f aca="false">IF(C73="R",1,0)+IF(D73="R",1,0)+IF(E73="R",1,0)+IF(F73="R",1,0)+IF(G73="R",1,0)+IF(H73="R",1,0)+IF(I73="R",1,0)</f>
        <v>1</v>
      </c>
      <c r="L73" s="167" t="str">
        <f aca="false">IF((IF(C73="A",1,0)+IF(D73="A",1,0)+IF(E73="A",1,0)+IF(F73="A",1,0)+IF(G73="A",1,0)+IF(H73="A",1,0)+IF(I73="A",1,0))&lt;&gt;1,"ERROR — there must be exactly one A",IF((IF(C73="R",1,0)+IF(D73="R",1,0)+IF(E73="R",1,0)+IF(F73="R",1,0)+IF(G73="R",1,0)+IF(H73="R",1,0)+IF(I73="R",1,0))=0,"ERROR — nobody is doing the work","OK"))</f>
        <v>OK</v>
      </c>
    </row>
    <row r="74" customFormat="false" ht="16.5" hidden="false" customHeight="true" outlineLevel="0" collapsed="false">
      <c r="B74" s="15" t="s">
        <v>12662</v>
      </c>
      <c r="C74" s="177" t="s">
        <v>5868</v>
      </c>
      <c r="D74" s="177" t="s">
        <v>378</v>
      </c>
      <c r="E74" s="177" t="s">
        <v>640</v>
      </c>
      <c r="F74" s="177" t="s">
        <v>640</v>
      </c>
      <c r="G74" s="177" t="s">
        <v>640</v>
      </c>
      <c r="H74" s="177" t="s">
        <v>640</v>
      </c>
      <c r="I74" s="177" t="s">
        <v>538</v>
      </c>
      <c r="J74" s="161" t="n">
        <f aca="false">IF(C74="A",1,0)+IF(D74="A",1,0)+IF(E74="A",1,0)+IF(F74="A",1,0)+IF(G74="A",1,0)+IF(H74="A",1,0)+IF(I74="A",1,0)</f>
        <v>1</v>
      </c>
      <c r="K74" s="161" t="n">
        <f aca="false">IF(C74="R",1,0)+IF(D74="R",1,0)+IF(E74="R",1,0)+IF(F74="R",1,0)+IF(G74="R",1,0)+IF(H74="R",1,0)+IF(I74="R",1,0)</f>
        <v>1</v>
      </c>
      <c r="L74" s="167" t="str">
        <f aca="false">IF((IF(C74="A",1,0)+IF(D74="A",1,0)+IF(E74="A",1,0)+IF(F74="A",1,0)+IF(G74="A",1,0)+IF(H74="A",1,0)+IF(I74="A",1,0))&lt;&gt;1,"ERROR — there must be exactly one A",IF((IF(C74="R",1,0)+IF(D74="R",1,0)+IF(E74="R",1,0)+IF(F74="R",1,0)+IF(G74="R",1,0)+IF(H74="R",1,0)+IF(I74="R",1,0))=0,"ERROR — nobody is doing the work","OK"))</f>
        <v>OK</v>
      </c>
    </row>
    <row r="75" customFormat="false" ht="16.5" hidden="false" customHeight="true" outlineLevel="0" collapsed="false">
      <c r="B75" s="15" t="s">
        <v>12663</v>
      </c>
      <c r="C75" s="177" t="s">
        <v>640</v>
      </c>
      <c r="D75" s="177" t="s">
        <v>538</v>
      </c>
      <c r="E75" s="177" t="s">
        <v>378</v>
      </c>
      <c r="F75" s="177" t="s">
        <v>5868</v>
      </c>
      <c r="G75" s="177" t="s">
        <v>640</v>
      </c>
      <c r="H75" s="177" t="s">
        <v>640</v>
      </c>
      <c r="I75" s="177" t="s">
        <v>538</v>
      </c>
      <c r="J75" s="161" t="n">
        <f aca="false">IF(C75="A",1,0)+IF(D75="A",1,0)+IF(E75="A",1,0)+IF(F75="A",1,0)+IF(G75="A",1,0)+IF(H75="A",1,0)+IF(I75="A",1,0)</f>
        <v>1</v>
      </c>
      <c r="K75" s="161" t="n">
        <f aca="false">IF(C75="R",1,0)+IF(D75="R",1,0)+IF(E75="R",1,0)+IF(F75="R",1,0)+IF(G75="R",1,0)+IF(H75="R",1,0)+IF(I75="R",1,0)</f>
        <v>1</v>
      </c>
      <c r="L75" s="167" t="str">
        <f aca="false">IF((IF(C75="A",1,0)+IF(D75="A",1,0)+IF(E75="A",1,0)+IF(F75="A",1,0)+IF(G75="A",1,0)+IF(H75="A",1,0)+IF(I75="A",1,0))&lt;&gt;1,"ERROR — there must be exactly one A",IF((IF(C75="R",1,0)+IF(D75="R",1,0)+IF(E75="R",1,0)+IF(F75="R",1,0)+IF(G75="R",1,0)+IF(H75="R",1,0)+IF(I75="R",1,0))=0,"ERROR — nobody is doing the work","OK"))</f>
        <v>OK</v>
      </c>
    </row>
    <row r="76" customFormat="false" ht="16.5" hidden="false" customHeight="true" outlineLevel="0" collapsed="false">
      <c r="B76" s="15" t="s">
        <v>1323</v>
      </c>
      <c r="C76" s="177" t="s">
        <v>640</v>
      </c>
      <c r="D76" s="177" t="s">
        <v>538</v>
      </c>
      <c r="E76" s="177" t="s">
        <v>378</v>
      </c>
      <c r="F76" s="177" t="s">
        <v>5868</v>
      </c>
      <c r="G76" s="177" t="s">
        <v>538</v>
      </c>
      <c r="H76" s="177" t="s">
        <v>640</v>
      </c>
      <c r="I76" s="177" t="s">
        <v>538</v>
      </c>
      <c r="J76" s="161" t="n">
        <f aca="false">IF(C76="A",1,0)+IF(D76="A",1,0)+IF(E76="A",1,0)+IF(F76="A",1,0)+IF(G76="A",1,0)+IF(H76="A",1,0)+IF(I76="A",1,0)</f>
        <v>1</v>
      </c>
      <c r="K76" s="161" t="n">
        <f aca="false">IF(C76="R",1,0)+IF(D76="R",1,0)+IF(E76="R",1,0)+IF(F76="R",1,0)+IF(G76="R",1,0)+IF(H76="R",1,0)+IF(I76="R",1,0)</f>
        <v>1</v>
      </c>
      <c r="L76" s="167" t="str">
        <f aca="false">IF((IF(C76="A",1,0)+IF(D76="A",1,0)+IF(E76="A",1,0)+IF(F76="A",1,0)+IF(G76="A",1,0)+IF(H76="A",1,0)+IF(I76="A",1,0))&lt;&gt;1,"ERROR — there must be exactly one A",IF((IF(C76="R",1,0)+IF(D76="R",1,0)+IF(E76="R",1,0)+IF(F76="R",1,0)+IF(G76="R",1,0)+IF(H76="R",1,0)+IF(I76="R",1,0))=0,"ERROR — nobody is doing the work","OK"))</f>
        <v>OK</v>
      </c>
    </row>
    <row r="77" customFormat="false" ht="16.5" hidden="false" customHeight="true" outlineLevel="0" collapsed="false">
      <c r="B77" s="15" t="s">
        <v>12664</v>
      </c>
      <c r="C77" s="177" t="s">
        <v>640</v>
      </c>
      <c r="D77" s="177" t="s">
        <v>538</v>
      </c>
      <c r="E77" s="177" t="s">
        <v>378</v>
      </c>
      <c r="F77" s="177" t="s">
        <v>640</v>
      </c>
      <c r="G77" s="177" t="s">
        <v>640</v>
      </c>
      <c r="H77" s="177" t="s">
        <v>5868</v>
      </c>
      <c r="I77" s="177" t="s">
        <v>538</v>
      </c>
      <c r="J77" s="161" t="n">
        <f aca="false">IF(C77="A",1,0)+IF(D77="A",1,0)+IF(E77="A",1,0)+IF(F77="A",1,0)+IF(G77="A",1,0)+IF(H77="A",1,0)+IF(I77="A",1,0)</f>
        <v>1</v>
      </c>
      <c r="K77" s="161" t="n">
        <f aca="false">IF(C77="R",1,0)+IF(D77="R",1,0)+IF(E77="R",1,0)+IF(F77="R",1,0)+IF(G77="R",1,0)+IF(H77="R",1,0)+IF(I77="R",1,0)</f>
        <v>1</v>
      </c>
      <c r="L77" s="167" t="str">
        <f aca="false">IF((IF(C77="A",1,0)+IF(D77="A",1,0)+IF(E77="A",1,0)+IF(F77="A",1,0)+IF(G77="A",1,0)+IF(H77="A",1,0)+IF(I77="A",1,0))&lt;&gt;1,"ERROR — there must be exactly one A",IF((IF(C77="R",1,0)+IF(D77="R",1,0)+IF(E77="R",1,0)+IF(F77="R",1,0)+IF(G77="R",1,0)+IF(H77="R",1,0)+IF(I77="R",1,0))=0,"ERROR — nobody is doing the work","OK"))</f>
        <v>OK</v>
      </c>
    </row>
    <row r="78" customFormat="false" ht="16.5" hidden="false" customHeight="true" outlineLevel="0" collapsed="false">
      <c r="B78" s="15" t="s">
        <v>12665</v>
      </c>
      <c r="C78" s="177" t="s">
        <v>5868</v>
      </c>
      <c r="D78" s="177" t="s">
        <v>538</v>
      </c>
      <c r="E78" s="177" t="s">
        <v>640</v>
      </c>
      <c r="F78" s="177" t="s">
        <v>538</v>
      </c>
      <c r="G78" s="177" t="s">
        <v>538</v>
      </c>
      <c r="H78" s="177" t="s">
        <v>640</v>
      </c>
      <c r="I78" s="177" t="s">
        <v>378</v>
      </c>
      <c r="J78" s="161" t="n">
        <f aca="false">IF(C78="A",1,0)+IF(D78="A",1,0)+IF(E78="A",1,0)+IF(F78="A",1,0)+IF(G78="A",1,0)+IF(H78="A",1,0)+IF(I78="A",1,0)</f>
        <v>1</v>
      </c>
      <c r="K78" s="161" t="n">
        <f aca="false">IF(C78="R",1,0)+IF(D78="R",1,0)+IF(E78="R",1,0)+IF(F78="R",1,0)+IF(G78="R",1,0)+IF(H78="R",1,0)+IF(I78="R",1,0)</f>
        <v>1</v>
      </c>
      <c r="L78" s="167" t="str">
        <f aca="false">IF((IF(C78="A",1,0)+IF(D78="A",1,0)+IF(E78="A",1,0)+IF(F78="A",1,0)+IF(G78="A",1,0)+IF(H78="A",1,0)+IF(I78="A",1,0))&lt;&gt;1,"ERROR — there must be exactly one A",IF((IF(C78="R",1,0)+IF(D78="R",1,0)+IF(E78="R",1,0)+IF(F78="R",1,0)+IF(G78="R",1,0)+IF(H78="R",1,0)+IF(I78="R",1,0))=0,"ERROR — nobody is doing the work","OK"))</f>
        <v>OK</v>
      </c>
    </row>
    <row r="79" customFormat="false" ht="16.5" hidden="false" customHeight="true" outlineLevel="0" collapsed="false">
      <c r="B79" s="15" t="s">
        <v>12666</v>
      </c>
      <c r="C79" s="177" t="s">
        <v>5868</v>
      </c>
      <c r="D79" s="177" t="s">
        <v>378</v>
      </c>
      <c r="E79" s="177" t="s">
        <v>640</v>
      </c>
      <c r="F79" s="177" t="s">
        <v>538</v>
      </c>
      <c r="G79" s="177" t="s">
        <v>538</v>
      </c>
      <c r="H79" s="177" t="s">
        <v>538</v>
      </c>
      <c r="I79" s="177" t="s">
        <v>640</v>
      </c>
      <c r="J79" s="161" t="n">
        <f aca="false">IF(C79="A",1,0)+IF(D79="A",1,0)+IF(E79="A",1,0)+IF(F79="A",1,0)+IF(G79="A",1,0)+IF(H79="A",1,0)+IF(I79="A",1,0)</f>
        <v>1</v>
      </c>
      <c r="K79" s="161" t="n">
        <f aca="false">IF(C79="R",1,0)+IF(D79="R",1,0)+IF(E79="R",1,0)+IF(F79="R",1,0)+IF(G79="R",1,0)+IF(H79="R",1,0)+IF(I79="R",1,0)</f>
        <v>1</v>
      </c>
      <c r="L79" s="167" t="str">
        <f aca="false">IF((IF(C79="A",1,0)+IF(D79="A",1,0)+IF(E79="A",1,0)+IF(F79="A",1,0)+IF(G79="A",1,0)+IF(H79="A",1,0)+IF(I79="A",1,0))&lt;&gt;1,"ERROR — there must be exactly one A",IF((IF(C79="R",1,0)+IF(D79="R",1,0)+IF(E79="R",1,0)+IF(F79="R",1,0)+IF(G79="R",1,0)+IF(H79="R",1,0)+IF(I79="R",1,0))=0,"ERROR — nobody is doing the work","OK"))</f>
        <v>OK</v>
      </c>
    </row>
    <row r="81" customFormat="false" ht="17.25" hidden="false" customHeight="true" outlineLevel="0" collapsed="false">
      <c r="B81" s="107" t="s">
        <v>12667</v>
      </c>
      <c r="C81" s="107"/>
      <c r="D81" s="107"/>
      <c r="E81" s="107"/>
      <c r="F81" s="107"/>
      <c r="G81" s="107"/>
    </row>
    <row r="82" customFormat="false" ht="17.25" hidden="false" customHeight="true" outlineLevel="0" collapsed="false">
      <c r="B82" s="152" t="s">
        <v>7618</v>
      </c>
      <c r="C82" s="152" t="s">
        <v>12668</v>
      </c>
      <c r="D82" s="152" t="s">
        <v>12669</v>
      </c>
      <c r="E82" s="152" t="s">
        <v>12670</v>
      </c>
      <c r="F82" s="152" t="s">
        <v>12671</v>
      </c>
      <c r="G82" s="152" t="s">
        <v>12672</v>
      </c>
      <c r="H82" s="152" t="s">
        <v>7522</v>
      </c>
      <c r="I82" s="152"/>
      <c r="J82" s="152"/>
      <c r="K82" s="152"/>
    </row>
    <row r="83" customFormat="false" ht="17.25" hidden="false" customHeight="true" outlineLevel="0" collapsed="false">
      <c r="B83" s="15" t="s">
        <v>10001</v>
      </c>
      <c r="C83" s="161" t="n">
        <f aca="false">COUNTIF(C70:C79,"R")</f>
        <v>4</v>
      </c>
      <c r="D83" s="161" t="n">
        <f aca="false">COUNTIF(C70:C79,"A")</f>
        <v>3</v>
      </c>
      <c r="E83" s="161" t="n">
        <f aca="false">COUNTIF(C70:C79,"C")</f>
        <v>3</v>
      </c>
      <c r="F83" s="161" t="n">
        <f aca="false">COUNTIF(C70:C79,"I")</f>
        <v>0</v>
      </c>
      <c r="G83" s="161" t="n">
        <f aca="false">COUNTIF(C70:C79,"R")+COUNTIF(C70:C79,"A")</f>
        <v>7</v>
      </c>
      <c r="H83" s="167" t="str">
        <f aca="false">IF(COUNTIF(C70:C79,"R")+COUNTIF(C70:C79,"A")&gt;=6,"Overloaded — check this is realistic",IF(COUNTIF(C70:C79,"R")+COUNTIF(C70:C79,"A")=0,"No active role — should they be on the matrix at all?","Balanced"))</f>
        <v>Overloaded — check this is realistic</v>
      </c>
      <c r="I83" s="167"/>
      <c r="J83" s="167"/>
      <c r="K83" s="167"/>
    </row>
    <row r="84" customFormat="false" ht="17.25" hidden="false" customHeight="true" outlineLevel="0" collapsed="false">
      <c r="B84" s="15" t="s">
        <v>12264</v>
      </c>
      <c r="C84" s="161" t="n">
        <f aca="false">COUNTIF(D70:D79,"R")</f>
        <v>0</v>
      </c>
      <c r="D84" s="161" t="n">
        <f aca="false">COUNTIF(D70:D79,"A")</f>
        <v>3</v>
      </c>
      <c r="E84" s="161" t="n">
        <f aca="false">COUNTIF(D70:D79,"C")</f>
        <v>0</v>
      </c>
      <c r="F84" s="161" t="n">
        <f aca="false">COUNTIF(D70:D79,"I")</f>
        <v>7</v>
      </c>
      <c r="G84" s="161" t="n">
        <f aca="false">COUNTIF(D70:D79,"R")+COUNTIF(D70:D79,"A")</f>
        <v>3</v>
      </c>
      <c r="H84" s="167" t="str">
        <f aca="false">IF(COUNTIF(D70:D79,"R")+COUNTIF(D70:D79,"A")&gt;=6,"Overloaded — check this is realistic",IF(COUNTIF(D70:D79,"R")+COUNTIF(D70:D79,"A")=0,"No active role — should they be on the matrix at all?","Balanced"))</f>
        <v>Balanced</v>
      </c>
      <c r="I84" s="167"/>
      <c r="J84" s="167"/>
      <c r="K84" s="167"/>
    </row>
    <row r="85" customFormat="false" ht="17.25" hidden="false" customHeight="true" outlineLevel="0" collapsed="false">
      <c r="B85" s="15" t="s">
        <v>10003</v>
      </c>
      <c r="C85" s="161" t="n">
        <f aca="false">COUNTIF(E70:E79,"R")</f>
        <v>0</v>
      </c>
      <c r="D85" s="161" t="n">
        <f aca="false">COUNTIF(E70:E79,"A")</f>
        <v>3</v>
      </c>
      <c r="E85" s="161" t="n">
        <f aca="false">COUNTIF(E70:E79,"C")</f>
        <v>6</v>
      </c>
      <c r="F85" s="161" t="n">
        <f aca="false">COUNTIF(E70:E79,"I")</f>
        <v>1</v>
      </c>
      <c r="G85" s="161" t="n">
        <f aca="false">COUNTIF(E70:E79,"R")+COUNTIF(E70:E79,"A")</f>
        <v>3</v>
      </c>
      <c r="H85" s="167" t="str">
        <f aca="false">IF(COUNTIF(E70:E79,"R")+COUNTIF(E70:E79,"A")&gt;=6,"Overloaded — check this is realistic",IF(COUNTIF(E70:E79,"R")+COUNTIF(E70:E79,"A")=0,"No active role — should they be on the matrix at all?","Balanced"))</f>
        <v>Balanced</v>
      </c>
      <c r="I85" s="167"/>
      <c r="J85" s="167"/>
      <c r="K85" s="167"/>
    </row>
    <row r="86" customFormat="false" ht="17.25" hidden="false" customHeight="true" outlineLevel="0" collapsed="false">
      <c r="B86" s="15" t="s">
        <v>8885</v>
      </c>
      <c r="C86" s="161" t="n">
        <f aca="false">COUNTIF(F70:F79,"R")</f>
        <v>3</v>
      </c>
      <c r="D86" s="161" t="n">
        <f aca="false">COUNTIF(F70:F79,"A")</f>
        <v>0</v>
      </c>
      <c r="E86" s="161" t="n">
        <f aca="false">COUNTIF(F70:F79,"C")</f>
        <v>4</v>
      </c>
      <c r="F86" s="161" t="n">
        <f aca="false">COUNTIF(F70:F79,"I")</f>
        <v>3</v>
      </c>
      <c r="G86" s="161" t="n">
        <f aca="false">COUNTIF(F70:F79,"R")+COUNTIF(F70:F79,"A")</f>
        <v>3</v>
      </c>
      <c r="H86" s="167" t="str">
        <f aca="false">IF(COUNTIF(F70:F79,"R")+COUNTIF(F70:F79,"A")&gt;=6,"Overloaded — check this is realistic",IF(COUNTIF(F70:F79,"R")+COUNTIF(F70:F79,"A")=0,"No active role — should they be on the matrix at all?","Balanced"))</f>
        <v>Balanced</v>
      </c>
      <c r="I86" s="167"/>
      <c r="J86" s="167"/>
      <c r="K86" s="167"/>
    </row>
    <row r="87" customFormat="false" ht="17.25" hidden="false" customHeight="true" outlineLevel="0" collapsed="false">
      <c r="B87" s="15" t="s">
        <v>7027</v>
      </c>
      <c r="C87" s="161" t="n">
        <f aca="false">COUNTIF(G70:G79,"R")</f>
        <v>1</v>
      </c>
      <c r="D87" s="161" t="n">
        <f aca="false">COUNTIF(G70:G79,"A")</f>
        <v>0</v>
      </c>
      <c r="E87" s="161" t="n">
        <f aca="false">COUNTIF(G70:G79,"C")</f>
        <v>4</v>
      </c>
      <c r="F87" s="161" t="n">
        <f aca="false">COUNTIF(G70:G79,"I")</f>
        <v>5</v>
      </c>
      <c r="G87" s="161" t="n">
        <f aca="false">COUNTIF(G70:G79,"R")+COUNTIF(G70:G79,"A")</f>
        <v>1</v>
      </c>
      <c r="H87" s="167" t="str">
        <f aca="false">IF(COUNTIF(G70:G79,"R")+COUNTIF(G70:G79,"A")&gt;=6,"Overloaded — check this is realistic",IF(COUNTIF(G70:G79,"R")+COUNTIF(G70:G79,"A")=0,"No active role — should they be on the matrix at all?","Balanced"))</f>
        <v>Balanced</v>
      </c>
      <c r="I87" s="167"/>
      <c r="J87" s="167"/>
      <c r="K87" s="167"/>
    </row>
    <row r="88" customFormat="false" ht="17.25" hidden="false" customHeight="true" outlineLevel="0" collapsed="false">
      <c r="B88" s="15" t="s">
        <v>7029</v>
      </c>
      <c r="C88" s="161" t="n">
        <f aca="false">COUNTIF(H70:H79,"R")</f>
        <v>2</v>
      </c>
      <c r="D88" s="161" t="n">
        <f aca="false">COUNTIF(H70:H79,"A")</f>
        <v>0</v>
      </c>
      <c r="E88" s="161" t="n">
        <f aca="false">COUNTIF(H70:H79,"C")</f>
        <v>7</v>
      </c>
      <c r="F88" s="161" t="n">
        <f aca="false">COUNTIF(H70:H79,"I")</f>
        <v>1</v>
      </c>
      <c r="G88" s="161" t="n">
        <f aca="false">COUNTIF(H70:H79,"R")+COUNTIF(H70:H79,"A")</f>
        <v>2</v>
      </c>
      <c r="H88" s="167" t="str">
        <f aca="false">IF(COUNTIF(H70:H79,"R")+COUNTIF(H70:H79,"A")&gt;=6,"Overloaded — check this is realistic",IF(COUNTIF(H70:H79,"R")+COUNTIF(H70:H79,"A")=0,"No active role — should they be on the matrix at all?","Balanced"))</f>
        <v>Balanced</v>
      </c>
      <c r="I88" s="167"/>
      <c r="J88" s="167"/>
      <c r="K88" s="167"/>
    </row>
    <row r="89" customFormat="false" ht="17.25" hidden="false" customHeight="true" outlineLevel="0" collapsed="false">
      <c r="B89" s="15" t="s">
        <v>9254</v>
      </c>
      <c r="C89" s="161" t="n">
        <f aca="false">COUNTIF(I70:I79,"R")</f>
        <v>0</v>
      </c>
      <c r="D89" s="161" t="n">
        <f aca="false">COUNTIF(I70:I79,"A")</f>
        <v>1</v>
      </c>
      <c r="E89" s="161" t="n">
        <f aca="false">COUNTIF(I70:I79,"C")</f>
        <v>2</v>
      </c>
      <c r="F89" s="161" t="n">
        <f aca="false">COUNTIF(I70:I79,"I")</f>
        <v>7</v>
      </c>
      <c r="G89" s="161" t="n">
        <f aca="false">COUNTIF(I70:I79,"R")+COUNTIF(I70:I79,"A")</f>
        <v>1</v>
      </c>
      <c r="H89" s="167" t="str">
        <f aca="false">IF(COUNTIF(I70:I79,"R")+COUNTIF(I70:I79,"A")&gt;=6,"Overloaded — check this is realistic",IF(COUNTIF(I70:I79,"R")+COUNTIF(I70:I79,"A")=0,"No active role — should they be on the matrix at all?","Balanced"))</f>
        <v>Balanced</v>
      </c>
      <c r="I89" s="167"/>
      <c r="J89" s="167"/>
      <c r="K89" s="167"/>
    </row>
    <row r="91" customFormat="false" ht="17.25" hidden="false" customHeight="true" outlineLevel="0" collapsed="false">
      <c r="B91" s="152" t="s">
        <v>6689</v>
      </c>
      <c r="C91" s="152" t="s">
        <v>6654</v>
      </c>
      <c r="D91" s="152" t="s">
        <v>88</v>
      </c>
      <c r="E91" s="152"/>
      <c r="F91" s="152"/>
    </row>
    <row r="92" customFormat="false" ht="17.25" hidden="false" customHeight="true" outlineLevel="0" collapsed="false">
      <c r="B92" s="15" t="s">
        <v>12673</v>
      </c>
      <c r="C92" s="161" t="n">
        <f aca="false">COUNTA(B70:B79)</f>
        <v>10</v>
      </c>
      <c r="D92" s="15"/>
      <c r="E92" s="15"/>
      <c r="F92" s="15"/>
    </row>
    <row r="93" customFormat="false" ht="17.25" hidden="false" customHeight="true" outlineLevel="0" collapsed="false">
      <c r="B93" s="15" t="s">
        <v>12674</v>
      </c>
      <c r="C93" s="161" t="n">
        <f aca="false">COUNTIF(L70:L79,"ERROR*")</f>
        <v>0</v>
      </c>
      <c r="D93" s="15" t="s">
        <v>12675</v>
      </c>
      <c r="E93" s="15"/>
      <c r="F93" s="15"/>
    </row>
    <row r="94" customFormat="false" ht="17.25" hidden="false" customHeight="true" outlineLevel="0" collapsed="false">
      <c r="B94" s="15" t="s">
        <v>12676</v>
      </c>
      <c r="C94" s="161" t="n">
        <f aca="false">MAX(G83:G89)</f>
        <v>7</v>
      </c>
      <c r="D94" s="15" t="s">
        <v>12677</v>
      </c>
      <c r="E94" s="15"/>
      <c r="F94" s="15"/>
    </row>
    <row r="95" customFormat="false" ht="17.25" hidden="false" customHeight="true" outlineLevel="0" collapsed="false">
      <c r="B95" s="15" t="s">
        <v>12678</v>
      </c>
      <c r="C95" s="167" t="str">
        <f aca="false">INDEX(B83:B89,MATCH(MAX(G83:G89),G83:G89,0))</f>
        <v>Black Belt</v>
      </c>
      <c r="D95" s="15"/>
      <c r="E95" s="15"/>
      <c r="F95" s="15"/>
    </row>
    <row r="96" customFormat="false" ht="17.25" hidden="false" customHeight="true" outlineLevel="0" collapsed="false">
      <c r="B96" s="15" t="s">
        <v>12679</v>
      </c>
      <c r="C96" s="161" t="n">
        <f aca="false">COUNTIF(H83:H89,"No active role*")</f>
        <v>0</v>
      </c>
      <c r="D96" s="15" t="s">
        <v>12680</v>
      </c>
      <c r="E96" s="15"/>
      <c r="F96" s="15"/>
    </row>
    <row r="97" customFormat="false" ht="31.5" hidden="false" customHeight="true" outlineLevel="0" collapsed="false">
      <c r="B97" s="15" t="s">
        <v>12681</v>
      </c>
      <c r="C97" s="161" t="n">
        <f aca="false">SUM(E83:E89)</f>
        <v>26</v>
      </c>
      <c r="D97" s="15" t="s">
        <v>12682</v>
      </c>
      <c r="E97" s="15"/>
      <c r="F97" s="15"/>
    </row>
    <row r="99" customFormat="false" ht="15.75" hidden="false" customHeight="true" outlineLevel="0" collapsed="false">
      <c r="B99" s="103" t="s">
        <v>1493</v>
      </c>
      <c r="C99" s="8"/>
      <c r="D99" s="8"/>
      <c r="E99" s="8"/>
      <c r="F99" s="8"/>
      <c r="G99" s="8"/>
      <c r="H99" s="8"/>
      <c r="I99" s="8"/>
      <c r="J99" s="8"/>
      <c r="K99" s="8"/>
    </row>
    <row r="100" customFormat="false" ht="65.25" hidden="false" customHeight="true" outlineLevel="0" collapsed="false">
      <c r="B100" s="105" t="s">
        <v>1494</v>
      </c>
      <c r="C100" s="168" t="str">
        <f aca="false">"The matrix covers "&amp;TEXT(C92,"0")&amp;" deliverables across "&amp;TEXT(COUNTA(B83:B89),"0")&amp;" roles. The heaviest load is "&amp;C95&amp;" with "&amp;TEXT(C94,"0")&amp;" R or A assignments. "&amp;IF(C93&gt;0,"WARNING: "&amp;TEXT(C93,"0")&amp;" row(s) fail the structural check — either no single Accountable, or nobody Responsible. Ambiguous accountability is what turns a delay into an argument. Fix these before the matrix is published.","Every row has exactly one Accountable and at least one Responsible, which is the structural test a RACI must pass.")&amp;IF(C97&gt;18," Consultation load is high ("&amp;TEXT(C97,"0")&amp;" C entries): every C is a conversation before a decision, so check that each one genuinely needs two-way dialogue rather than being informed.","")</f>
        <v>The matrix covers 10 deliverables across 7 roles. The heaviest load is Black Belt with 7 R or A assignments. Every row has exactly one Accountable and at least one Responsible, which is the structural test a RACI must pass. Consultation load is high (26 C entries): every C is a conversation before a decision, so check that each one genuinely needs two-way dialogue rather than being informed.</v>
      </c>
      <c r="D100" s="168"/>
      <c r="E100" s="168"/>
      <c r="F100" s="168"/>
      <c r="G100" s="168"/>
    </row>
    <row r="102" customFormat="false" ht="17.25" hidden="false" customHeight="true" outlineLevel="0" collapsed="false">
      <c r="B102" s="152" t="s">
        <v>1495</v>
      </c>
      <c r="C102" s="152" t="s">
        <v>1496</v>
      </c>
      <c r="D102" s="152" t="s">
        <v>1497</v>
      </c>
      <c r="E102" s="152"/>
      <c r="F102" s="152"/>
      <c r="G102" s="152"/>
    </row>
    <row r="103" customFormat="false" ht="17.25" hidden="false" customHeight="true" outlineLevel="0" collapsed="false">
      <c r="B103" s="15" t="s">
        <v>12683</v>
      </c>
      <c r="C103" s="15" t="s">
        <v>12684</v>
      </c>
      <c r="D103" s="15" t="s">
        <v>12685</v>
      </c>
      <c r="E103" s="15"/>
      <c r="F103" s="15"/>
      <c r="G103" s="15"/>
    </row>
    <row r="104" customFormat="false" ht="17.25" hidden="false" customHeight="true" outlineLevel="0" collapsed="false">
      <c r="B104" s="15" t="s">
        <v>12686</v>
      </c>
      <c r="C104" s="15" t="s">
        <v>12687</v>
      </c>
      <c r="D104" s="15" t="s">
        <v>12688</v>
      </c>
      <c r="E104" s="15"/>
      <c r="F104" s="15"/>
      <c r="G104" s="15"/>
    </row>
    <row r="105" customFormat="false" ht="17.25" hidden="false" customHeight="true" outlineLevel="0" collapsed="false">
      <c r="B105" s="15" t="s">
        <v>12689</v>
      </c>
      <c r="C105" s="15" t="s">
        <v>12690</v>
      </c>
      <c r="D105" s="15" t="s">
        <v>12691</v>
      </c>
      <c r="E105" s="15"/>
      <c r="F105" s="15"/>
      <c r="G105" s="15"/>
    </row>
    <row r="106" customFormat="false" ht="17.25" hidden="false" customHeight="true" outlineLevel="0" collapsed="false">
      <c r="B106" s="15" t="s">
        <v>12692</v>
      </c>
      <c r="C106" s="15" t="s">
        <v>12693</v>
      </c>
      <c r="D106" s="15" t="s">
        <v>12694</v>
      </c>
      <c r="E106" s="15"/>
      <c r="F106" s="15"/>
      <c r="G106" s="15"/>
    </row>
    <row r="107" customFormat="false" ht="17.25" hidden="false" customHeight="true" outlineLevel="0" collapsed="false">
      <c r="B107" s="15" t="s">
        <v>12695</v>
      </c>
      <c r="C107" s="15" t="s">
        <v>12696</v>
      </c>
      <c r="D107" s="15" t="s">
        <v>12697</v>
      </c>
      <c r="E107" s="15"/>
      <c r="F107" s="15"/>
      <c r="G107" s="15"/>
    </row>
    <row r="109" customFormat="false" ht="15" hidden="false" customHeight="true" outlineLevel="0" collapsed="false">
      <c r="B109" s="105" t="s">
        <v>1507</v>
      </c>
    </row>
    <row r="110" customFormat="false" ht="17.25" hidden="false" customHeight="true" outlineLevel="0" collapsed="false">
      <c r="B110" s="106" t="s">
        <v>12698</v>
      </c>
      <c r="C110" s="106"/>
      <c r="D110" s="106"/>
      <c r="E110" s="106"/>
      <c r="F110" s="106"/>
      <c r="G110" s="106"/>
    </row>
    <row r="111" customFormat="false" ht="17.25" hidden="false" customHeight="true" outlineLevel="0" collapsed="false">
      <c r="B111" s="106" t="s">
        <v>12699</v>
      </c>
      <c r="C111" s="106"/>
      <c r="D111" s="106"/>
      <c r="E111" s="106"/>
      <c r="F111" s="106"/>
      <c r="G111" s="106"/>
    </row>
    <row r="112" customFormat="false" ht="17.25" hidden="false" customHeight="true" outlineLevel="0" collapsed="false">
      <c r="B112" s="106" t="s">
        <v>12700</v>
      </c>
      <c r="C112" s="106"/>
      <c r="D112" s="106"/>
      <c r="E112" s="106"/>
      <c r="F112" s="106"/>
      <c r="G112" s="106"/>
    </row>
    <row r="113" customFormat="false" ht="17.25" hidden="false" customHeight="true" outlineLevel="0" collapsed="false">
      <c r="B113" s="106" t="s">
        <v>12701</v>
      </c>
      <c r="C113" s="106"/>
      <c r="D113" s="106"/>
      <c r="E113" s="106"/>
      <c r="F113" s="106"/>
      <c r="G113" s="106"/>
    </row>
    <row r="114" customFormat="false" ht="17.25" hidden="false" customHeight="true" outlineLevel="0" collapsed="false">
      <c r="B114" s="106" t="s">
        <v>12702</v>
      </c>
      <c r="C114" s="106"/>
      <c r="D114" s="106"/>
      <c r="E114" s="106"/>
      <c r="F114" s="106"/>
      <c r="G114" s="106"/>
    </row>
    <row r="116" customFormat="false" ht="15.75" hidden="false" customHeight="true" outlineLevel="0" collapsed="false">
      <c r="B116" s="103" t="s">
        <v>1513</v>
      </c>
      <c r="C116" s="8"/>
      <c r="D116" s="8"/>
      <c r="E116" s="8"/>
      <c r="F116" s="8"/>
      <c r="G116" s="8"/>
      <c r="H116" s="8"/>
      <c r="I116" s="8"/>
      <c r="J116" s="8"/>
      <c r="K116" s="8"/>
    </row>
    <row r="117" customFormat="false" ht="17.25" hidden="false" customHeight="true" outlineLevel="0" collapsed="false">
      <c r="B117" s="106" t="s">
        <v>6712</v>
      </c>
      <c r="C117" s="106"/>
      <c r="D117" s="106"/>
      <c r="E117" s="106"/>
      <c r="N117" s="169" t="s">
        <v>1515</v>
      </c>
    </row>
    <row r="118" customFormat="false" ht="44.25" hidden="false" customHeight="true" outlineLevel="0" collapsed="false">
      <c r="B118" s="106" t="s">
        <v>12703</v>
      </c>
      <c r="C118" s="106"/>
      <c r="D118" s="106"/>
      <c r="E118" s="106"/>
      <c r="N118" s="120" t="s">
        <v>12704</v>
      </c>
    </row>
    <row r="119" customFormat="false" ht="58.5" hidden="false" customHeight="true" outlineLevel="0" collapsed="false">
      <c r="B119" s="106" t="s">
        <v>12705</v>
      </c>
      <c r="C119" s="106"/>
      <c r="D119" s="106"/>
      <c r="E119" s="106"/>
      <c r="N119" s="120" t="s">
        <v>12706</v>
      </c>
    </row>
    <row r="120" customFormat="false" ht="44.25" hidden="false" customHeight="true" outlineLevel="0" collapsed="false">
      <c r="B120" s="106" t="s">
        <v>12707</v>
      </c>
      <c r="C120" s="106"/>
      <c r="D120" s="106"/>
      <c r="E120" s="106"/>
      <c r="N120" s="120" t="s">
        <v>12708</v>
      </c>
    </row>
    <row r="122" customFormat="false" ht="15.75" hidden="false" customHeight="true" outlineLevel="0" collapsed="false">
      <c r="B122" s="103" t="s">
        <v>1522</v>
      </c>
      <c r="C122" s="8"/>
      <c r="D122" s="8"/>
      <c r="E122" s="8"/>
      <c r="F122" s="8"/>
      <c r="G122" s="8"/>
      <c r="H122" s="8"/>
      <c r="I122" s="8"/>
      <c r="J122" s="8"/>
      <c r="K122" s="8"/>
    </row>
    <row r="123" customFormat="false" ht="17.25" hidden="false" customHeight="true" outlineLevel="0" collapsed="false">
      <c r="B123" s="152" t="s">
        <v>1523</v>
      </c>
      <c r="C123" s="152" t="s">
        <v>1524</v>
      </c>
      <c r="D123" s="152" t="s">
        <v>6719</v>
      </c>
      <c r="E123" s="152"/>
    </row>
    <row r="124" customFormat="false" ht="17.25" hidden="false" customHeight="true" outlineLevel="0" collapsed="false">
      <c r="B124" s="170" t="s">
        <v>1259</v>
      </c>
      <c r="C124" s="170" t="s">
        <v>12494</v>
      </c>
      <c r="D124" s="171" t="s">
        <v>12709</v>
      </c>
      <c r="E124" s="171"/>
    </row>
  </sheetData>
  <mergeCells count="70">
    <mergeCell ref="B2:J2"/>
    <mergeCell ref="D3:G3"/>
    <mergeCell ref="C6:D6"/>
    <mergeCell ref="C7:D7"/>
    <mergeCell ref="C8:D8"/>
    <mergeCell ref="B11:G13"/>
    <mergeCell ref="B14:G14"/>
    <mergeCell ref="B15:G17"/>
    <mergeCell ref="B18:G18"/>
    <mergeCell ref="B19:G21"/>
    <mergeCell ref="B22:G23"/>
    <mergeCell ref="B24:G26"/>
    <mergeCell ref="B29:C29"/>
    <mergeCell ref="E29:G29"/>
    <mergeCell ref="B30:C30"/>
    <mergeCell ref="E30:G30"/>
    <mergeCell ref="B31:C31"/>
    <mergeCell ref="E31:G31"/>
    <mergeCell ref="B32:C32"/>
    <mergeCell ref="E32:G32"/>
    <mergeCell ref="B33:G33"/>
    <mergeCell ref="B42:G42"/>
    <mergeCell ref="B43:G43"/>
    <mergeCell ref="B44:G44"/>
    <mergeCell ref="B45:G45"/>
    <mergeCell ref="B47:G47"/>
    <mergeCell ref="B48:G49"/>
    <mergeCell ref="B51:G52"/>
    <mergeCell ref="D55:G55"/>
    <mergeCell ref="D56:G56"/>
    <mergeCell ref="D57:G57"/>
    <mergeCell ref="D58:G58"/>
    <mergeCell ref="D59:G59"/>
    <mergeCell ref="B62:G63"/>
    <mergeCell ref="B66:G66"/>
    <mergeCell ref="B67:G67"/>
    <mergeCell ref="B81:G81"/>
    <mergeCell ref="H82:K82"/>
    <mergeCell ref="H83:K83"/>
    <mergeCell ref="H84:K84"/>
    <mergeCell ref="H85:K85"/>
    <mergeCell ref="H86:K86"/>
    <mergeCell ref="H87:K87"/>
    <mergeCell ref="H88:K88"/>
    <mergeCell ref="H89:K89"/>
    <mergeCell ref="D91:F91"/>
    <mergeCell ref="D92:F92"/>
    <mergeCell ref="D93:F93"/>
    <mergeCell ref="D94:F94"/>
    <mergeCell ref="D95:F95"/>
    <mergeCell ref="D96:F96"/>
    <mergeCell ref="D97:F97"/>
    <mergeCell ref="C100:G100"/>
    <mergeCell ref="D102:G102"/>
    <mergeCell ref="D103:G103"/>
    <mergeCell ref="D104:G104"/>
    <mergeCell ref="D105:G105"/>
    <mergeCell ref="D106:G106"/>
    <mergeCell ref="D107:G107"/>
    <mergeCell ref="B110:G110"/>
    <mergeCell ref="B111:G111"/>
    <mergeCell ref="B112:G112"/>
    <mergeCell ref="B113:G113"/>
    <mergeCell ref="B114:G114"/>
    <mergeCell ref="B117:E117"/>
    <mergeCell ref="B118:E118"/>
    <mergeCell ref="B119:E119"/>
    <mergeCell ref="B120:E120"/>
    <mergeCell ref="D123:E123"/>
    <mergeCell ref="D124:E124"/>
  </mergeCells>
  <hyperlinks>
    <hyperlink ref="B3" location="'N-03 Index DMAIC'!A1" display="← Back to Index"/>
    <hyperlink ref="E36" location="'G-03 Stakeholder Analysis'!A1" display="G-03  Stakeholder Analysis"/>
    <hyperlink ref="E37" location="'H-01 Project Charter'!A1" display="H-01  Project Charter"/>
    <hyperlink ref="E38" location="'G-08 Schedule and CPM'!A1" display="G-08  Project Schedule and CPM"/>
    <hyperlink ref="E39" location="'G-05 Communication Plan'!A1" display="G-05  Communication Plan"/>
    <hyperlink ref="B124" location="'G-03 Stakeholder Analysis'!A1" display="G-03  Stakeholder Analysis"/>
    <hyperlink ref="C124" location="'G-05 Communication Plan'!A1" display="G-05  Communication Plan"/>
    <hyperlink ref="D124" location="'G-10 Closure Replication'!A1" display="G-10  Closure and Replic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N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26"/>
    <col collapsed="false" customWidth="true" hidden="false" outlineLevel="0" max="4" min="4" style="1" width="40"/>
    <col collapsed="false" customWidth="true" hidden="false" outlineLevel="0" max="5" min="5" style="1" width="26"/>
    <col collapsed="false" customWidth="true" hidden="false" outlineLevel="0" max="7" min="6" style="1" width="20"/>
    <col collapsed="false" customWidth="true" hidden="false" outlineLevel="0" max="8" min="8" style="1" width="24"/>
    <col collapsed="false" customWidth="true" hidden="false" outlineLevel="0" max="9" min="9" style="1" width="36"/>
    <col collapsed="false" customWidth="true" hidden="false" outlineLevel="0" max="10" min="10" style="1" width="16"/>
    <col collapsed="false" customWidth="true" hidden="false" outlineLevel="0" max="11" min="11" style="1" width="14"/>
    <col collapsed="false" customWidth="true" hidden="false" outlineLevel="0" max="12" min="12" style="1" width="34"/>
    <col collapsed="false" customWidth="true" hidden="false" outlineLevel="0" max="14" min="13" style="1" width="13"/>
  </cols>
  <sheetData>
    <row r="1" customFormat="false" ht="15" hidden="false" customHeight="true" outlineLevel="0" collapsed="false">
      <c r="A1" s="147" t="s">
        <v>0</v>
      </c>
    </row>
    <row r="2" customFormat="false" ht="22.5" hidden="false" customHeight="true" outlineLevel="0" collapsed="false">
      <c r="B2" s="148" t="s">
        <v>12710</v>
      </c>
      <c r="C2" s="148"/>
      <c r="D2" s="148"/>
      <c r="E2" s="148"/>
      <c r="F2" s="148"/>
      <c r="G2" s="148"/>
      <c r="H2" s="148"/>
      <c r="I2" s="148"/>
      <c r="J2" s="148"/>
      <c r="K2" s="195" t="s">
        <v>9949</v>
      </c>
    </row>
    <row r="3" customFormat="false" ht="42" hidden="false" customHeight="true" outlineLevel="0" collapsed="false">
      <c r="B3" s="150" t="s">
        <v>3</v>
      </c>
      <c r="D3" s="151" t="s">
        <v>12711</v>
      </c>
      <c r="E3" s="151"/>
      <c r="F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12712</v>
      </c>
      <c r="D6" s="106"/>
    </row>
    <row r="7" customFormat="false" ht="31.5" hidden="false" customHeight="true" outlineLevel="0" collapsed="false">
      <c r="B7" s="105" t="s">
        <v>1394</v>
      </c>
      <c r="C7" s="106" t="s">
        <v>12713</v>
      </c>
      <c r="D7" s="106"/>
    </row>
    <row r="8" customFormat="false" ht="31.5" hidden="false" customHeight="true" outlineLevel="0" collapsed="false">
      <c r="B8" s="105" t="s">
        <v>1396</v>
      </c>
      <c r="C8" s="106" t="s">
        <v>12714</v>
      </c>
      <c r="D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12715</v>
      </c>
      <c r="C11" s="106"/>
      <c r="D11" s="106"/>
      <c r="E11" s="106"/>
      <c r="F11" s="106"/>
    </row>
    <row r="12" customFormat="false" ht="10.5" hidden="false" customHeight="true" outlineLevel="0" collapsed="false">
      <c r="B12" s="106"/>
      <c r="C12" s="106"/>
      <c r="D12" s="106"/>
      <c r="E12" s="106"/>
      <c r="F12" s="106"/>
    </row>
    <row r="13" customFormat="false" ht="10.5" hidden="false" customHeight="true" outlineLevel="0" collapsed="false">
      <c r="B13" s="106"/>
      <c r="C13" s="106"/>
      <c r="D13" s="106"/>
      <c r="E13" s="106"/>
      <c r="F13" s="106"/>
    </row>
    <row r="14" customFormat="false" ht="17.25" hidden="false" customHeight="true" outlineLevel="0" collapsed="false">
      <c r="B14" s="106" t="s">
        <v>12716</v>
      </c>
      <c r="C14" s="106"/>
      <c r="D14" s="106"/>
      <c r="E14" s="106"/>
      <c r="F14" s="106"/>
    </row>
    <row r="15" customFormat="false" ht="10.5" hidden="false" customHeight="true" outlineLevel="0" collapsed="false">
      <c r="B15" s="106" t="s">
        <v>12717</v>
      </c>
      <c r="C15" s="106"/>
      <c r="D15" s="106"/>
      <c r="E15" s="106"/>
      <c r="F15" s="106"/>
    </row>
    <row r="16" customFormat="false" ht="10.5" hidden="false" customHeight="true" outlineLevel="0" collapsed="false">
      <c r="B16" s="106"/>
      <c r="C16" s="106"/>
      <c r="D16" s="106"/>
      <c r="E16" s="106"/>
      <c r="F16" s="106"/>
    </row>
    <row r="17" customFormat="false" ht="10.5" hidden="false" customHeight="true" outlineLevel="0" collapsed="false">
      <c r="B17" s="106"/>
      <c r="C17" s="106"/>
      <c r="D17" s="106"/>
      <c r="E17" s="106"/>
      <c r="F17" s="106"/>
    </row>
    <row r="18" customFormat="false" ht="11.25" hidden="false" customHeight="true" outlineLevel="0" collapsed="false">
      <c r="B18" s="106" t="s">
        <v>12718</v>
      </c>
      <c r="C18" s="106"/>
      <c r="D18" s="106"/>
      <c r="E18" s="106"/>
      <c r="F18" s="106"/>
    </row>
    <row r="19" customFormat="false" ht="11.25" hidden="false" customHeight="true" outlineLevel="0" collapsed="false">
      <c r="B19" s="106"/>
      <c r="C19" s="106"/>
      <c r="D19" s="106"/>
      <c r="E19" s="106"/>
      <c r="F19" s="106"/>
    </row>
    <row r="20" customFormat="false" ht="11.25" hidden="false" customHeight="true" outlineLevel="0" collapsed="false">
      <c r="B20" s="106"/>
      <c r="C20" s="106"/>
      <c r="D20" s="106"/>
      <c r="E20" s="106"/>
      <c r="F20" s="106"/>
    </row>
    <row r="21" customFormat="false" ht="11.25" hidden="false" customHeight="true" outlineLevel="0" collapsed="false">
      <c r="B21" s="106"/>
      <c r="C21" s="106"/>
      <c r="D21" s="106"/>
      <c r="E21" s="106"/>
      <c r="F21" s="106"/>
    </row>
    <row r="22" customFormat="false" ht="15.75" hidden="false" customHeight="true" outlineLevel="0" collapsed="false">
      <c r="B22" s="106" t="s">
        <v>12719</v>
      </c>
      <c r="C22" s="106"/>
      <c r="D22" s="106"/>
      <c r="E22" s="106"/>
      <c r="F22" s="106"/>
    </row>
    <row r="23" customFormat="false" ht="15.75" hidden="false" customHeight="true" outlineLevel="0" collapsed="false">
      <c r="B23" s="106"/>
      <c r="C23" s="106"/>
      <c r="D23" s="106"/>
      <c r="E23" s="106"/>
      <c r="F23" s="106"/>
    </row>
    <row r="24" customFormat="false" ht="17.25" hidden="false" customHeight="true" outlineLevel="0" collapsed="false">
      <c r="B24" s="106" t="s">
        <v>12720</v>
      </c>
      <c r="C24" s="106"/>
      <c r="D24" s="106"/>
      <c r="E24" s="106"/>
      <c r="F24" s="106"/>
    </row>
    <row r="25" customFormat="false" ht="15.75" hidden="false" customHeight="true" outlineLevel="0" collapsed="false">
      <c r="B25" s="106" t="s">
        <v>12721</v>
      </c>
      <c r="C25" s="106"/>
      <c r="D25" s="106"/>
      <c r="E25" s="106"/>
      <c r="F25" s="106"/>
    </row>
    <row r="26" customFormat="false" ht="15.75" hidden="false" customHeight="true" outlineLevel="0" collapsed="false">
      <c r="B26" s="106"/>
      <c r="C26" s="106"/>
      <c r="D26" s="106"/>
      <c r="E26" s="106"/>
      <c r="F26" s="106"/>
    </row>
    <row r="27" customFormat="false" ht="15.75" hidden="false" customHeight="true" outlineLevel="0" collapsed="false">
      <c r="B27" s="106" t="s">
        <v>12722</v>
      </c>
      <c r="C27" s="106"/>
      <c r="D27" s="106"/>
      <c r="E27" s="106"/>
      <c r="F27" s="106"/>
    </row>
    <row r="28" customFormat="false" ht="15.75" hidden="false" customHeight="true" outlineLevel="0" collapsed="false">
      <c r="B28" s="106"/>
      <c r="C28" s="106"/>
      <c r="D28" s="106"/>
      <c r="E28" s="106"/>
      <c r="F28" s="106"/>
    </row>
    <row r="30" customFormat="false" ht="15.75" hidden="false" customHeight="true" outlineLevel="0" collapsed="false">
      <c r="B30" s="103" t="s">
        <v>1406</v>
      </c>
      <c r="C30" s="8"/>
      <c r="D30" s="8"/>
      <c r="E30" s="8"/>
      <c r="F30" s="8"/>
      <c r="G30" s="8"/>
      <c r="H30" s="8"/>
      <c r="I30" s="8"/>
      <c r="J30" s="8"/>
      <c r="K30" s="8"/>
    </row>
    <row r="31" customFormat="false" ht="17.25" hidden="false" customHeight="true" outlineLevel="0" collapsed="false">
      <c r="B31" s="107" t="s">
        <v>1407</v>
      </c>
      <c r="C31" s="107"/>
      <c r="D31" s="107"/>
      <c r="E31" s="107" t="s">
        <v>1408</v>
      </c>
      <c r="F31" s="107"/>
    </row>
    <row r="32" customFormat="false" ht="31.5" hidden="false" customHeight="true" outlineLevel="0" collapsed="false">
      <c r="B32" s="106" t="s">
        <v>12723</v>
      </c>
      <c r="C32" s="106"/>
      <c r="D32" s="106"/>
      <c r="E32" s="106" t="s">
        <v>12724</v>
      </c>
      <c r="F32" s="106"/>
    </row>
    <row r="33" customFormat="false" ht="31.5" hidden="false" customHeight="true" outlineLevel="0" collapsed="false">
      <c r="B33" s="106" t="s">
        <v>12725</v>
      </c>
      <c r="C33" s="106"/>
      <c r="D33" s="106"/>
      <c r="E33" s="106" t="s">
        <v>12726</v>
      </c>
      <c r="F33" s="106"/>
    </row>
    <row r="34" customFormat="false" ht="31.5" hidden="false" customHeight="true" outlineLevel="0" collapsed="false">
      <c r="B34" s="106" t="s">
        <v>12727</v>
      </c>
      <c r="C34" s="106"/>
      <c r="D34" s="106"/>
      <c r="E34" s="106" t="s">
        <v>12728</v>
      </c>
      <c r="F34" s="106"/>
    </row>
    <row r="35" customFormat="false" ht="17.25" hidden="false" customHeight="true" outlineLevel="0" collapsed="false">
      <c r="B35" s="106" t="s">
        <v>12729</v>
      </c>
      <c r="C35" s="106"/>
      <c r="D35" s="106"/>
      <c r="E35" s="106"/>
      <c r="F35" s="106"/>
    </row>
    <row r="37" customFormat="false" ht="16.5" hidden="false" customHeight="true" outlineLevel="0" collapsed="false">
      <c r="B37" s="152" t="s">
        <v>6621</v>
      </c>
      <c r="C37" s="152" t="s">
        <v>1417</v>
      </c>
      <c r="D37" s="152" t="s">
        <v>1418</v>
      </c>
      <c r="E37" s="152" t="s">
        <v>1419</v>
      </c>
    </row>
    <row r="38" customFormat="false" ht="30.75" hidden="false" customHeight="true" outlineLevel="0" collapsed="false">
      <c r="B38" s="15" t="s">
        <v>12730</v>
      </c>
      <c r="C38" s="15" t="s">
        <v>12731</v>
      </c>
      <c r="D38" s="15" t="s">
        <v>12732</v>
      </c>
      <c r="E38" s="153" t="s">
        <v>1259</v>
      </c>
    </row>
    <row r="39" customFormat="false" ht="44.25" hidden="false" customHeight="true" outlineLevel="0" collapsed="false">
      <c r="B39" s="15" t="s">
        <v>12733</v>
      </c>
      <c r="C39" s="15" t="s">
        <v>12734</v>
      </c>
      <c r="D39" s="15" t="s">
        <v>12735</v>
      </c>
      <c r="E39" s="153" t="s">
        <v>12498</v>
      </c>
    </row>
    <row r="40" customFormat="false" ht="30.75" hidden="false" customHeight="true" outlineLevel="0" collapsed="false">
      <c r="B40" s="15" t="s">
        <v>12736</v>
      </c>
      <c r="C40" s="15" t="s">
        <v>12737</v>
      </c>
      <c r="D40" s="15" t="s">
        <v>12738</v>
      </c>
      <c r="E40" s="153" t="s">
        <v>1262</v>
      </c>
    </row>
    <row r="41" customFormat="false" ht="44.25" hidden="false" customHeight="true" outlineLevel="0" collapsed="false">
      <c r="B41" s="15" t="s">
        <v>12739</v>
      </c>
      <c r="C41" s="15" t="s">
        <v>12740</v>
      </c>
      <c r="D41" s="15" t="s">
        <v>12741</v>
      </c>
      <c r="E41" s="153" t="s">
        <v>1223</v>
      </c>
    </row>
    <row r="43" customFormat="false" ht="15.75" hidden="false" customHeight="true" outlineLevel="0" collapsed="false">
      <c r="B43" s="103" t="s">
        <v>1429</v>
      </c>
      <c r="C43" s="8"/>
      <c r="D43" s="8"/>
      <c r="E43" s="8"/>
      <c r="F43" s="8"/>
      <c r="G43" s="8"/>
      <c r="H43" s="8"/>
      <c r="I43" s="8"/>
      <c r="J43" s="8"/>
      <c r="K43" s="8"/>
    </row>
    <row r="44" customFormat="false" ht="17.25" hidden="false" customHeight="true" outlineLevel="0" collapsed="false">
      <c r="B44" s="106" t="s">
        <v>12742</v>
      </c>
      <c r="C44" s="106"/>
      <c r="D44" s="106"/>
      <c r="E44" s="106"/>
      <c r="F44" s="106"/>
    </row>
    <row r="45" customFormat="false" ht="15" hidden="false" customHeight="true" outlineLevel="0" collapsed="false">
      <c r="B45" s="122"/>
    </row>
    <row r="46" customFormat="false" ht="17.25" hidden="false" customHeight="true" outlineLevel="0" collapsed="false">
      <c r="B46" s="106" t="s">
        <v>12743</v>
      </c>
      <c r="C46" s="106"/>
      <c r="D46" s="106"/>
      <c r="E46" s="106"/>
      <c r="F46" s="106"/>
    </row>
    <row r="47" customFormat="false" ht="15" hidden="false" customHeight="true" outlineLevel="0" collapsed="false">
      <c r="B47" s="122"/>
    </row>
    <row r="48" customFormat="false" ht="17.25" hidden="false" customHeight="true" outlineLevel="0" collapsed="false">
      <c r="B48" s="106" t="s">
        <v>12744</v>
      </c>
      <c r="C48" s="106"/>
      <c r="D48" s="106"/>
      <c r="E48" s="106"/>
      <c r="F48" s="106"/>
    </row>
    <row r="49" customFormat="false" ht="15" hidden="false" customHeight="true" outlineLevel="0" collapsed="false">
      <c r="B49" s="122"/>
    </row>
    <row r="50" customFormat="false" ht="16.5" hidden="false" customHeight="true" outlineLevel="0" collapsed="false">
      <c r="B50" s="122" t="s">
        <v>12745</v>
      </c>
    </row>
    <row r="51" customFormat="false" ht="17.25" hidden="false" customHeight="true" outlineLevel="0" collapsed="false">
      <c r="B51" s="106" t="s">
        <v>12746</v>
      </c>
      <c r="C51" s="106"/>
      <c r="D51" s="106"/>
      <c r="E51" s="106"/>
      <c r="F51" s="106"/>
    </row>
    <row r="52" customFormat="false" ht="17.25" hidden="false" customHeight="true" outlineLevel="0" collapsed="false">
      <c r="B52" s="106" t="s">
        <v>12747</v>
      </c>
      <c r="C52" s="106"/>
      <c r="D52" s="106"/>
      <c r="E52" s="106"/>
      <c r="F52" s="106"/>
    </row>
    <row r="53" customFormat="false" ht="17.25" hidden="false" customHeight="true" outlineLevel="0" collapsed="false">
      <c r="B53" s="106" t="s">
        <v>12748</v>
      </c>
      <c r="C53" s="106"/>
      <c r="D53" s="106"/>
      <c r="E53" s="106"/>
      <c r="F53" s="106"/>
    </row>
    <row r="54" customFormat="false" ht="17.25" hidden="false" customHeight="true" outlineLevel="0" collapsed="false">
      <c r="B54" s="106" t="s">
        <v>12749</v>
      </c>
      <c r="C54" s="106"/>
      <c r="D54" s="106"/>
      <c r="E54" s="106"/>
      <c r="F54" s="106"/>
    </row>
    <row r="56" customFormat="false" ht="15.75" hidden="false" customHeight="true" outlineLevel="0" collapsed="false">
      <c r="B56" s="103" t="s">
        <v>1437</v>
      </c>
      <c r="C56" s="8"/>
      <c r="D56" s="8"/>
      <c r="E56" s="8"/>
      <c r="F56" s="8"/>
      <c r="G56" s="8"/>
      <c r="H56" s="8"/>
      <c r="I56" s="8"/>
      <c r="J56" s="8"/>
      <c r="K56" s="8"/>
    </row>
    <row r="57" customFormat="false" ht="16.5" hidden="false" customHeight="true" outlineLevel="0" collapsed="false">
      <c r="B57" s="152" t="s">
        <v>1438</v>
      </c>
      <c r="C57" s="152" t="s">
        <v>1439</v>
      </c>
      <c r="D57" s="152" t="s">
        <v>1440</v>
      </c>
    </row>
    <row r="58" customFormat="false" ht="16.5" hidden="false" customHeight="true" outlineLevel="0" collapsed="false">
      <c r="B58" s="15" t="s">
        <v>4079</v>
      </c>
      <c r="C58" s="15" t="s">
        <v>12750</v>
      </c>
      <c r="D58" s="15" t="s">
        <v>12751</v>
      </c>
    </row>
    <row r="59" customFormat="false" ht="30.75" hidden="false" customHeight="true" outlineLevel="0" collapsed="false">
      <c r="B59" s="15" t="s">
        <v>1920</v>
      </c>
      <c r="C59" s="15" t="s">
        <v>12752</v>
      </c>
      <c r="D59" s="15" t="s">
        <v>12753</v>
      </c>
    </row>
    <row r="60" customFormat="false" ht="30.75" hidden="false" customHeight="true" outlineLevel="0" collapsed="false">
      <c r="B60" s="15" t="s">
        <v>12073</v>
      </c>
      <c r="C60" s="15" t="s">
        <v>12754</v>
      </c>
      <c r="D60" s="15" t="s">
        <v>12755</v>
      </c>
    </row>
    <row r="61" customFormat="false" ht="30.75" hidden="false" customHeight="true" outlineLevel="0" collapsed="false">
      <c r="B61" s="15" t="s">
        <v>7487</v>
      </c>
      <c r="C61" s="15" t="s">
        <v>12756</v>
      </c>
      <c r="D61" s="15" t="s">
        <v>12757</v>
      </c>
    </row>
    <row r="63" customFormat="false" ht="15.75" hidden="false" customHeight="true" outlineLevel="0" collapsed="false">
      <c r="B63" s="103" t="s">
        <v>1454</v>
      </c>
      <c r="C63" s="8"/>
      <c r="D63" s="8"/>
      <c r="E63" s="8"/>
      <c r="F63" s="8"/>
      <c r="G63" s="8"/>
      <c r="H63" s="8"/>
      <c r="I63" s="8"/>
      <c r="J63" s="8"/>
      <c r="K63" s="8"/>
    </row>
    <row r="64" customFormat="false" ht="10.5" hidden="false" customHeight="true" outlineLevel="0" collapsed="false">
      <c r="B64" s="106" t="s">
        <v>12758</v>
      </c>
      <c r="C64" s="106"/>
      <c r="D64" s="106"/>
      <c r="E64" s="106"/>
      <c r="F64" s="106"/>
    </row>
    <row r="65" customFormat="false" ht="10.5" hidden="false" customHeight="true" outlineLevel="0" collapsed="false">
      <c r="B65" s="106"/>
      <c r="C65" s="106"/>
      <c r="D65" s="106"/>
      <c r="E65" s="106"/>
      <c r="F65" s="106"/>
    </row>
    <row r="66" customFormat="false" ht="10.5" hidden="false" customHeight="true" outlineLevel="0" collapsed="false">
      <c r="B66" s="106"/>
      <c r="C66" s="106"/>
      <c r="D66" s="106"/>
      <c r="E66" s="106"/>
      <c r="F66" s="106"/>
    </row>
    <row r="67" customFormat="false" ht="15" hidden="false" customHeight="true" outlineLevel="0" collapsed="false">
      <c r="B67" s="112" t="s">
        <v>85</v>
      </c>
      <c r="C67" s="154" t="s">
        <v>86</v>
      </c>
    </row>
    <row r="69" customFormat="false" ht="17.25" hidden="false" customHeight="true" outlineLevel="0" collapsed="false">
      <c r="B69" s="107" t="s">
        <v>12759</v>
      </c>
      <c r="C69" s="107"/>
      <c r="D69" s="107"/>
      <c r="E69" s="107"/>
      <c r="F69" s="107"/>
    </row>
    <row r="70" customFormat="false" ht="30.75" hidden="false" customHeight="true" outlineLevel="0" collapsed="false">
      <c r="B70" s="152" t="s">
        <v>12760</v>
      </c>
      <c r="C70" s="152" t="s">
        <v>12761</v>
      </c>
      <c r="D70" s="152" t="s">
        <v>12762</v>
      </c>
      <c r="E70" s="152" t="s">
        <v>6315</v>
      </c>
      <c r="F70" s="152" t="s">
        <v>15</v>
      </c>
      <c r="G70" s="152" t="s">
        <v>12763</v>
      </c>
      <c r="H70" s="152" t="s">
        <v>12764</v>
      </c>
      <c r="I70" s="152" t="s">
        <v>12765</v>
      </c>
      <c r="J70" s="152" t="s">
        <v>12766</v>
      </c>
      <c r="K70" s="152" t="s">
        <v>12767</v>
      </c>
      <c r="L70" s="152"/>
    </row>
    <row r="71" customFormat="false" ht="30.75" hidden="false" customHeight="true" outlineLevel="0" collapsed="false">
      <c r="B71" s="177" t="s">
        <v>12768</v>
      </c>
      <c r="C71" s="177" t="s">
        <v>12769</v>
      </c>
      <c r="D71" s="177" t="s">
        <v>12770</v>
      </c>
      <c r="E71" s="177" t="s">
        <v>12771</v>
      </c>
      <c r="F71" s="177" t="s">
        <v>10001</v>
      </c>
      <c r="G71" s="177" t="s">
        <v>12772</v>
      </c>
      <c r="H71" s="177" t="s">
        <v>12773</v>
      </c>
      <c r="I71" s="155" t="n">
        <v>5</v>
      </c>
      <c r="J71" s="158" t="n">
        <f aca="false">IFERROR(I71*0.5,0)</f>
        <v>2.5</v>
      </c>
      <c r="K71" s="167" t="str">
        <f aca="false">IF(I71&gt;=15,"High frequency — make sure it is short and visual",IF(I71&lt;=3,"Low frequency — each one must count","Regular cadence"))</f>
        <v>Regular cadence</v>
      </c>
      <c r="L71" s="167"/>
    </row>
    <row r="72" customFormat="false" ht="30.75" hidden="false" customHeight="true" outlineLevel="0" collapsed="false">
      <c r="B72" s="177" t="s">
        <v>9196</v>
      </c>
      <c r="C72" s="177" t="s">
        <v>12774</v>
      </c>
      <c r="D72" s="177" t="s">
        <v>12775</v>
      </c>
      <c r="E72" s="177" t="s">
        <v>8144</v>
      </c>
      <c r="F72" s="177" t="s">
        <v>10001</v>
      </c>
      <c r="G72" s="177" t="s">
        <v>12776</v>
      </c>
      <c r="H72" s="177" t="s">
        <v>12777</v>
      </c>
      <c r="I72" s="155" t="n">
        <v>5</v>
      </c>
      <c r="J72" s="158" t="n">
        <f aca="false">IFERROR(I72*0.5,0)</f>
        <v>2.5</v>
      </c>
      <c r="K72" s="167" t="str">
        <f aca="false">IF(I72&gt;=15,"High frequency — make sure it is short and visual",IF(I72&lt;=3,"Low frequency — each one must count","Regular cadence"))</f>
        <v>Regular cadence</v>
      </c>
      <c r="L72" s="167"/>
    </row>
    <row r="73" customFormat="false" ht="30.75" hidden="false" customHeight="true" outlineLevel="0" collapsed="false">
      <c r="B73" s="177" t="s">
        <v>6925</v>
      </c>
      <c r="C73" s="177" t="s">
        <v>12778</v>
      </c>
      <c r="D73" s="177" t="s">
        <v>12779</v>
      </c>
      <c r="E73" s="177" t="s">
        <v>8130</v>
      </c>
      <c r="F73" s="177" t="s">
        <v>10001</v>
      </c>
      <c r="G73" s="177" t="s">
        <v>12780</v>
      </c>
      <c r="H73" s="177" t="s">
        <v>12781</v>
      </c>
      <c r="I73" s="155" t="n">
        <v>20</v>
      </c>
      <c r="J73" s="158" t="n">
        <f aca="false">IFERROR(I73*0.5,0)</f>
        <v>10</v>
      </c>
      <c r="K73" s="167" t="str">
        <f aca="false">IF(I73&gt;=15,"High frequency — make sure it is short and visual",IF(I73&lt;=3,"Low frequency — each one must count","Regular cadence"))</f>
        <v>High frequency — make sure it is short and visual</v>
      </c>
      <c r="L73" s="167"/>
    </row>
    <row r="74" customFormat="false" ht="30.75" hidden="false" customHeight="true" outlineLevel="0" collapsed="false">
      <c r="B74" s="177" t="s">
        <v>11842</v>
      </c>
      <c r="C74" s="177" t="s">
        <v>12782</v>
      </c>
      <c r="D74" s="177" t="s">
        <v>12783</v>
      </c>
      <c r="E74" s="177" t="s">
        <v>12784</v>
      </c>
      <c r="F74" s="177" t="s">
        <v>6925</v>
      </c>
      <c r="G74" s="177" t="s">
        <v>12785</v>
      </c>
      <c r="H74" s="177" t="s">
        <v>12786</v>
      </c>
      <c r="I74" s="155" t="n">
        <v>10</v>
      </c>
      <c r="J74" s="158" t="n">
        <f aca="false">IFERROR(I74*0.5,0)</f>
        <v>5</v>
      </c>
      <c r="K74" s="167" t="str">
        <f aca="false">IF(I74&gt;=15,"High frequency — make sure it is short and visual",IF(I74&lt;=3,"Low frequency — each one must count","Regular cadence"))</f>
        <v>Regular cadence</v>
      </c>
      <c r="L74" s="167"/>
    </row>
    <row r="75" customFormat="false" ht="30.75" hidden="false" customHeight="true" outlineLevel="0" collapsed="false">
      <c r="B75" s="177" t="s">
        <v>12787</v>
      </c>
      <c r="C75" s="177" t="s">
        <v>12788</v>
      </c>
      <c r="D75" s="177" t="s">
        <v>12789</v>
      </c>
      <c r="E75" s="177" t="s">
        <v>8130</v>
      </c>
      <c r="F75" s="177" t="s">
        <v>8885</v>
      </c>
      <c r="G75" s="177" t="s">
        <v>12790</v>
      </c>
      <c r="H75" s="177" t="s">
        <v>12791</v>
      </c>
      <c r="I75" s="155" t="n">
        <v>20</v>
      </c>
      <c r="J75" s="158" t="n">
        <f aca="false">IFERROR(I75*0.5,0)</f>
        <v>10</v>
      </c>
      <c r="K75" s="167" t="str">
        <f aca="false">IF(I75&gt;=15,"High frequency — make sure it is short and visual",IF(I75&lt;=3,"Low frequency — each one must count","Regular cadence"))</f>
        <v>High frequency — make sure it is short and visual</v>
      </c>
      <c r="L75" s="167"/>
    </row>
    <row r="76" customFormat="false" ht="30.75" hidden="false" customHeight="true" outlineLevel="0" collapsed="false">
      <c r="B76" s="177" t="s">
        <v>12792</v>
      </c>
      <c r="C76" s="177" t="s">
        <v>12793</v>
      </c>
      <c r="D76" s="177" t="s">
        <v>12794</v>
      </c>
      <c r="E76" s="177" t="s">
        <v>8130</v>
      </c>
      <c r="F76" s="177" t="s">
        <v>10001</v>
      </c>
      <c r="G76" s="177" t="s">
        <v>12795</v>
      </c>
      <c r="H76" s="177" t="s">
        <v>12796</v>
      </c>
      <c r="I76" s="155" t="n">
        <v>20</v>
      </c>
      <c r="J76" s="158" t="n">
        <f aca="false">IFERROR(I76*0.5,0)</f>
        <v>10</v>
      </c>
      <c r="K76" s="167" t="str">
        <f aca="false">IF(I76&gt;=15,"High frequency — make sure it is short and visual",IF(I76&lt;=3,"Low frequency — each one must count","Regular cadence"))</f>
        <v>High frequency — make sure it is short and visual</v>
      </c>
      <c r="L76" s="167"/>
    </row>
    <row r="77" customFormat="false" ht="30.75" hidden="false" customHeight="true" outlineLevel="0" collapsed="false">
      <c r="B77" s="177" t="s">
        <v>12797</v>
      </c>
      <c r="C77" s="177" t="s">
        <v>12798</v>
      </c>
      <c r="D77" s="177" t="s">
        <v>12799</v>
      </c>
      <c r="E77" s="177" t="s">
        <v>12800</v>
      </c>
      <c r="F77" s="177" t="s">
        <v>10001</v>
      </c>
      <c r="G77" s="177" t="s">
        <v>12801</v>
      </c>
      <c r="H77" s="177" t="s">
        <v>12802</v>
      </c>
      <c r="I77" s="155" t="n">
        <v>2</v>
      </c>
      <c r="J77" s="158" t="n">
        <f aca="false">IFERROR(I77*0.5,0)</f>
        <v>1</v>
      </c>
      <c r="K77" s="167" t="str">
        <f aca="false">IF(I77&gt;=15,"High frequency — make sure it is short and visual",IF(I77&lt;=3,"Low frequency — each one must count","Regular cadence"))</f>
        <v>Low frequency — each one must count</v>
      </c>
      <c r="L77" s="167"/>
    </row>
    <row r="78" customFormat="false" ht="30.75" hidden="false" customHeight="true" outlineLevel="0" collapsed="false">
      <c r="B78" s="177" t="s">
        <v>9254</v>
      </c>
      <c r="C78" s="177" t="s">
        <v>12803</v>
      </c>
      <c r="D78" s="177" t="s">
        <v>12804</v>
      </c>
      <c r="E78" s="177" t="s">
        <v>12805</v>
      </c>
      <c r="F78" s="177" t="s">
        <v>10001</v>
      </c>
      <c r="G78" s="177" t="s">
        <v>12801</v>
      </c>
      <c r="H78" s="177" t="s">
        <v>12806</v>
      </c>
      <c r="I78" s="155" t="n">
        <v>2</v>
      </c>
      <c r="J78" s="158" t="n">
        <f aca="false">IFERROR(I78*0.5,0)</f>
        <v>1</v>
      </c>
      <c r="K78" s="167" t="str">
        <f aca="false">IF(I78&gt;=15,"High frequency — make sure it is short and visual",IF(I78&lt;=3,"Low frequency — each one must count","Regular cadence"))</f>
        <v>Low frequency — each one must count</v>
      </c>
      <c r="L78" s="167"/>
    </row>
    <row r="79" customFormat="false" ht="30.75" hidden="false" customHeight="true" outlineLevel="0" collapsed="false">
      <c r="B79" s="177" t="s">
        <v>12552</v>
      </c>
      <c r="C79" s="177" t="s">
        <v>12807</v>
      </c>
      <c r="D79" s="177" t="s">
        <v>12808</v>
      </c>
      <c r="E79" s="177" t="s">
        <v>12809</v>
      </c>
      <c r="F79" s="177" t="s">
        <v>6925</v>
      </c>
      <c r="G79" s="177" t="s">
        <v>12810</v>
      </c>
      <c r="H79" s="177" t="s">
        <v>12811</v>
      </c>
      <c r="I79" s="155" t="n">
        <v>3</v>
      </c>
      <c r="J79" s="158" t="n">
        <f aca="false">IFERROR(I79*0.5,0)</f>
        <v>1.5</v>
      </c>
      <c r="K79" s="167" t="str">
        <f aca="false">IF(I79&gt;=15,"High frequency — make sure it is short and visual",IF(I79&lt;=3,"Low frequency — each one must count","Regular cadence"))</f>
        <v>Low frequency — each one must count</v>
      </c>
      <c r="L79" s="167"/>
    </row>
    <row r="80" customFormat="false" ht="30.75" hidden="false" customHeight="true" outlineLevel="0" collapsed="false">
      <c r="B80" s="177" t="s">
        <v>12812</v>
      </c>
      <c r="C80" s="177" t="s">
        <v>12813</v>
      </c>
      <c r="D80" s="177" t="s">
        <v>12814</v>
      </c>
      <c r="E80" s="177" t="s">
        <v>12815</v>
      </c>
      <c r="F80" s="177" t="s">
        <v>6925</v>
      </c>
      <c r="G80" s="177" t="s">
        <v>12816</v>
      </c>
      <c r="H80" s="177" t="s">
        <v>12817</v>
      </c>
      <c r="I80" s="155" t="n">
        <v>1</v>
      </c>
      <c r="J80" s="158" t="n">
        <f aca="false">IFERROR(I80*0.5,0)</f>
        <v>0.5</v>
      </c>
      <c r="K80" s="167" t="str">
        <f aca="false">IF(I80&gt;=15,"High frequency — make sure it is short and visual",IF(I80&lt;=3,"Low frequency — each one must count","Regular cadence"))</f>
        <v>Low frequency — each one must count</v>
      </c>
      <c r="L80" s="167"/>
    </row>
    <row r="82" customFormat="false" ht="17.25" hidden="false" customHeight="true" outlineLevel="0" collapsed="false">
      <c r="B82" s="107" t="s">
        <v>12818</v>
      </c>
      <c r="C82" s="107"/>
      <c r="D82" s="107"/>
      <c r="E82" s="107"/>
      <c r="F82" s="107"/>
    </row>
    <row r="83" customFormat="false" ht="30.75" hidden="false" customHeight="true" outlineLevel="0" collapsed="false">
      <c r="B83" s="152" t="s">
        <v>12760</v>
      </c>
      <c r="C83" s="152" t="s">
        <v>12819</v>
      </c>
      <c r="D83" s="152" t="s">
        <v>12820</v>
      </c>
    </row>
    <row r="84" customFormat="false" ht="30.75" hidden="false" customHeight="true" outlineLevel="0" collapsed="false">
      <c r="B84" s="15" t="s">
        <v>12768</v>
      </c>
      <c r="C84" s="15" t="s">
        <v>12821</v>
      </c>
      <c r="D84" s="15" t="s">
        <v>12822</v>
      </c>
    </row>
    <row r="85" customFormat="false" ht="30.75" hidden="false" customHeight="true" outlineLevel="0" collapsed="false">
      <c r="B85" s="15" t="s">
        <v>9196</v>
      </c>
      <c r="C85" s="15" t="s">
        <v>12823</v>
      </c>
      <c r="D85" s="15" t="s">
        <v>12824</v>
      </c>
    </row>
    <row r="86" customFormat="false" ht="30.75" hidden="false" customHeight="true" outlineLevel="0" collapsed="false">
      <c r="B86" s="15" t="s">
        <v>10003</v>
      </c>
      <c r="C86" s="15" t="s">
        <v>12825</v>
      </c>
      <c r="D86" s="15" t="s">
        <v>12826</v>
      </c>
    </row>
    <row r="87" customFormat="false" ht="30.75" hidden="false" customHeight="true" outlineLevel="0" collapsed="false">
      <c r="B87" s="15" t="s">
        <v>11842</v>
      </c>
      <c r="C87" s="15" t="s">
        <v>12827</v>
      </c>
      <c r="D87" s="15" t="s">
        <v>12828</v>
      </c>
    </row>
    <row r="88" customFormat="false" ht="44.25" hidden="false" customHeight="true" outlineLevel="0" collapsed="false">
      <c r="B88" s="15" t="s">
        <v>12787</v>
      </c>
      <c r="C88" s="15" t="s">
        <v>12829</v>
      </c>
      <c r="D88" s="15" t="s">
        <v>12830</v>
      </c>
    </row>
    <row r="89" customFormat="false" ht="44.25" hidden="false" customHeight="true" outlineLevel="0" collapsed="false">
      <c r="B89" s="15" t="s">
        <v>9254</v>
      </c>
      <c r="C89" s="15" t="s">
        <v>12831</v>
      </c>
      <c r="D89" s="15" t="s">
        <v>12832</v>
      </c>
    </row>
    <row r="90" customFormat="false" ht="28.5" hidden="false" customHeight="true" outlineLevel="0" collapsed="false">
      <c r="B90" s="182" t="s">
        <v>12833</v>
      </c>
      <c r="C90" s="182"/>
      <c r="D90" s="182"/>
      <c r="E90" s="182"/>
      <c r="F90" s="182"/>
    </row>
    <row r="92" customFormat="false" ht="16.5" hidden="false" customHeight="true" outlineLevel="0" collapsed="false">
      <c r="B92" s="152" t="s">
        <v>6689</v>
      </c>
      <c r="C92" s="152" t="s">
        <v>6654</v>
      </c>
      <c r="D92" s="152" t="s">
        <v>88</v>
      </c>
    </row>
    <row r="93" customFormat="false" ht="16.5" hidden="false" customHeight="true" outlineLevel="0" collapsed="false">
      <c r="B93" s="15" t="s">
        <v>12834</v>
      </c>
      <c r="C93" s="161" t="n">
        <f aca="false">COUNTA(B71:B80)</f>
        <v>10</v>
      </c>
      <c r="D93" s="15"/>
    </row>
    <row r="94" customFormat="false" ht="16.5" hidden="false" customHeight="true" outlineLevel="0" collapsed="false">
      <c r="B94" s="15" t="s">
        <v>12835</v>
      </c>
      <c r="C94" s="161" t="n">
        <f aca="false">SUM(I71:I80)</f>
        <v>88</v>
      </c>
      <c r="D94" s="15" t="s">
        <v>12836</v>
      </c>
    </row>
    <row r="95" customFormat="false" ht="30.75" hidden="false" customHeight="true" outlineLevel="0" collapsed="false">
      <c r="B95" s="15" t="s">
        <v>12837</v>
      </c>
      <c r="C95" s="158" t="n">
        <f aca="false">SUM(J71:J80)</f>
        <v>44</v>
      </c>
      <c r="D95" s="15" t="s">
        <v>12838</v>
      </c>
    </row>
    <row r="96" customFormat="false" ht="16.5" hidden="false" customHeight="true" outlineLevel="0" collapsed="false">
      <c r="B96" s="15" t="s">
        <v>12839</v>
      </c>
      <c r="C96" s="161" t="n">
        <f aca="false">COUNTIF(F71:F80,"Black Belt")</f>
        <v>6</v>
      </c>
      <c r="D96" s="15" t="s">
        <v>12840</v>
      </c>
    </row>
    <row r="97" customFormat="false" ht="30.75" hidden="false" customHeight="true" outlineLevel="0" collapsed="false">
      <c r="B97" s="15" t="s">
        <v>12841</v>
      </c>
      <c r="C97" s="161" t="n">
        <f aca="false">COUNTA(B71:B80)-COUNTA(H71:H80)</f>
        <v>0</v>
      </c>
      <c r="D97" s="15" t="s">
        <v>12842</v>
      </c>
    </row>
    <row r="98" customFormat="false" ht="16.5" hidden="false" customHeight="true" outlineLevel="0" collapsed="false">
      <c r="B98" s="15" t="s">
        <v>12843</v>
      </c>
      <c r="C98" s="167" t="str">
        <f aca="false">INDEX(B71:B80,MATCH(MAX(I71:I80),I71:I80,0))</f>
        <v>Packaging Manager</v>
      </c>
      <c r="D98" s="15" t="s">
        <v>12844</v>
      </c>
    </row>
    <row r="100" customFormat="false" ht="15.75" hidden="false" customHeight="true" outlineLevel="0" collapsed="false">
      <c r="B100" s="103" t="s">
        <v>1493</v>
      </c>
      <c r="C100" s="8"/>
      <c r="D100" s="8"/>
      <c r="E100" s="8"/>
      <c r="F100" s="8"/>
      <c r="G100" s="8"/>
      <c r="H100" s="8"/>
      <c r="I100" s="8"/>
      <c r="J100" s="8"/>
      <c r="K100" s="8"/>
    </row>
    <row r="101" customFormat="false" ht="33.75" hidden="false" customHeight="true" outlineLevel="0" collapsed="false">
      <c r="B101" s="105" t="s">
        <v>1494</v>
      </c>
      <c r="C101" s="168" t="str">
        <f aca="false">"The plan covers "&amp;TEXT(C93,"0")&amp;" audiences with "&amp;TEXT(C94,"0")&amp;" planned touchpoints, about "&amp;TEXT(C95,"0")&amp;" hours of communication effort. The most frequent audience is "&amp;C98&amp;". "&amp;IF(C96&gt;6,"The Black Belt owns "&amp;TEXT(C96,"0")&amp;" of the audiences, which is more communication than one person can sustain alongside the analysis. Delegate the operational audiences to the process owner and the supervisors — they are also more credible to those audiences.","Communication ownership is distributed sensibly across the team.")&amp;IF(C97&gt;0," "&amp;TEXT(C97,"0")&amp;" row(s) have no definition of what good looks like — without one, the communication cannot be judged and will quietly stop.","")</f>
        <v>The plan covers 10 audiences with 88 planned touchpoints, about 44 hours of communication effort. The most frequent audience is Packaging Manager. Communication ownership is distributed sensibly across the team.</v>
      </c>
      <c r="D101" s="168"/>
      <c r="E101" s="168"/>
      <c r="F101" s="168"/>
    </row>
    <row r="103" customFormat="false" ht="16.5" hidden="false" customHeight="true" outlineLevel="0" collapsed="false">
      <c r="B103" s="152" t="s">
        <v>1495</v>
      </c>
      <c r="C103" s="152" t="s">
        <v>1496</v>
      </c>
      <c r="D103" s="152" t="s">
        <v>1497</v>
      </c>
    </row>
    <row r="104" customFormat="false" ht="30.75" hidden="false" customHeight="true" outlineLevel="0" collapsed="false">
      <c r="B104" s="15" t="s">
        <v>12845</v>
      </c>
      <c r="C104" s="15" t="s">
        <v>1958</v>
      </c>
      <c r="D104" s="15" t="s">
        <v>12846</v>
      </c>
    </row>
    <row r="105" customFormat="false" ht="30.75" hidden="false" customHeight="true" outlineLevel="0" collapsed="false">
      <c r="B105" s="15" t="s">
        <v>12847</v>
      </c>
      <c r="C105" s="15" t="s">
        <v>12848</v>
      </c>
      <c r="D105" s="15" t="s">
        <v>12849</v>
      </c>
    </row>
    <row r="106" customFormat="false" ht="30.75" hidden="false" customHeight="true" outlineLevel="0" collapsed="false">
      <c r="B106" s="15" t="s">
        <v>12850</v>
      </c>
      <c r="C106" s="15" t="s">
        <v>12851</v>
      </c>
      <c r="D106" s="15" t="s">
        <v>12852</v>
      </c>
    </row>
    <row r="107" customFormat="false" ht="30.75" hidden="false" customHeight="true" outlineLevel="0" collapsed="false">
      <c r="B107" s="15" t="s">
        <v>12853</v>
      </c>
      <c r="C107" s="15" t="s">
        <v>12854</v>
      </c>
      <c r="D107" s="15" t="s">
        <v>12855</v>
      </c>
    </row>
    <row r="108" customFormat="false" ht="30.75" hidden="false" customHeight="true" outlineLevel="0" collapsed="false">
      <c r="B108" s="15" t="s">
        <v>12856</v>
      </c>
      <c r="C108" s="15" t="s">
        <v>12857</v>
      </c>
      <c r="D108" s="15" t="s">
        <v>12858</v>
      </c>
    </row>
    <row r="110" customFormat="false" ht="15" hidden="false" customHeight="true" outlineLevel="0" collapsed="false">
      <c r="B110" s="105" t="s">
        <v>1507</v>
      </c>
    </row>
    <row r="111" customFormat="false" ht="17.25" hidden="false" customHeight="true" outlineLevel="0" collapsed="false">
      <c r="B111" s="106" t="s">
        <v>12859</v>
      </c>
      <c r="C111" s="106"/>
      <c r="D111" s="106"/>
      <c r="E111" s="106"/>
      <c r="F111" s="106"/>
    </row>
    <row r="112" customFormat="false" ht="17.25" hidden="false" customHeight="true" outlineLevel="0" collapsed="false">
      <c r="B112" s="106" t="s">
        <v>12860</v>
      </c>
      <c r="C112" s="106"/>
      <c r="D112" s="106"/>
      <c r="E112" s="106"/>
      <c r="F112" s="106"/>
    </row>
    <row r="113" customFormat="false" ht="17.25" hidden="false" customHeight="true" outlineLevel="0" collapsed="false">
      <c r="B113" s="106" t="s">
        <v>12861</v>
      </c>
      <c r="C113" s="106"/>
      <c r="D113" s="106"/>
      <c r="E113" s="106"/>
      <c r="F113" s="106"/>
    </row>
    <row r="114" customFormat="false" ht="17.25" hidden="false" customHeight="true" outlineLevel="0" collapsed="false">
      <c r="B114" s="106" t="s">
        <v>12862</v>
      </c>
      <c r="C114" s="106"/>
      <c r="D114" s="106"/>
      <c r="E114" s="106"/>
      <c r="F114" s="106"/>
    </row>
    <row r="115" customFormat="false" ht="17.25" hidden="false" customHeight="true" outlineLevel="0" collapsed="false">
      <c r="B115" s="106" t="s">
        <v>12863</v>
      </c>
      <c r="C115" s="106"/>
      <c r="D115" s="106"/>
      <c r="E115" s="106"/>
      <c r="F115" s="106"/>
    </row>
    <row r="117" customFormat="false" ht="15.75" hidden="false" customHeight="true" outlineLevel="0" collapsed="false">
      <c r="B117" s="103" t="s">
        <v>1513</v>
      </c>
      <c r="C117" s="8"/>
      <c r="D117" s="8"/>
      <c r="E117" s="8"/>
      <c r="F117" s="8"/>
      <c r="G117" s="8"/>
      <c r="H117" s="8"/>
      <c r="I117" s="8"/>
      <c r="J117" s="8"/>
      <c r="K117" s="8"/>
    </row>
    <row r="118" customFormat="false" ht="17.25" hidden="false" customHeight="true" outlineLevel="0" collapsed="false">
      <c r="B118" s="106" t="s">
        <v>6712</v>
      </c>
      <c r="C118" s="106"/>
      <c r="D118" s="106"/>
      <c r="N118" s="169" t="s">
        <v>1515</v>
      </c>
    </row>
    <row r="119" customFormat="false" ht="44.25" hidden="false" customHeight="true" outlineLevel="0" collapsed="false">
      <c r="B119" s="106" t="s">
        <v>12864</v>
      </c>
      <c r="C119" s="106"/>
      <c r="D119" s="106"/>
      <c r="N119" s="120" t="s">
        <v>12865</v>
      </c>
    </row>
    <row r="120" customFormat="false" ht="44.25" hidden="false" customHeight="true" outlineLevel="0" collapsed="false">
      <c r="B120" s="106" t="s">
        <v>12866</v>
      </c>
      <c r="C120" s="106"/>
      <c r="D120" s="106"/>
      <c r="N120" s="120" t="s">
        <v>12867</v>
      </c>
    </row>
    <row r="121" customFormat="false" ht="58.5" hidden="false" customHeight="true" outlineLevel="0" collapsed="false">
      <c r="B121" s="106" t="s">
        <v>12868</v>
      </c>
      <c r="C121" s="106"/>
      <c r="D121" s="106"/>
      <c r="N121" s="120" t="s">
        <v>12869</v>
      </c>
    </row>
    <row r="123" customFormat="false" ht="15.75" hidden="false" customHeight="true" outlineLevel="0" collapsed="false">
      <c r="B123" s="103" t="s">
        <v>1522</v>
      </c>
      <c r="C123" s="8"/>
      <c r="D123" s="8"/>
      <c r="E123" s="8"/>
      <c r="F123" s="8"/>
      <c r="G123" s="8"/>
      <c r="H123" s="8"/>
      <c r="I123" s="8"/>
      <c r="J123" s="8"/>
      <c r="K123" s="8"/>
    </row>
    <row r="124" customFormat="false" ht="30.75" hidden="false" customHeight="true" outlineLevel="0" collapsed="false">
      <c r="B124" s="152" t="s">
        <v>1523</v>
      </c>
      <c r="C124" s="152" t="s">
        <v>1524</v>
      </c>
      <c r="D124" s="152" t="s">
        <v>6719</v>
      </c>
    </row>
    <row r="125" customFormat="false" ht="30.75" hidden="false" customHeight="true" outlineLevel="0" collapsed="false">
      <c r="B125" s="170" t="s">
        <v>1259</v>
      </c>
      <c r="C125" s="170" t="s">
        <v>12498</v>
      </c>
      <c r="D125" s="170" t="s">
        <v>1223</v>
      </c>
    </row>
  </sheetData>
  <mergeCells count="54">
    <mergeCell ref="B2:J2"/>
    <mergeCell ref="D3:F3"/>
    <mergeCell ref="C6:D6"/>
    <mergeCell ref="C7:D7"/>
    <mergeCell ref="C8:D8"/>
    <mergeCell ref="B11:F13"/>
    <mergeCell ref="B14:F14"/>
    <mergeCell ref="B15:F17"/>
    <mergeCell ref="B18:F21"/>
    <mergeCell ref="B22:F23"/>
    <mergeCell ref="B24:F24"/>
    <mergeCell ref="B25:F26"/>
    <mergeCell ref="B27:F28"/>
    <mergeCell ref="B31:D31"/>
    <mergeCell ref="E31:F31"/>
    <mergeCell ref="B32:D32"/>
    <mergeCell ref="E32:F32"/>
    <mergeCell ref="B33:D33"/>
    <mergeCell ref="E33:F33"/>
    <mergeCell ref="B34:D34"/>
    <mergeCell ref="E34:F34"/>
    <mergeCell ref="B35:F35"/>
    <mergeCell ref="B44:F44"/>
    <mergeCell ref="B46:F46"/>
    <mergeCell ref="B48:F48"/>
    <mergeCell ref="B51:F51"/>
    <mergeCell ref="B52:F52"/>
    <mergeCell ref="B53:F53"/>
    <mergeCell ref="B54:F54"/>
    <mergeCell ref="B64:F66"/>
    <mergeCell ref="B69:F69"/>
    <mergeCell ref="K70:L70"/>
    <mergeCell ref="K71:L71"/>
    <mergeCell ref="K72:L72"/>
    <mergeCell ref="K73:L73"/>
    <mergeCell ref="K74:L74"/>
    <mergeCell ref="K75:L75"/>
    <mergeCell ref="K76:L76"/>
    <mergeCell ref="K77:L77"/>
    <mergeCell ref="K78:L78"/>
    <mergeCell ref="K79:L79"/>
    <mergeCell ref="K80:L80"/>
    <mergeCell ref="B82:F82"/>
    <mergeCell ref="B90:F90"/>
    <mergeCell ref="C101:F101"/>
    <mergeCell ref="B111:F111"/>
    <mergeCell ref="B112:F112"/>
    <mergeCell ref="B113:F113"/>
    <mergeCell ref="B114:F114"/>
    <mergeCell ref="B115:F115"/>
    <mergeCell ref="B118:D118"/>
    <mergeCell ref="B119:D119"/>
    <mergeCell ref="B120:D120"/>
    <mergeCell ref="B121:D121"/>
  </mergeCells>
  <hyperlinks>
    <hyperlink ref="B3" location="'N-03 Index DMAIC'!A1" display="← Back to Index"/>
    <hyperlink ref="E38" location="'G-03 Stakeholder Analysis'!A1" display="G-03  Stakeholder Analysis"/>
    <hyperlink ref="E39" location="'G-06 Change Management'!A1" display="G-06  Change Management (ADKAR)"/>
    <hyperlink ref="E40" location="'G-04 RACI Matrix'!A1" display="G-04  RACI Matrix"/>
    <hyperlink ref="E41" location="'L-13 Visual Management'!A1" display="L-13  Visual Management"/>
    <hyperlink ref="B125" location="'G-03 Stakeholder Analysis'!A1" display="G-03  Stakeholder Analysis"/>
    <hyperlink ref="C125" location="'G-06 Change Management'!A1" display="G-06  Change Management (ADKAR)"/>
    <hyperlink ref="D125" location="'L-13 Visual Management'!A1" display="L-13  Visual Managemen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30"/>
    <col collapsed="false" customWidth="true" hidden="false" outlineLevel="0" max="4" min="4" style="1" width="13"/>
    <col collapsed="false" customWidth="true" hidden="false" outlineLevel="0" max="5" min="5" style="1" width="12"/>
    <col collapsed="false" customWidth="true" hidden="false" outlineLevel="0" max="6" min="6" style="1" width="13"/>
    <col collapsed="false" customWidth="true" hidden="false" outlineLevel="0" max="7" min="7" style="1" width="12"/>
    <col collapsed="false" customWidth="true" hidden="false" outlineLevel="0" max="8" min="8" style="1" width="16"/>
    <col collapsed="false" customWidth="true" hidden="false" outlineLevel="0" max="9" min="9" style="1" width="14"/>
    <col collapsed="false" customWidth="true" hidden="false" outlineLevel="0" max="10" min="10" style="1" width="24"/>
    <col collapsed="false" customWidth="true" hidden="false" outlineLevel="0" max="11" min="11" style="1" width="12"/>
    <col collapsed="false" customWidth="true" hidden="false" outlineLevel="0" max="12" min="12" style="1" width="44"/>
    <col collapsed="false" customWidth="true" hidden="false" outlineLevel="0" max="14" min="13" style="1" width="13"/>
  </cols>
  <sheetData>
    <row r="1" customFormat="false" ht="15" hidden="false" customHeight="true" outlineLevel="0" collapsed="false">
      <c r="A1" s="147" t="s">
        <v>0</v>
      </c>
    </row>
    <row r="2" customFormat="false" ht="22.5" hidden="false" customHeight="true" outlineLevel="0" collapsed="false">
      <c r="B2" s="148" t="s">
        <v>12870</v>
      </c>
      <c r="C2" s="148"/>
      <c r="D2" s="148"/>
      <c r="E2" s="148"/>
      <c r="F2" s="148"/>
      <c r="G2" s="148"/>
      <c r="H2" s="148"/>
      <c r="I2" s="148"/>
      <c r="J2" s="148"/>
      <c r="K2" s="179" t="s">
        <v>5137</v>
      </c>
    </row>
    <row r="3" customFormat="false" ht="42" hidden="false" customHeight="true" outlineLevel="0" collapsed="false">
      <c r="B3" s="150" t="s">
        <v>3</v>
      </c>
      <c r="D3" s="151" t="s">
        <v>12871</v>
      </c>
      <c r="E3" s="151"/>
      <c r="F3" s="151"/>
      <c r="G3" s="151"/>
      <c r="H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12872</v>
      </c>
      <c r="D6" s="106"/>
      <c r="E6" s="106"/>
    </row>
    <row r="7" customFormat="false" ht="31.5" hidden="false" customHeight="true" outlineLevel="0" collapsed="false">
      <c r="B7" s="105" t="s">
        <v>1394</v>
      </c>
      <c r="C7" s="106" t="s">
        <v>12873</v>
      </c>
      <c r="D7" s="106"/>
      <c r="E7" s="106"/>
    </row>
    <row r="8" customFormat="false" ht="31.5" hidden="false" customHeight="true" outlineLevel="0" collapsed="false">
      <c r="B8" s="105" t="s">
        <v>1396</v>
      </c>
      <c r="C8" s="106" t="s">
        <v>12874</v>
      </c>
      <c r="D8" s="106"/>
      <c r="E8" s="106"/>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12875</v>
      </c>
      <c r="C11" s="106"/>
      <c r="D11" s="106"/>
      <c r="E11" s="106"/>
      <c r="F11" s="106"/>
      <c r="G11" s="106"/>
      <c r="H11" s="106"/>
      <c r="I11" s="106"/>
    </row>
    <row r="12" customFormat="false" ht="10.5" hidden="false" customHeight="true" outlineLevel="0" collapsed="false">
      <c r="B12" s="106"/>
      <c r="C12" s="106"/>
      <c r="D12" s="106"/>
      <c r="E12" s="106"/>
      <c r="F12" s="106"/>
      <c r="G12" s="106"/>
      <c r="H12" s="106"/>
      <c r="I12" s="106"/>
    </row>
    <row r="13" customFormat="false" ht="10.5" hidden="false" customHeight="true" outlineLevel="0" collapsed="false">
      <c r="B13" s="106"/>
      <c r="C13" s="106"/>
      <c r="D13" s="106"/>
      <c r="E13" s="106"/>
      <c r="F13" s="106"/>
      <c r="G13" s="106"/>
      <c r="H13" s="106"/>
      <c r="I13" s="106"/>
    </row>
    <row r="14" customFormat="false" ht="10.5" hidden="false" customHeight="true" outlineLevel="0" collapsed="false">
      <c r="B14" s="106" t="s">
        <v>12876</v>
      </c>
      <c r="C14" s="106"/>
      <c r="D14" s="106"/>
      <c r="E14" s="106"/>
      <c r="F14" s="106"/>
      <c r="G14" s="106"/>
      <c r="H14" s="106"/>
      <c r="I14" s="106"/>
    </row>
    <row r="15" customFormat="false" ht="10.5" hidden="false" customHeight="true" outlineLevel="0" collapsed="false">
      <c r="B15" s="106"/>
      <c r="C15" s="106"/>
      <c r="D15" s="106"/>
      <c r="E15" s="106"/>
      <c r="F15" s="106"/>
      <c r="G15" s="106"/>
      <c r="H15" s="106"/>
      <c r="I15" s="106"/>
    </row>
    <row r="16" customFormat="false" ht="10.5" hidden="false" customHeight="true" outlineLevel="0" collapsed="false">
      <c r="B16" s="106"/>
      <c r="C16" s="106"/>
      <c r="D16" s="106"/>
      <c r="E16" s="106"/>
      <c r="F16" s="106"/>
      <c r="G16" s="106"/>
      <c r="H16" s="106"/>
      <c r="I16" s="106"/>
    </row>
    <row r="17" customFormat="false" ht="9" hidden="false" customHeight="true" outlineLevel="0" collapsed="false">
      <c r="B17" s="106" t="s">
        <v>12877</v>
      </c>
      <c r="C17" s="106"/>
      <c r="D17" s="106"/>
      <c r="E17" s="106"/>
      <c r="F17" s="106"/>
      <c r="G17" s="106"/>
      <c r="H17" s="106"/>
      <c r="I17" s="106"/>
    </row>
    <row r="18" customFormat="false" ht="9" hidden="false" customHeight="true" outlineLevel="0" collapsed="false">
      <c r="B18" s="106"/>
      <c r="C18" s="106"/>
      <c r="D18" s="106"/>
      <c r="E18" s="106"/>
      <c r="F18" s="106"/>
      <c r="G18" s="106"/>
      <c r="H18" s="106"/>
      <c r="I18" s="106"/>
    </row>
    <row r="19" customFormat="false" ht="9" hidden="false" customHeight="true" outlineLevel="0" collapsed="false">
      <c r="B19" s="106"/>
      <c r="C19" s="106"/>
      <c r="D19" s="106"/>
      <c r="E19" s="106"/>
      <c r="F19" s="106"/>
      <c r="G19" s="106"/>
      <c r="H19" s="106"/>
      <c r="I19" s="106"/>
    </row>
    <row r="20" customFormat="false" ht="9" hidden="false" customHeight="true" outlineLevel="0" collapsed="false">
      <c r="B20" s="106"/>
      <c r="C20" s="106"/>
      <c r="D20" s="106"/>
      <c r="E20" s="106"/>
      <c r="F20" s="106"/>
      <c r="G20" s="106"/>
      <c r="H20" s="106"/>
      <c r="I20" s="106"/>
    </row>
    <row r="21" customFormat="false" ht="9" hidden="false" customHeight="true" outlineLevel="0" collapsed="false">
      <c r="B21" s="106"/>
      <c r="C21" s="106"/>
      <c r="D21" s="106"/>
      <c r="E21" s="106"/>
      <c r="F21" s="106"/>
      <c r="G21" s="106"/>
      <c r="H21" s="106"/>
      <c r="I21" s="106"/>
    </row>
    <row r="22" customFormat="false" ht="11.25" hidden="false" customHeight="true" outlineLevel="0" collapsed="false">
      <c r="B22" s="106" t="s">
        <v>12878</v>
      </c>
      <c r="C22" s="106"/>
      <c r="D22" s="106"/>
      <c r="E22" s="106"/>
      <c r="F22" s="106"/>
      <c r="G22" s="106"/>
      <c r="H22" s="106"/>
      <c r="I22" s="106"/>
    </row>
    <row r="23" customFormat="false" ht="11.25" hidden="false" customHeight="true" outlineLevel="0" collapsed="false">
      <c r="B23" s="106"/>
      <c r="C23" s="106"/>
      <c r="D23" s="106"/>
      <c r="E23" s="106"/>
      <c r="F23" s="106"/>
      <c r="G23" s="106"/>
      <c r="H23" s="106"/>
      <c r="I23" s="106"/>
    </row>
    <row r="24" customFormat="false" ht="11.25" hidden="false" customHeight="true" outlineLevel="0" collapsed="false">
      <c r="B24" s="106"/>
      <c r="C24" s="106"/>
      <c r="D24" s="106"/>
      <c r="E24" s="106"/>
      <c r="F24" s="106"/>
      <c r="G24" s="106"/>
      <c r="H24" s="106"/>
      <c r="I24" s="106"/>
    </row>
    <row r="25" customFormat="false" ht="11.25" hidden="false" customHeight="true" outlineLevel="0" collapsed="false">
      <c r="B25" s="106"/>
      <c r="C25" s="106"/>
      <c r="D25" s="106"/>
      <c r="E25" s="106"/>
      <c r="F25" s="106"/>
      <c r="G25" s="106"/>
      <c r="H25" s="106"/>
      <c r="I25" s="106"/>
    </row>
    <row r="26" customFormat="false" ht="10.5" hidden="false" customHeight="true" outlineLevel="0" collapsed="false">
      <c r="B26" s="106" t="s">
        <v>12879</v>
      </c>
      <c r="C26" s="106"/>
      <c r="D26" s="106"/>
      <c r="E26" s="106"/>
      <c r="F26" s="106"/>
      <c r="G26" s="106"/>
      <c r="H26" s="106"/>
      <c r="I26" s="106"/>
    </row>
    <row r="27" customFormat="false" ht="10.5" hidden="false" customHeight="true" outlineLevel="0" collapsed="false">
      <c r="B27" s="106"/>
      <c r="C27" s="106"/>
      <c r="D27" s="106"/>
      <c r="E27" s="106"/>
      <c r="F27" s="106"/>
      <c r="G27" s="106"/>
      <c r="H27" s="106"/>
      <c r="I27" s="106"/>
    </row>
    <row r="28" customFormat="false" ht="10.5" hidden="false" customHeight="true" outlineLevel="0" collapsed="false">
      <c r="B28" s="106"/>
      <c r="C28" s="106"/>
      <c r="D28" s="106"/>
      <c r="E28" s="106"/>
      <c r="F28" s="106"/>
      <c r="G28" s="106"/>
      <c r="H28" s="106"/>
      <c r="I28" s="106"/>
    </row>
    <row r="30" customFormat="false" ht="15.75" hidden="false" customHeight="true" outlineLevel="0" collapsed="false">
      <c r="B30" s="103" t="s">
        <v>1406</v>
      </c>
      <c r="C30" s="8"/>
      <c r="D30" s="8"/>
      <c r="E30" s="8"/>
      <c r="F30" s="8"/>
      <c r="G30" s="8"/>
      <c r="H30" s="8"/>
      <c r="I30" s="8"/>
      <c r="J30" s="8"/>
      <c r="K30" s="8"/>
    </row>
    <row r="31" customFormat="false" ht="17.25" hidden="false" customHeight="true" outlineLevel="0" collapsed="false">
      <c r="B31" s="107" t="s">
        <v>1407</v>
      </c>
      <c r="C31" s="107"/>
      <c r="D31" s="107"/>
      <c r="E31" s="107" t="s">
        <v>1408</v>
      </c>
      <c r="F31" s="107"/>
      <c r="G31" s="107"/>
      <c r="H31" s="107"/>
      <c r="I31" s="107"/>
    </row>
    <row r="32" customFormat="false" ht="31.5" hidden="false" customHeight="true" outlineLevel="0" collapsed="false">
      <c r="B32" s="106" t="s">
        <v>12880</v>
      </c>
      <c r="C32" s="106"/>
      <c r="D32" s="106"/>
      <c r="E32" s="106" t="s">
        <v>12881</v>
      </c>
      <c r="F32" s="106"/>
      <c r="G32" s="106"/>
      <c r="H32" s="106"/>
      <c r="I32" s="106"/>
    </row>
    <row r="33" customFormat="false" ht="17.25" hidden="false" customHeight="true" outlineLevel="0" collapsed="false">
      <c r="B33" s="106" t="s">
        <v>12882</v>
      </c>
      <c r="C33" s="106"/>
      <c r="D33" s="106"/>
      <c r="E33" s="106" t="s">
        <v>12883</v>
      </c>
      <c r="F33" s="106"/>
      <c r="G33" s="106"/>
      <c r="H33" s="106"/>
      <c r="I33" s="106"/>
    </row>
    <row r="34" customFormat="false" ht="31.5" hidden="false" customHeight="true" outlineLevel="0" collapsed="false">
      <c r="B34" s="106" t="s">
        <v>12884</v>
      </c>
      <c r="C34" s="106"/>
      <c r="D34" s="106"/>
      <c r="E34" s="106" t="s">
        <v>12885</v>
      </c>
      <c r="F34" s="106"/>
      <c r="G34" s="106"/>
      <c r="H34" s="106"/>
      <c r="I34" s="106"/>
    </row>
    <row r="35" customFormat="false" ht="17.25" hidden="false" customHeight="true" outlineLevel="0" collapsed="false">
      <c r="B35" s="106" t="s">
        <v>12886</v>
      </c>
      <c r="C35" s="106"/>
      <c r="D35" s="106"/>
      <c r="E35" s="106"/>
      <c r="F35" s="106"/>
      <c r="G35" s="106"/>
      <c r="H35" s="106"/>
      <c r="I35" s="106"/>
    </row>
    <row r="37" customFormat="false" ht="30.75" hidden="false" customHeight="true" outlineLevel="0" collapsed="false">
      <c r="B37" s="152" t="s">
        <v>6621</v>
      </c>
      <c r="C37" s="152" t="s">
        <v>1417</v>
      </c>
      <c r="D37" s="152" t="s">
        <v>1418</v>
      </c>
      <c r="E37" s="152" t="s">
        <v>1419</v>
      </c>
      <c r="F37" s="152"/>
      <c r="G37" s="152"/>
    </row>
    <row r="38" customFormat="false" ht="86.25" hidden="false" customHeight="true" outlineLevel="0" collapsed="false">
      <c r="B38" s="15" t="s">
        <v>12887</v>
      </c>
      <c r="C38" s="15" t="s">
        <v>12888</v>
      </c>
      <c r="D38" s="15" t="s">
        <v>12889</v>
      </c>
      <c r="E38" s="153" t="s">
        <v>1113</v>
      </c>
      <c r="F38" s="153"/>
      <c r="G38" s="153"/>
    </row>
    <row r="39" customFormat="false" ht="72" hidden="false" customHeight="true" outlineLevel="0" collapsed="false">
      <c r="B39" s="15" t="s">
        <v>12890</v>
      </c>
      <c r="C39" s="15" t="s">
        <v>12891</v>
      </c>
      <c r="D39" s="15" t="s">
        <v>12892</v>
      </c>
      <c r="E39" s="153" t="s">
        <v>1070</v>
      </c>
      <c r="F39" s="153"/>
      <c r="G39" s="153"/>
    </row>
    <row r="40" customFormat="false" ht="86.25" hidden="false" customHeight="true" outlineLevel="0" collapsed="false">
      <c r="B40" s="15" t="s">
        <v>12893</v>
      </c>
      <c r="C40" s="15" t="s">
        <v>12894</v>
      </c>
      <c r="D40" s="15" t="s">
        <v>12895</v>
      </c>
      <c r="E40" s="153" t="s">
        <v>9554</v>
      </c>
      <c r="F40" s="153"/>
      <c r="G40" s="153"/>
    </row>
    <row r="41" customFormat="false" ht="86.25" hidden="false" customHeight="true" outlineLevel="0" collapsed="false">
      <c r="B41" s="15" t="s">
        <v>12896</v>
      </c>
      <c r="C41" s="15" t="s">
        <v>12897</v>
      </c>
      <c r="D41" s="15" t="s">
        <v>12898</v>
      </c>
      <c r="E41" s="153" t="s">
        <v>8094</v>
      </c>
      <c r="F41" s="153"/>
      <c r="G41" s="153"/>
    </row>
    <row r="43" customFormat="false" ht="15.75" hidden="false" customHeight="true" outlineLevel="0" collapsed="false">
      <c r="B43" s="103" t="s">
        <v>1429</v>
      </c>
      <c r="C43" s="8"/>
      <c r="D43" s="8"/>
      <c r="E43" s="8"/>
      <c r="F43" s="8"/>
      <c r="G43" s="8"/>
      <c r="H43" s="8"/>
      <c r="I43" s="8"/>
      <c r="J43" s="8"/>
      <c r="K43" s="8"/>
    </row>
    <row r="44" customFormat="false" ht="16.5" hidden="false" customHeight="true" outlineLevel="0" collapsed="false">
      <c r="B44" s="122" t="s">
        <v>12899</v>
      </c>
    </row>
    <row r="45" customFormat="false" ht="17.25" hidden="false" customHeight="true" outlineLevel="0" collapsed="false">
      <c r="B45" s="106" t="s">
        <v>12900</v>
      </c>
      <c r="C45" s="106"/>
      <c r="D45" s="106"/>
      <c r="E45" s="106"/>
      <c r="F45" s="106"/>
      <c r="G45" s="106"/>
      <c r="H45" s="106"/>
      <c r="I45" s="106"/>
    </row>
    <row r="46" customFormat="false" ht="17.25" hidden="false" customHeight="true" outlineLevel="0" collapsed="false">
      <c r="B46" s="106" t="s">
        <v>12901</v>
      </c>
      <c r="C46" s="106"/>
      <c r="D46" s="106"/>
      <c r="E46" s="106"/>
      <c r="F46" s="106"/>
      <c r="G46" s="106"/>
      <c r="H46" s="106"/>
      <c r="I46" s="106"/>
    </row>
    <row r="47" customFormat="false" ht="16.5" hidden="false" customHeight="true" outlineLevel="0" collapsed="false">
      <c r="B47" s="122" t="s">
        <v>12902</v>
      </c>
    </row>
    <row r="48" customFormat="false" ht="17.25" hidden="false" customHeight="true" outlineLevel="0" collapsed="false">
      <c r="B48" s="106" t="s">
        <v>12903</v>
      </c>
      <c r="C48" s="106"/>
      <c r="D48" s="106"/>
      <c r="E48" s="106"/>
      <c r="F48" s="106"/>
      <c r="G48" s="106"/>
      <c r="H48" s="106"/>
      <c r="I48" s="106"/>
    </row>
    <row r="49" customFormat="false" ht="17.25" hidden="false" customHeight="true" outlineLevel="0" collapsed="false">
      <c r="B49" s="106" t="s">
        <v>12904</v>
      </c>
      <c r="C49" s="106"/>
      <c r="D49" s="106"/>
      <c r="E49" s="106"/>
      <c r="F49" s="106"/>
      <c r="G49" s="106"/>
      <c r="H49" s="106"/>
      <c r="I49" s="106"/>
    </row>
    <row r="50" customFormat="false" ht="15" hidden="false" customHeight="true" outlineLevel="0" collapsed="false">
      <c r="B50" s="122"/>
    </row>
    <row r="51" customFormat="false" ht="17.25" hidden="false" customHeight="true" outlineLevel="0" collapsed="false">
      <c r="B51" s="106" t="s">
        <v>12905</v>
      </c>
      <c r="C51" s="106"/>
      <c r="D51" s="106"/>
      <c r="E51" s="106"/>
      <c r="F51" s="106"/>
      <c r="G51" s="106"/>
      <c r="H51" s="106"/>
      <c r="I51" s="106"/>
    </row>
    <row r="52" customFormat="false" ht="15" hidden="false" customHeight="true" outlineLevel="0" collapsed="false">
      <c r="B52" s="122"/>
    </row>
    <row r="53" customFormat="false" ht="17.25" hidden="false" customHeight="true" outlineLevel="0" collapsed="false">
      <c r="B53" s="106" t="s">
        <v>12906</v>
      </c>
      <c r="C53" s="106"/>
      <c r="D53" s="106"/>
      <c r="E53" s="106"/>
      <c r="F53" s="106"/>
      <c r="G53" s="106"/>
      <c r="H53" s="106"/>
      <c r="I53" s="106"/>
    </row>
    <row r="54" customFormat="false" ht="9" hidden="false" customHeight="true" outlineLevel="0" collapsed="false">
      <c r="B54" s="106" t="s">
        <v>12907</v>
      </c>
      <c r="C54" s="106"/>
      <c r="D54" s="106"/>
      <c r="E54" s="106"/>
      <c r="F54" s="106"/>
      <c r="G54" s="106"/>
      <c r="H54" s="106"/>
      <c r="I54" s="106"/>
    </row>
    <row r="55" customFormat="false" ht="9" hidden="false" customHeight="true" outlineLevel="0" collapsed="false">
      <c r="B55" s="106"/>
      <c r="C55" s="106"/>
      <c r="D55" s="106"/>
      <c r="E55" s="106"/>
      <c r="F55" s="106"/>
      <c r="G55" s="106"/>
      <c r="H55" s="106"/>
      <c r="I55" s="106"/>
    </row>
    <row r="56" customFormat="false" ht="9" hidden="false" customHeight="true" outlineLevel="0" collapsed="false">
      <c r="B56" s="106"/>
      <c r="C56" s="106"/>
      <c r="D56" s="106"/>
      <c r="E56" s="106"/>
      <c r="F56" s="106"/>
      <c r="G56" s="106"/>
      <c r="H56" s="106"/>
      <c r="I56" s="106"/>
    </row>
    <row r="57" customFormat="false" ht="9" hidden="false" customHeight="true" outlineLevel="0" collapsed="false">
      <c r="B57" s="106"/>
      <c r="C57" s="106"/>
      <c r="D57" s="106"/>
      <c r="E57" s="106"/>
      <c r="F57" s="106"/>
      <c r="G57" s="106"/>
      <c r="H57" s="106"/>
      <c r="I57" s="106"/>
    </row>
    <row r="58" customFormat="false" ht="9" hidden="false" customHeight="true" outlineLevel="0" collapsed="false">
      <c r="B58" s="106"/>
      <c r="C58" s="106"/>
      <c r="D58" s="106"/>
      <c r="E58" s="106"/>
      <c r="F58" s="106"/>
      <c r="G58" s="106"/>
      <c r="H58" s="106"/>
      <c r="I58" s="106"/>
    </row>
    <row r="59" customFormat="false" ht="15" hidden="false" customHeight="true" outlineLevel="0" collapsed="false">
      <c r="B59" s="122"/>
    </row>
    <row r="60" customFormat="false" ht="17.25" hidden="false" customHeight="true" outlineLevel="0" collapsed="false">
      <c r="B60" s="106" t="s">
        <v>12908</v>
      </c>
      <c r="C60" s="106"/>
      <c r="D60" s="106"/>
      <c r="E60" s="106"/>
      <c r="F60" s="106"/>
      <c r="G60" s="106"/>
      <c r="H60" s="106"/>
      <c r="I60" s="106"/>
    </row>
    <row r="62" customFormat="false" ht="15.75" hidden="false" customHeight="true" outlineLevel="0" collapsed="false">
      <c r="B62" s="103" t="s">
        <v>1437</v>
      </c>
      <c r="C62" s="8"/>
      <c r="D62" s="8"/>
      <c r="E62" s="8"/>
      <c r="F62" s="8"/>
      <c r="G62" s="8"/>
      <c r="H62" s="8"/>
      <c r="I62" s="8"/>
      <c r="J62" s="8"/>
      <c r="K62" s="8"/>
    </row>
    <row r="63" customFormat="false" ht="17.25" hidden="false" customHeight="true" outlineLevel="0" collapsed="false">
      <c r="B63" s="152" t="s">
        <v>1438</v>
      </c>
      <c r="C63" s="152" t="s">
        <v>1439</v>
      </c>
      <c r="D63" s="152" t="s">
        <v>1440</v>
      </c>
      <c r="E63" s="152"/>
      <c r="F63" s="152"/>
      <c r="G63" s="152"/>
      <c r="H63" s="152"/>
    </row>
    <row r="64" customFormat="false" ht="17.25" hidden="false" customHeight="true" outlineLevel="0" collapsed="false">
      <c r="B64" s="15" t="s">
        <v>12909</v>
      </c>
      <c r="C64" s="15" t="s">
        <v>12910</v>
      </c>
      <c r="D64" s="15" t="s">
        <v>12911</v>
      </c>
      <c r="E64" s="15"/>
      <c r="F64" s="15"/>
      <c r="G64" s="15"/>
      <c r="H64" s="15"/>
    </row>
    <row r="65" customFormat="false" ht="30.75" hidden="false" customHeight="true" outlineLevel="0" collapsed="false">
      <c r="B65" s="15" t="s">
        <v>12912</v>
      </c>
      <c r="C65" s="15" t="s">
        <v>12913</v>
      </c>
      <c r="D65" s="15" t="s">
        <v>12914</v>
      </c>
      <c r="E65" s="15"/>
      <c r="F65" s="15"/>
      <c r="G65" s="15"/>
      <c r="H65" s="15"/>
    </row>
    <row r="66" customFormat="false" ht="17.25" hidden="false" customHeight="true" outlineLevel="0" collapsed="false">
      <c r="B66" s="15" t="s">
        <v>1920</v>
      </c>
      <c r="C66" s="15" t="s">
        <v>12915</v>
      </c>
      <c r="D66" s="15" t="s">
        <v>12916</v>
      </c>
      <c r="E66" s="15"/>
      <c r="F66" s="15"/>
      <c r="G66" s="15"/>
      <c r="H66" s="15"/>
    </row>
    <row r="67" customFormat="false" ht="30.75" hidden="false" customHeight="true" outlineLevel="0" collapsed="false">
      <c r="B67" s="15" t="s">
        <v>7987</v>
      </c>
      <c r="C67" s="15" t="s">
        <v>12917</v>
      </c>
      <c r="D67" s="15" t="s">
        <v>12918</v>
      </c>
      <c r="E67" s="15"/>
      <c r="F67" s="15"/>
      <c r="G67" s="15"/>
      <c r="H67" s="15"/>
    </row>
    <row r="69" customFormat="false" ht="15.75" hidden="false" customHeight="true" outlineLevel="0" collapsed="false">
      <c r="B69" s="103" t="s">
        <v>1454</v>
      </c>
      <c r="C69" s="8"/>
      <c r="D69" s="8"/>
      <c r="E69" s="8"/>
      <c r="F69" s="8"/>
      <c r="G69" s="8"/>
      <c r="H69" s="8"/>
      <c r="I69" s="8"/>
      <c r="J69" s="8"/>
      <c r="K69" s="8"/>
    </row>
    <row r="70" customFormat="false" ht="10.5" hidden="false" customHeight="true" outlineLevel="0" collapsed="false">
      <c r="B70" s="106" t="s">
        <v>12919</v>
      </c>
      <c r="C70" s="106"/>
      <c r="D70" s="106"/>
      <c r="E70" s="106"/>
      <c r="F70" s="106"/>
      <c r="G70" s="106"/>
      <c r="H70" s="106"/>
      <c r="I70" s="106"/>
    </row>
    <row r="71" customFormat="false" ht="10.5" hidden="false" customHeight="true" outlineLevel="0" collapsed="false">
      <c r="B71" s="106"/>
      <c r="C71" s="106"/>
      <c r="D71" s="106"/>
      <c r="E71" s="106"/>
      <c r="F71" s="106"/>
      <c r="G71" s="106"/>
      <c r="H71" s="106"/>
      <c r="I71" s="106"/>
    </row>
    <row r="72" customFormat="false" ht="10.5" hidden="false" customHeight="true" outlineLevel="0" collapsed="false">
      <c r="B72" s="106"/>
      <c r="C72" s="106"/>
      <c r="D72" s="106"/>
      <c r="E72" s="106"/>
      <c r="F72" s="106"/>
      <c r="G72" s="106"/>
      <c r="H72" s="106"/>
      <c r="I72" s="106"/>
    </row>
    <row r="73" customFormat="false" ht="15" hidden="false" customHeight="true" outlineLevel="0" collapsed="false">
      <c r="B73" s="112" t="s">
        <v>85</v>
      </c>
      <c r="C73" s="154" t="s">
        <v>86</v>
      </c>
    </row>
    <row r="75" customFormat="false" ht="17.25" hidden="false" customHeight="true" outlineLevel="0" collapsed="false">
      <c r="B75" s="107" t="s">
        <v>12920</v>
      </c>
      <c r="C75" s="107"/>
      <c r="D75" s="107"/>
      <c r="E75" s="107"/>
      <c r="F75" s="107"/>
      <c r="G75" s="107"/>
      <c r="H75" s="107"/>
      <c r="I75" s="107"/>
    </row>
    <row r="76" customFormat="false" ht="28.5" hidden="false" customHeight="true" outlineLevel="0" collapsed="false">
      <c r="B76" s="182" t="s">
        <v>12921</v>
      </c>
      <c r="C76" s="182"/>
      <c r="D76" s="182"/>
      <c r="E76" s="182"/>
      <c r="F76" s="182"/>
      <c r="G76" s="182"/>
      <c r="H76" s="182"/>
      <c r="I76" s="182"/>
    </row>
    <row r="78" customFormat="false" ht="30.75" hidden="false" customHeight="true" outlineLevel="0" collapsed="false">
      <c r="B78" s="152" t="s">
        <v>3738</v>
      </c>
      <c r="C78" s="152" t="s">
        <v>12922</v>
      </c>
      <c r="D78" s="152" t="s">
        <v>12923</v>
      </c>
      <c r="E78" s="152" t="s">
        <v>12924</v>
      </c>
      <c r="F78" s="152" t="s">
        <v>12925</v>
      </c>
      <c r="G78" s="152" t="s">
        <v>12926</v>
      </c>
      <c r="H78" s="152" t="s">
        <v>12927</v>
      </c>
      <c r="I78" s="152" t="s">
        <v>12928</v>
      </c>
      <c r="J78" s="152" t="s">
        <v>12929</v>
      </c>
      <c r="K78" s="152" t="s">
        <v>12930</v>
      </c>
      <c r="L78" s="152"/>
    </row>
    <row r="79" customFormat="false" ht="17.25" hidden="false" customHeight="true" outlineLevel="0" collapsed="false">
      <c r="B79" s="15" t="s">
        <v>12931</v>
      </c>
      <c r="C79" s="155" t="n">
        <v>4</v>
      </c>
      <c r="D79" s="155" t="n">
        <v>2</v>
      </c>
      <c r="E79" s="155" t="n">
        <v>3</v>
      </c>
      <c r="F79" s="155" t="n">
        <v>3</v>
      </c>
      <c r="G79" s="155" t="n">
        <v>2</v>
      </c>
      <c r="H79" s="161" t="n">
        <f aca="false">MIN(C79:G79)</f>
        <v>2</v>
      </c>
      <c r="I79" s="167" t="str">
        <f aca="false">IF(C79&lt;3,"AWARENESS",IF(D79&lt;3,"DESIRE",IF(E79&lt;3,"KNOWLEDGE",IF(F79&lt;3,"ABILITY",IF(G79&lt;3,"REINFORCEMENT","None — all five at 3 or above")))))</f>
        <v>DESIRE</v>
      </c>
      <c r="J79" s="161" t="n">
        <f aca="false">SUM(C79:G79)</f>
        <v>14</v>
      </c>
      <c r="K79" s="167" t="str">
        <f aca="false">IF(IF(C79&lt;3,"AWARENESS",IF(D79&lt;3,"DESIRE",IF(E79&lt;3,"KNOWLEDGE",IF(F79&lt;3,"ABILITY",IF(G79&lt;3,"REINFORCEMENT","None — all five at 3 or above")))))="None — all five at 3 or above","Ready — monitor only","Work the "&amp;IF(C79&lt;3,"AWARENESS",IF(D79&lt;3,"DESIRE",IF(E79&lt;3,"KNOWLEDGE",IF(F79&lt;3,"ABILITY",IF(G79&lt;3,"REINFORCEMENT","None — all five at 3 or above")))))&amp;" barrier; effort past it is wasted")</f>
        <v>Work the DESIRE barrier; effort past it is wasted</v>
      </c>
      <c r="L79" s="167"/>
    </row>
    <row r="80" customFormat="false" ht="17.25" hidden="false" customHeight="true" outlineLevel="0" collapsed="false">
      <c r="B80" s="15" t="s">
        <v>12932</v>
      </c>
      <c r="C80" s="155" t="n">
        <v>4</v>
      </c>
      <c r="D80" s="155" t="n">
        <v>3</v>
      </c>
      <c r="E80" s="155" t="n">
        <v>3</v>
      </c>
      <c r="F80" s="155" t="n">
        <v>3</v>
      </c>
      <c r="G80" s="155" t="n">
        <v>2</v>
      </c>
      <c r="H80" s="161" t="n">
        <f aca="false">MIN(C80:G80)</f>
        <v>2</v>
      </c>
      <c r="I80" s="167" t="str">
        <f aca="false">IF(C80&lt;3,"AWARENESS",IF(D80&lt;3,"DESIRE",IF(E80&lt;3,"KNOWLEDGE",IF(F80&lt;3,"ABILITY",IF(G80&lt;3,"REINFORCEMENT","None — all five at 3 or above")))))</f>
        <v>REINFORCEMENT</v>
      </c>
      <c r="J80" s="161" t="n">
        <f aca="false">SUM(C80:G80)</f>
        <v>15</v>
      </c>
      <c r="K80" s="167" t="str">
        <f aca="false">IF(IF(C80&lt;3,"AWARENESS",IF(D80&lt;3,"DESIRE",IF(E80&lt;3,"KNOWLEDGE",IF(F80&lt;3,"ABILITY",IF(G80&lt;3,"REINFORCEMENT","None — all five at 3 or above")))))="None — all five at 3 or above","Ready — monitor only","Work the "&amp;IF(C80&lt;3,"AWARENESS",IF(D80&lt;3,"DESIRE",IF(E80&lt;3,"KNOWLEDGE",IF(F80&lt;3,"ABILITY",IF(G80&lt;3,"REINFORCEMENT","None — all five at 3 or above")))))&amp;" barrier; effort past it is wasted")</f>
        <v>Work the REINFORCEMENT barrier; effort past it is wasted</v>
      </c>
      <c r="L80" s="167"/>
    </row>
    <row r="81" customFormat="false" ht="17.25" hidden="false" customHeight="true" outlineLevel="0" collapsed="false">
      <c r="B81" s="15" t="s">
        <v>12933</v>
      </c>
      <c r="C81" s="155" t="n">
        <v>3</v>
      </c>
      <c r="D81" s="155" t="n">
        <v>1</v>
      </c>
      <c r="E81" s="155" t="n">
        <v>2</v>
      </c>
      <c r="F81" s="155" t="n">
        <v>2</v>
      </c>
      <c r="G81" s="155" t="n">
        <v>1</v>
      </c>
      <c r="H81" s="161" t="n">
        <f aca="false">MIN(C81:G81)</f>
        <v>1</v>
      </c>
      <c r="I81" s="167" t="str">
        <f aca="false">IF(C81&lt;3,"AWARENESS",IF(D81&lt;3,"DESIRE",IF(E81&lt;3,"KNOWLEDGE",IF(F81&lt;3,"ABILITY",IF(G81&lt;3,"REINFORCEMENT","None — all five at 3 or above")))))</f>
        <v>DESIRE</v>
      </c>
      <c r="J81" s="161" t="n">
        <f aca="false">SUM(C81:G81)</f>
        <v>9</v>
      </c>
      <c r="K81" s="167" t="str">
        <f aca="false">IF(IF(C81&lt;3,"AWARENESS",IF(D81&lt;3,"DESIRE",IF(E81&lt;3,"KNOWLEDGE",IF(F81&lt;3,"ABILITY",IF(G81&lt;3,"REINFORCEMENT","None — all five at 3 or above")))))="None — all five at 3 or above","Ready — monitor only","Work the "&amp;IF(C81&lt;3,"AWARENESS",IF(D81&lt;3,"DESIRE",IF(E81&lt;3,"KNOWLEDGE",IF(F81&lt;3,"ABILITY",IF(G81&lt;3,"REINFORCEMENT","None — all five at 3 or above")))))&amp;" barrier; effort past it is wasted")</f>
        <v>Work the DESIRE barrier; effort past it is wasted</v>
      </c>
      <c r="L81" s="167"/>
    </row>
    <row r="82" customFormat="false" ht="44.25" hidden="false" customHeight="true" outlineLevel="0" collapsed="false">
      <c r="B82" s="15" t="s">
        <v>12934</v>
      </c>
      <c r="C82" s="155" t="n">
        <v>4</v>
      </c>
      <c r="D82" s="155" t="n">
        <v>3</v>
      </c>
      <c r="E82" s="155" t="n">
        <v>4</v>
      </c>
      <c r="F82" s="155" t="n">
        <v>4</v>
      </c>
      <c r="G82" s="155" t="n">
        <v>3</v>
      </c>
      <c r="H82" s="161" t="n">
        <f aca="false">MIN(C82:G82)</f>
        <v>3</v>
      </c>
      <c r="I82" s="167" t="str">
        <f aca="false">IF(C82&lt;3,"AWARENESS",IF(D82&lt;3,"DESIRE",IF(E82&lt;3,"KNOWLEDGE",IF(F82&lt;3,"ABILITY",IF(G82&lt;3,"REINFORCEMENT","None — all five at 3 or above")))))</f>
        <v>None — all five at 3 or above</v>
      </c>
      <c r="J82" s="161" t="n">
        <f aca="false">SUM(C82:G82)</f>
        <v>18</v>
      </c>
      <c r="K82" s="167" t="str">
        <f aca="false">IF(IF(C82&lt;3,"AWARENESS",IF(D82&lt;3,"DESIRE",IF(E82&lt;3,"KNOWLEDGE",IF(F82&lt;3,"ABILITY",IF(G82&lt;3,"REINFORCEMENT","None — all five at 3 or above")))))="None — all five at 3 or above","Ready — monitor only","Work the "&amp;IF(C82&lt;3,"AWARENESS",IF(D82&lt;3,"DESIRE",IF(E82&lt;3,"KNOWLEDGE",IF(F82&lt;3,"ABILITY",IF(G82&lt;3,"REINFORCEMENT","None — all five at 3 or above")))))&amp;" barrier; effort past it is wasted")</f>
        <v>Ready — monitor only</v>
      </c>
      <c r="L82" s="167"/>
    </row>
    <row r="83" customFormat="false" ht="44.25" hidden="false" customHeight="true" outlineLevel="0" collapsed="false">
      <c r="B83" s="15" t="s">
        <v>11842</v>
      </c>
      <c r="C83" s="155" t="n">
        <v>5</v>
      </c>
      <c r="D83" s="155" t="n">
        <v>4</v>
      </c>
      <c r="E83" s="155" t="n">
        <v>4</v>
      </c>
      <c r="F83" s="155" t="n">
        <v>4</v>
      </c>
      <c r="G83" s="155" t="n">
        <v>3</v>
      </c>
      <c r="H83" s="161" t="n">
        <f aca="false">MIN(C83:G83)</f>
        <v>3</v>
      </c>
      <c r="I83" s="167" t="str">
        <f aca="false">IF(C83&lt;3,"AWARENESS",IF(D83&lt;3,"DESIRE",IF(E83&lt;3,"KNOWLEDGE",IF(F83&lt;3,"ABILITY",IF(G83&lt;3,"REINFORCEMENT","None — all five at 3 or above")))))</f>
        <v>None — all five at 3 or above</v>
      </c>
      <c r="J83" s="161" t="n">
        <f aca="false">SUM(C83:G83)</f>
        <v>20</v>
      </c>
      <c r="K83" s="167" t="str">
        <f aca="false">IF(IF(C83&lt;3,"AWARENESS",IF(D83&lt;3,"DESIRE",IF(E83&lt;3,"KNOWLEDGE",IF(F83&lt;3,"ABILITY",IF(G83&lt;3,"REINFORCEMENT","None — all five at 3 or above")))))="None — all five at 3 or above","Ready — monitor only","Work the "&amp;IF(C83&lt;3,"AWARENESS",IF(D83&lt;3,"DESIRE",IF(E83&lt;3,"KNOWLEDGE",IF(F83&lt;3,"ABILITY",IF(G83&lt;3,"REINFORCEMENT","None — all five at 3 or above")))))&amp;" barrier; effort past it is wasted")</f>
        <v>Ready — monitor only</v>
      </c>
      <c r="L83" s="167"/>
    </row>
    <row r="84" customFormat="false" ht="44.25" hidden="false" customHeight="true" outlineLevel="0" collapsed="false">
      <c r="B84" s="15" t="s">
        <v>12935</v>
      </c>
      <c r="C84" s="155" t="n">
        <v>4</v>
      </c>
      <c r="D84" s="155" t="n">
        <v>4</v>
      </c>
      <c r="E84" s="155" t="n">
        <v>3</v>
      </c>
      <c r="F84" s="155" t="n">
        <v>3</v>
      </c>
      <c r="G84" s="155" t="n">
        <v>3</v>
      </c>
      <c r="H84" s="161" t="n">
        <f aca="false">MIN(C84:G84)</f>
        <v>3</v>
      </c>
      <c r="I84" s="167" t="str">
        <f aca="false">IF(C84&lt;3,"AWARENESS",IF(D84&lt;3,"DESIRE",IF(E84&lt;3,"KNOWLEDGE",IF(F84&lt;3,"ABILITY",IF(G84&lt;3,"REINFORCEMENT","None — all five at 3 or above")))))</f>
        <v>None — all five at 3 or above</v>
      </c>
      <c r="J84" s="161" t="n">
        <f aca="false">SUM(C84:G84)</f>
        <v>17</v>
      </c>
      <c r="K84" s="167" t="str">
        <f aca="false">IF(IF(C84&lt;3,"AWARENESS",IF(D84&lt;3,"DESIRE",IF(E84&lt;3,"KNOWLEDGE",IF(F84&lt;3,"ABILITY",IF(G84&lt;3,"REINFORCEMENT","None — all five at 3 or above")))))="None — all five at 3 or above","Ready — monitor only","Work the "&amp;IF(C84&lt;3,"AWARENESS",IF(D84&lt;3,"DESIRE",IF(E84&lt;3,"KNOWLEDGE",IF(F84&lt;3,"ABILITY",IF(G84&lt;3,"REINFORCEMENT","None — all five at 3 or above")))))&amp;" barrier; effort past it is wasted")</f>
        <v>Ready — monitor only</v>
      </c>
      <c r="L84" s="167"/>
    </row>
    <row r="85" customFormat="false" ht="44.25" hidden="false" customHeight="true" outlineLevel="0" collapsed="false">
      <c r="B85" s="15" t="s">
        <v>12936</v>
      </c>
      <c r="C85" s="155" t="n">
        <v>5</v>
      </c>
      <c r="D85" s="155" t="n">
        <v>4</v>
      </c>
      <c r="E85" s="155" t="n">
        <v>4</v>
      </c>
      <c r="F85" s="155" t="n">
        <v>4</v>
      </c>
      <c r="G85" s="155" t="n">
        <v>4</v>
      </c>
      <c r="H85" s="161" t="n">
        <f aca="false">MIN(C85:G85)</f>
        <v>4</v>
      </c>
      <c r="I85" s="167" t="str">
        <f aca="false">IF(C85&lt;3,"AWARENESS",IF(D85&lt;3,"DESIRE",IF(E85&lt;3,"KNOWLEDGE",IF(F85&lt;3,"ABILITY",IF(G85&lt;3,"REINFORCEMENT","None — all five at 3 or above")))))</f>
        <v>None — all five at 3 or above</v>
      </c>
      <c r="J85" s="161" t="n">
        <f aca="false">SUM(C85:G85)</f>
        <v>21</v>
      </c>
      <c r="K85" s="167" t="str">
        <f aca="false">IF(IF(C85&lt;3,"AWARENESS",IF(D85&lt;3,"DESIRE",IF(E85&lt;3,"KNOWLEDGE",IF(F85&lt;3,"ABILITY",IF(G85&lt;3,"REINFORCEMENT","None — all five at 3 or above")))))="None — all five at 3 or above","Ready — monitor only","Work the "&amp;IF(C85&lt;3,"AWARENESS",IF(D85&lt;3,"DESIRE",IF(E85&lt;3,"KNOWLEDGE",IF(F85&lt;3,"ABILITY",IF(G85&lt;3,"REINFORCEMENT","None — all five at 3 or above")))))&amp;" barrier; effort past it is wasted")</f>
        <v>Ready — monitor only</v>
      </c>
      <c r="L85" s="167"/>
    </row>
    <row r="86" customFormat="false" ht="17.25" hidden="false" customHeight="true" outlineLevel="0" collapsed="false">
      <c r="B86" s="15" t="s">
        <v>7015</v>
      </c>
      <c r="C86" s="155" t="n">
        <v>3</v>
      </c>
      <c r="D86" s="155" t="n">
        <v>2</v>
      </c>
      <c r="E86" s="155" t="n">
        <v>4</v>
      </c>
      <c r="F86" s="155" t="n">
        <v>4</v>
      </c>
      <c r="G86" s="155" t="n">
        <v>2</v>
      </c>
      <c r="H86" s="161" t="n">
        <f aca="false">MIN(C86:G86)</f>
        <v>2</v>
      </c>
      <c r="I86" s="167" t="str">
        <f aca="false">IF(C86&lt;3,"AWARENESS",IF(D86&lt;3,"DESIRE",IF(E86&lt;3,"KNOWLEDGE",IF(F86&lt;3,"ABILITY",IF(G86&lt;3,"REINFORCEMENT","None — all five at 3 or above")))))</f>
        <v>DESIRE</v>
      </c>
      <c r="J86" s="161" t="n">
        <f aca="false">SUM(C86:G86)</f>
        <v>15</v>
      </c>
      <c r="K86" s="167" t="str">
        <f aca="false">IF(IF(C86&lt;3,"AWARENESS",IF(D86&lt;3,"DESIRE",IF(E86&lt;3,"KNOWLEDGE",IF(F86&lt;3,"ABILITY",IF(G86&lt;3,"REINFORCEMENT","None — all five at 3 or above")))))="None — all five at 3 or above","Ready — monitor only","Work the "&amp;IF(C86&lt;3,"AWARENESS",IF(D86&lt;3,"DESIRE",IF(E86&lt;3,"KNOWLEDGE",IF(F86&lt;3,"ABILITY",IF(G86&lt;3,"REINFORCEMENT","None — all five at 3 or above")))))&amp;" barrier; effort past it is wasted")</f>
        <v>Work the DESIRE barrier; effort past it is wasted</v>
      </c>
      <c r="L86" s="167"/>
    </row>
    <row r="88" customFormat="false" ht="17.25" hidden="false" customHeight="true" outlineLevel="0" collapsed="false">
      <c r="B88" s="107" t="s">
        <v>12937</v>
      </c>
      <c r="C88" s="107"/>
      <c r="D88" s="107"/>
      <c r="E88" s="107"/>
      <c r="F88" s="107"/>
      <c r="G88" s="107"/>
      <c r="H88" s="107"/>
      <c r="I88" s="107"/>
    </row>
    <row r="89" customFormat="false" ht="44.25" hidden="false" customHeight="true" outlineLevel="0" collapsed="false">
      <c r="B89" s="152" t="s">
        <v>8301</v>
      </c>
      <c r="C89" s="152" t="s">
        <v>12938</v>
      </c>
      <c r="D89" s="152" t="s">
        <v>12939</v>
      </c>
      <c r="E89" s="152" t="s">
        <v>12940</v>
      </c>
      <c r="F89" s="152"/>
      <c r="G89" s="152"/>
      <c r="H89" s="152"/>
      <c r="I89" s="152"/>
    </row>
    <row r="90" customFormat="false" ht="30.75" hidden="false" customHeight="true" outlineLevel="0" collapsed="false">
      <c r="B90" s="15" t="s">
        <v>12941</v>
      </c>
      <c r="C90" s="15" t="s">
        <v>12942</v>
      </c>
      <c r="D90" s="15" t="s">
        <v>12943</v>
      </c>
      <c r="E90" s="15" t="s">
        <v>12944</v>
      </c>
      <c r="F90" s="15"/>
      <c r="G90" s="15"/>
      <c r="H90" s="15"/>
      <c r="I90" s="15"/>
    </row>
    <row r="91" customFormat="false" ht="58.5" hidden="false" customHeight="true" outlineLevel="0" collapsed="false">
      <c r="B91" s="15" t="s">
        <v>12945</v>
      </c>
      <c r="C91" s="15" t="s">
        <v>12946</v>
      </c>
      <c r="D91" s="15" t="s">
        <v>12947</v>
      </c>
      <c r="E91" s="15" t="s">
        <v>12948</v>
      </c>
      <c r="F91" s="15"/>
      <c r="G91" s="15"/>
      <c r="H91" s="15"/>
      <c r="I91" s="15"/>
    </row>
    <row r="92" customFormat="false" ht="30.75" hidden="false" customHeight="true" outlineLevel="0" collapsed="false">
      <c r="B92" s="15" t="s">
        <v>12949</v>
      </c>
      <c r="C92" s="15" t="s">
        <v>12950</v>
      </c>
      <c r="D92" s="15" t="s">
        <v>12951</v>
      </c>
      <c r="E92" s="15" t="s">
        <v>12952</v>
      </c>
      <c r="F92" s="15"/>
      <c r="G92" s="15"/>
      <c r="H92" s="15"/>
      <c r="I92" s="15"/>
    </row>
    <row r="93" customFormat="false" ht="58.5" hidden="false" customHeight="true" outlineLevel="0" collapsed="false">
      <c r="B93" s="15" t="s">
        <v>12953</v>
      </c>
      <c r="C93" s="15" t="s">
        <v>12954</v>
      </c>
      <c r="D93" s="15" t="s">
        <v>12955</v>
      </c>
      <c r="E93" s="15" t="s">
        <v>12956</v>
      </c>
      <c r="F93" s="15"/>
      <c r="G93" s="15"/>
      <c r="H93" s="15"/>
      <c r="I93" s="15"/>
    </row>
    <row r="94" customFormat="false" ht="72" hidden="false" customHeight="true" outlineLevel="0" collapsed="false">
      <c r="B94" s="15" t="s">
        <v>12957</v>
      </c>
      <c r="C94" s="15" t="s">
        <v>12958</v>
      </c>
      <c r="D94" s="15" t="s">
        <v>12959</v>
      </c>
      <c r="E94" s="15" t="s">
        <v>12960</v>
      </c>
      <c r="F94" s="15"/>
      <c r="G94" s="15"/>
      <c r="H94" s="15"/>
      <c r="I94" s="15"/>
    </row>
    <row r="96" customFormat="false" ht="17.25" hidden="false" customHeight="true" outlineLevel="0" collapsed="false">
      <c r="B96" s="107" t="s">
        <v>12961</v>
      </c>
      <c r="C96" s="107"/>
      <c r="D96" s="107"/>
      <c r="E96" s="107"/>
      <c r="F96" s="107"/>
      <c r="G96" s="107"/>
      <c r="H96" s="107"/>
      <c r="I96" s="107"/>
    </row>
    <row r="97" customFormat="false" ht="30.75" hidden="false" customHeight="true" outlineLevel="0" collapsed="false">
      <c r="B97" s="152" t="s">
        <v>12962</v>
      </c>
      <c r="C97" s="152" t="s">
        <v>12963</v>
      </c>
      <c r="D97" s="152" t="s">
        <v>12964</v>
      </c>
      <c r="E97" s="152" t="s">
        <v>12965</v>
      </c>
      <c r="F97" s="152" t="s">
        <v>12966</v>
      </c>
      <c r="G97" s="152" t="s">
        <v>12967</v>
      </c>
      <c r="H97" s="152"/>
    </row>
    <row r="98" customFormat="false" ht="99.75" hidden="false" customHeight="true" outlineLevel="0" collapsed="false">
      <c r="B98" s="177" t="s">
        <v>12968</v>
      </c>
      <c r="C98" s="177" t="s">
        <v>12969</v>
      </c>
      <c r="D98" s="177" t="s">
        <v>12970</v>
      </c>
      <c r="E98" s="177" t="s">
        <v>12923</v>
      </c>
      <c r="F98" s="177" t="s">
        <v>12971</v>
      </c>
      <c r="G98" s="155" t="n">
        <v>1</v>
      </c>
      <c r="H98" s="155"/>
    </row>
    <row r="99" customFormat="false" ht="72" hidden="false" customHeight="true" outlineLevel="0" collapsed="false">
      <c r="B99" s="177" t="s">
        <v>7015</v>
      </c>
      <c r="C99" s="177" t="s">
        <v>12972</v>
      </c>
      <c r="D99" s="177" t="s">
        <v>12973</v>
      </c>
      <c r="E99" s="177" t="s">
        <v>12923</v>
      </c>
      <c r="F99" s="177" t="s">
        <v>12974</v>
      </c>
      <c r="G99" s="155" t="n">
        <v>1</v>
      </c>
      <c r="H99" s="155"/>
    </row>
    <row r="100" customFormat="false" ht="86.25" hidden="false" customHeight="true" outlineLevel="0" collapsed="false">
      <c r="B100" s="177" t="s">
        <v>12968</v>
      </c>
      <c r="C100" s="177" t="s">
        <v>12975</v>
      </c>
      <c r="D100" s="177" t="s">
        <v>12976</v>
      </c>
      <c r="E100" s="177" t="s">
        <v>12924</v>
      </c>
      <c r="F100" s="177" t="s">
        <v>12977</v>
      </c>
      <c r="G100" s="155" t="n">
        <v>0</v>
      </c>
      <c r="H100" s="155"/>
    </row>
    <row r="101" customFormat="false" ht="86.25" hidden="false" customHeight="true" outlineLevel="0" collapsed="false">
      <c r="B101" s="177" t="s">
        <v>7027</v>
      </c>
      <c r="C101" s="177" t="s">
        <v>12978</v>
      </c>
      <c r="D101" s="177" t="s">
        <v>12979</v>
      </c>
      <c r="E101" s="177" t="s">
        <v>12925</v>
      </c>
      <c r="F101" s="177" t="s">
        <v>12980</v>
      </c>
      <c r="G101" s="155" t="n">
        <v>0</v>
      </c>
      <c r="H101" s="155"/>
    </row>
    <row r="103" customFormat="false" ht="17.25" hidden="false" customHeight="true" outlineLevel="0" collapsed="false">
      <c r="B103" s="152" t="s">
        <v>6689</v>
      </c>
      <c r="C103" s="152" t="s">
        <v>6654</v>
      </c>
      <c r="D103" s="152" t="s">
        <v>88</v>
      </c>
      <c r="E103" s="152"/>
      <c r="F103" s="152"/>
      <c r="G103" s="152"/>
      <c r="H103" s="152"/>
    </row>
    <row r="104" customFormat="false" ht="17.25" hidden="false" customHeight="true" outlineLevel="0" collapsed="false">
      <c r="B104" s="15" t="s">
        <v>12981</v>
      </c>
      <c r="C104" s="161" t="n">
        <f aca="false">COUNTA(B79:B86)</f>
        <v>8</v>
      </c>
      <c r="D104" s="15"/>
      <c r="E104" s="15"/>
      <c r="F104" s="15"/>
      <c r="G104" s="15"/>
      <c r="H104" s="15"/>
    </row>
    <row r="105" customFormat="false" ht="17.25" hidden="false" customHeight="true" outlineLevel="0" collapsed="false">
      <c r="B105" s="15" t="s">
        <v>12982</v>
      </c>
      <c r="C105" s="161" t="n">
        <f aca="false">COUNTIF(I79:I86,"None*")</f>
        <v>4</v>
      </c>
      <c r="D105" s="15" t="s">
        <v>12983</v>
      </c>
      <c r="E105" s="15"/>
      <c r="F105" s="15"/>
      <c r="G105" s="15"/>
      <c r="H105" s="15"/>
    </row>
    <row r="106" customFormat="false" ht="31.5" hidden="false" customHeight="true" outlineLevel="0" collapsed="false">
      <c r="B106" s="15" t="s">
        <v>12984</v>
      </c>
      <c r="C106" s="161" t="n">
        <f aca="false">COUNTIF(I79:I86,"AWARENESS")+COUNTIF(I79:I86,"DESIRE")</f>
        <v>3</v>
      </c>
      <c r="D106" s="15" t="s">
        <v>12985</v>
      </c>
      <c r="E106" s="15"/>
      <c r="F106" s="15"/>
      <c r="G106" s="15"/>
      <c r="H106" s="15"/>
    </row>
    <row r="107" customFormat="false" ht="30.75" hidden="false" customHeight="true" outlineLevel="0" collapsed="false">
      <c r="B107" s="15" t="s">
        <v>12986</v>
      </c>
      <c r="C107" s="161" t="n">
        <f aca="false">COUNTIF(I79:I86,"KNOWLEDGE")+COUNTIF(I79:I86,"ABILITY")</f>
        <v>0</v>
      </c>
      <c r="D107" s="15" t="s">
        <v>12987</v>
      </c>
      <c r="E107" s="15"/>
      <c r="F107" s="15"/>
      <c r="G107" s="15"/>
      <c r="H107" s="15"/>
    </row>
    <row r="108" customFormat="false" ht="17.25" hidden="false" customHeight="true" outlineLevel="0" collapsed="false">
      <c r="B108" s="15" t="s">
        <v>12988</v>
      </c>
      <c r="C108" s="161" t="n">
        <f aca="false">COUNTIF(I79:I86,"REINFORCEMENT")</f>
        <v>1</v>
      </c>
      <c r="D108" s="15" t="s">
        <v>12989</v>
      </c>
      <c r="E108" s="15"/>
      <c r="F108" s="15"/>
      <c r="G108" s="15"/>
      <c r="H108" s="15"/>
    </row>
    <row r="109" customFormat="false" ht="17.25" hidden="false" customHeight="true" outlineLevel="0" collapsed="false">
      <c r="B109" s="15" t="s">
        <v>12990</v>
      </c>
      <c r="C109" s="167" t="str">
        <f aca="false">INDEX(B79:B86,MATCH(MIN(J79:J86),J79:J86,0))</f>
        <v>Line operators, shift C</v>
      </c>
      <c r="D109" s="15" t="s">
        <v>12991</v>
      </c>
      <c r="E109" s="15"/>
      <c r="F109" s="15"/>
      <c r="G109" s="15"/>
      <c r="H109" s="15"/>
    </row>
    <row r="110" customFormat="false" ht="17.25" hidden="false" customHeight="true" outlineLevel="0" collapsed="false">
      <c r="B110" s="15" t="s">
        <v>12992</v>
      </c>
      <c r="C110" s="161" t="n">
        <f aca="false">COUNTA(C98:C101)</f>
        <v>4</v>
      </c>
      <c r="D110" s="15"/>
      <c r="E110" s="15"/>
      <c r="F110" s="15"/>
      <c r="G110" s="15"/>
      <c r="H110" s="15"/>
    </row>
    <row r="111" customFormat="false" ht="17.25" hidden="false" customHeight="true" outlineLevel="0" collapsed="false">
      <c r="B111" s="15" t="s">
        <v>12993</v>
      </c>
      <c r="C111" s="161" t="n">
        <f aca="false">SUM(G98:G101)</f>
        <v>2</v>
      </c>
      <c r="D111" s="15" t="s">
        <v>12994</v>
      </c>
      <c r="E111" s="15"/>
      <c r="F111" s="15"/>
      <c r="G111" s="15"/>
      <c r="H111" s="15"/>
    </row>
    <row r="113" customFormat="false" ht="15.75" hidden="false" customHeight="true" outlineLevel="0" collapsed="false">
      <c r="B113" s="103" t="s">
        <v>1493</v>
      </c>
      <c r="C113" s="8"/>
      <c r="D113" s="8"/>
      <c r="E113" s="8"/>
      <c r="F113" s="8"/>
      <c r="G113" s="8"/>
      <c r="H113" s="8"/>
      <c r="I113" s="8"/>
      <c r="J113" s="8"/>
      <c r="K113" s="8"/>
    </row>
    <row r="114" customFormat="false" ht="135" hidden="false" customHeight="true" outlineLevel="0" collapsed="false">
      <c r="B114" s="105" t="s">
        <v>1494</v>
      </c>
      <c r="C114" s="168" t="str">
        <f aca="false">"Of "&amp;TEXT(C104,"0")&amp;" groups, "&amp;TEXT(C105,"0")&amp;" are ready, "&amp;TEXT(C106,"0")&amp;" are blocked at Awareness or Desire and "&amp;TEXT(C107,"0")&amp;" at Knowledge or Ability. The weakest group is "&amp;C109&amp;". "&amp;IF(C106&gt;0,"The groups blocked at Awareness or Desire will not be helped by training — that is the classic error. They need the business reason communicated and a genuine say in the design. Training someone who does not want the change produces a trained person who does not want the change.","No group is blocked before Knowledge, so training and practice are the right interventions from here.")&amp;IF(C108&gt;0," "&amp;TEXT(C108,"0")&amp;" group(s) are blocked at Reinforcement: they can do it, but nothing makes them keep doing it. That is an audit and visual management gap (H-16, L-13), not a people gap.","")</f>
        <v>Of 8 groups, 4 are ready, 3 are blocked at Awareness or Desire and 0 at Knowledge or Ability. The weakest group is Line operators, shift C. The groups blocked at Awareness or Desire will not be helped by training — that is the classic error. They need the business reason communicated and a genuine say in the design. Training someone who does not want the change produces a trained person who does not want the change. 1 group(s) are blocked at Reinforcement: they can do it, but nothing makes them keep doing it. That is an audit and visual management gap (H-16, L-13), not a people gap.</v>
      </c>
      <c r="D114" s="168"/>
      <c r="E114" s="168"/>
      <c r="F114" s="168"/>
      <c r="G114" s="168"/>
    </row>
    <row r="116" customFormat="false" ht="17.25" hidden="false" customHeight="true" outlineLevel="0" collapsed="false">
      <c r="B116" s="152" t="s">
        <v>1495</v>
      </c>
      <c r="C116" s="152" t="s">
        <v>1496</v>
      </c>
      <c r="D116" s="152" t="s">
        <v>1497</v>
      </c>
      <c r="E116" s="152"/>
      <c r="F116" s="152"/>
      <c r="G116" s="152"/>
    </row>
    <row r="117" customFormat="false" ht="17.25" hidden="false" customHeight="true" outlineLevel="0" collapsed="false">
      <c r="B117" s="15" t="s">
        <v>12928</v>
      </c>
      <c r="C117" s="15" t="s">
        <v>12995</v>
      </c>
      <c r="D117" s="15" t="s">
        <v>12996</v>
      </c>
      <c r="E117" s="15"/>
      <c r="F117" s="15"/>
      <c r="G117" s="15"/>
    </row>
    <row r="118" customFormat="false" ht="17.25" hidden="false" customHeight="true" outlineLevel="0" collapsed="false">
      <c r="B118" s="15" t="s">
        <v>12997</v>
      </c>
      <c r="C118" s="15" t="s">
        <v>12998</v>
      </c>
      <c r="D118" s="15" t="s">
        <v>12999</v>
      </c>
      <c r="E118" s="15"/>
      <c r="F118" s="15"/>
      <c r="G118" s="15"/>
    </row>
    <row r="119" customFormat="false" ht="17.25" hidden="false" customHeight="true" outlineLevel="0" collapsed="false">
      <c r="B119" s="15" t="s">
        <v>13000</v>
      </c>
      <c r="C119" s="15" t="s">
        <v>13001</v>
      </c>
      <c r="D119" s="15" t="s">
        <v>12989</v>
      </c>
      <c r="E119" s="15"/>
      <c r="F119" s="15"/>
      <c r="G119" s="15"/>
    </row>
    <row r="120" customFormat="false" ht="17.25" hidden="false" customHeight="true" outlineLevel="0" collapsed="false">
      <c r="B120" s="15" t="s">
        <v>13002</v>
      </c>
      <c r="C120" s="15" t="s">
        <v>13003</v>
      </c>
      <c r="D120" s="15" t="s">
        <v>13004</v>
      </c>
      <c r="E120" s="15"/>
      <c r="F120" s="15"/>
      <c r="G120" s="15"/>
    </row>
    <row r="121" customFormat="false" ht="30.75" hidden="false" customHeight="true" outlineLevel="0" collapsed="false">
      <c r="B121" s="15" t="s">
        <v>13005</v>
      </c>
      <c r="C121" s="15" t="s">
        <v>13006</v>
      </c>
      <c r="D121" s="15" t="s">
        <v>13007</v>
      </c>
      <c r="E121" s="15"/>
      <c r="F121" s="15"/>
      <c r="G121" s="15"/>
    </row>
    <row r="123" customFormat="false" ht="15" hidden="false" customHeight="true" outlineLevel="0" collapsed="false">
      <c r="B123" s="105" t="s">
        <v>1507</v>
      </c>
    </row>
    <row r="124" customFormat="false" ht="17.25" hidden="false" customHeight="true" outlineLevel="0" collapsed="false">
      <c r="B124" s="106" t="s">
        <v>13008</v>
      </c>
      <c r="C124" s="106"/>
      <c r="D124" s="106"/>
      <c r="E124" s="106"/>
      <c r="F124" s="106"/>
      <c r="G124" s="106"/>
      <c r="H124" s="106"/>
      <c r="I124" s="106"/>
    </row>
    <row r="125" customFormat="false" ht="17.25" hidden="false" customHeight="true" outlineLevel="0" collapsed="false">
      <c r="B125" s="106" t="s">
        <v>13009</v>
      </c>
      <c r="C125" s="106"/>
      <c r="D125" s="106"/>
      <c r="E125" s="106"/>
      <c r="F125" s="106"/>
      <c r="G125" s="106"/>
      <c r="H125" s="106"/>
      <c r="I125" s="106"/>
    </row>
    <row r="126" customFormat="false" ht="17.25" hidden="false" customHeight="true" outlineLevel="0" collapsed="false">
      <c r="B126" s="106" t="s">
        <v>13010</v>
      </c>
      <c r="C126" s="106"/>
      <c r="D126" s="106"/>
      <c r="E126" s="106"/>
      <c r="F126" s="106"/>
      <c r="G126" s="106"/>
      <c r="H126" s="106"/>
      <c r="I126" s="106"/>
    </row>
    <row r="127" customFormat="false" ht="17.25" hidden="false" customHeight="true" outlineLevel="0" collapsed="false">
      <c r="B127" s="106" t="s">
        <v>13011</v>
      </c>
      <c r="C127" s="106"/>
      <c r="D127" s="106"/>
      <c r="E127" s="106"/>
      <c r="F127" s="106"/>
      <c r="G127" s="106"/>
      <c r="H127" s="106"/>
      <c r="I127" s="106"/>
    </row>
    <row r="128" customFormat="false" ht="17.25" hidden="false" customHeight="true" outlineLevel="0" collapsed="false">
      <c r="B128" s="106" t="s">
        <v>13012</v>
      </c>
      <c r="C128" s="106"/>
      <c r="D128" s="106"/>
      <c r="E128" s="106"/>
      <c r="F128" s="106"/>
      <c r="G128" s="106"/>
      <c r="H128" s="106"/>
      <c r="I128" s="106"/>
    </row>
    <row r="130" customFormat="false" ht="15.75" hidden="false" customHeight="true" outlineLevel="0" collapsed="false">
      <c r="B130" s="103" t="s">
        <v>1513</v>
      </c>
      <c r="C130" s="8"/>
      <c r="D130" s="8"/>
      <c r="E130" s="8"/>
      <c r="F130" s="8"/>
      <c r="G130" s="8"/>
      <c r="H130" s="8"/>
      <c r="I130" s="8"/>
      <c r="J130" s="8"/>
      <c r="K130" s="8"/>
    </row>
    <row r="131" customFormat="false" ht="17.25" hidden="false" customHeight="true" outlineLevel="0" collapsed="false">
      <c r="B131" s="106" t="s">
        <v>6712</v>
      </c>
      <c r="C131" s="106"/>
      <c r="D131" s="106"/>
      <c r="E131" s="106"/>
      <c r="F131" s="106"/>
      <c r="N131" s="169" t="s">
        <v>1515</v>
      </c>
    </row>
    <row r="132" customFormat="false" ht="44.25" hidden="false" customHeight="true" outlineLevel="0" collapsed="false">
      <c r="B132" s="106" t="s">
        <v>13013</v>
      </c>
      <c r="C132" s="106"/>
      <c r="D132" s="106"/>
      <c r="E132" s="106"/>
      <c r="F132" s="106"/>
      <c r="N132" s="120" t="s">
        <v>13014</v>
      </c>
    </row>
    <row r="133" customFormat="false" ht="58.5" hidden="false" customHeight="true" outlineLevel="0" collapsed="false">
      <c r="B133" s="106" t="s">
        <v>13015</v>
      </c>
      <c r="C133" s="106"/>
      <c r="D133" s="106"/>
      <c r="E133" s="106"/>
      <c r="F133" s="106"/>
      <c r="N133" s="120" t="s">
        <v>13016</v>
      </c>
    </row>
    <row r="134" customFormat="false" ht="44.25" hidden="false" customHeight="true" outlineLevel="0" collapsed="false">
      <c r="B134" s="106" t="s">
        <v>13017</v>
      </c>
      <c r="C134" s="106"/>
      <c r="D134" s="106"/>
      <c r="E134" s="106"/>
      <c r="F134" s="106"/>
      <c r="N134" s="120" t="s">
        <v>13018</v>
      </c>
    </row>
    <row r="136" customFormat="false" ht="15.75" hidden="false" customHeight="true" outlineLevel="0" collapsed="false">
      <c r="B136" s="103" t="s">
        <v>1522</v>
      </c>
      <c r="C136" s="8"/>
      <c r="D136" s="8"/>
      <c r="E136" s="8"/>
      <c r="F136" s="8"/>
      <c r="G136" s="8"/>
      <c r="H136" s="8"/>
      <c r="I136" s="8"/>
      <c r="J136" s="8"/>
      <c r="K136" s="8"/>
    </row>
    <row r="137" customFormat="false" ht="17.25" hidden="false" customHeight="true" outlineLevel="0" collapsed="false">
      <c r="B137" s="152" t="s">
        <v>1523</v>
      </c>
      <c r="C137" s="152" t="s">
        <v>1524</v>
      </c>
      <c r="D137" s="152" t="s">
        <v>6719</v>
      </c>
      <c r="E137" s="152"/>
      <c r="F137" s="152"/>
      <c r="G137" s="152"/>
    </row>
    <row r="138" customFormat="false" ht="17.25" hidden="false" customHeight="true" outlineLevel="0" collapsed="false">
      <c r="B138" s="170" t="s">
        <v>1259</v>
      </c>
      <c r="C138" s="170" t="s">
        <v>12494</v>
      </c>
      <c r="D138" s="171" t="s">
        <v>8094</v>
      </c>
      <c r="E138" s="171"/>
      <c r="F138" s="171"/>
      <c r="G138" s="171"/>
    </row>
  </sheetData>
  <mergeCells count="89">
    <mergeCell ref="B2:J2"/>
    <mergeCell ref="D3:H3"/>
    <mergeCell ref="C6:E6"/>
    <mergeCell ref="C7:E7"/>
    <mergeCell ref="C8:E8"/>
    <mergeCell ref="B11:I13"/>
    <mergeCell ref="B14:I16"/>
    <mergeCell ref="B17:I21"/>
    <mergeCell ref="B22:I25"/>
    <mergeCell ref="B26:I28"/>
    <mergeCell ref="B31:D31"/>
    <mergeCell ref="E31:I31"/>
    <mergeCell ref="B32:D32"/>
    <mergeCell ref="E32:I32"/>
    <mergeCell ref="B33:D33"/>
    <mergeCell ref="E33:I33"/>
    <mergeCell ref="B34:D34"/>
    <mergeCell ref="E34:I34"/>
    <mergeCell ref="B35:I35"/>
    <mergeCell ref="E37:G37"/>
    <mergeCell ref="E38:G38"/>
    <mergeCell ref="E39:G39"/>
    <mergeCell ref="E40:G40"/>
    <mergeCell ref="E41:G41"/>
    <mergeCell ref="B45:I45"/>
    <mergeCell ref="B46:I46"/>
    <mergeCell ref="B48:I48"/>
    <mergeCell ref="B49:I49"/>
    <mergeCell ref="B51:I51"/>
    <mergeCell ref="B53:I53"/>
    <mergeCell ref="B54:I58"/>
    <mergeCell ref="B60:I60"/>
    <mergeCell ref="D63:H63"/>
    <mergeCell ref="D64:H64"/>
    <mergeCell ref="D65:H65"/>
    <mergeCell ref="D66:H66"/>
    <mergeCell ref="D67:H67"/>
    <mergeCell ref="B70:I72"/>
    <mergeCell ref="B75:I75"/>
    <mergeCell ref="B76:I76"/>
    <mergeCell ref="K78:L78"/>
    <mergeCell ref="K79:L79"/>
    <mergeCell ref="K80:L80"/>
    <mergeCell ref="K81:L81"/>
    <mergeCell ref="K82:L82"/>
    <mergeCell ref="K83:L83"/>
    <mergeCell ref="K84:L84"/>
    <mergeCell ref="K85:L85"/>
    <mergeCell ref="K86:L86"/>
    <mergeCell ref="B88:I88"/>
    <mergeCell ref="E89:I89"/>
    <mergeCell ref="E90:I90"/>
    <mergeCell ref="E91:I91"/>
    <mergeCell ref="E92:I92"/>
    <mergeCell ref="E93:I93"/>
    <mergeCell ref="E94:I94"/>
    <mergeCell ref="B96:I96"/>
    <mergeCell ref="G97:H97"/>
    <mergeCell ref="G98:H98"/>
    <mergeCell ref="G99:H99"/>
    <mergeCell ref="G100:H100"/>
    <mergeCell ref="G101:H101"/>
    <mergeCell ref="D103:H103"/>
    <mergeCell ref="D104:H104"/>
    <mergeCell ref="D105:H105"/>
    <mergeCell ref="D106:H106"/>
    <mergeCell ref="D107:H107"/>
    <mergeCell ref="D108:H108"/>
    <mergeCell ref="D109:H109"/>
    <mergeCell ref="D110:H110"/>
    <mergeCell ref="D111:H111"/>
    <mergeCell ref="C114:G114"/>
    <mergeCell ref="D116:G116"/>
    <mergeCell ref="D117:G117"/>
    <mergeCell ref="D118:G118"/>
    <mergeCell ref="D119:G119"/>
    <mergeCell ref="D120:G120"/>
    <mergeCell ref="D121:G121"/>
    <mergeCell ref="B124:I124"/>
    <mergeCell ref="B125:I125"/>
    <mergeCell ref="B126:I126"/>
    <mergeCell ref="B127:I127"/>
    <mergeCell ref="B128:I128"/>
    <mergeCell ref="B131:F131"/>
    <mergeCell ref="B132:F132"/>
    <mergeCell ref="B133:F133"/>
    <mergeCell ref="B134:F134"/>
    <mergeCell ref="D137:G137"/>
    <mergeCell ref="D138:G138"/>
  </mergeCells>
  <hyperlinks>
    <hyperlink ref="B3" location="'N-03 Index DMAIC'!A1" display="← Back to Index"/>
    <hyperlink ref="E38" location="'L-22 Gemba Walk'!A1" display="L-22  Gemba Walk"/>
    <hyperlink ref="E39" location="'H-09 Stratification'!A1" display="H-09  Stratification"/>
    <hyperlink ref="E40" location="'L-26 Pilot and Confirmation'!A1" display="L-26  Pilot and Confirmation Run"/>
    <hyperlink ref="E41" location="'H-16 Control and Reaction'!A1" display="H-16  Control Plan and Reaction Plan"/>
    <hyperlink ref="B138" location="'G-03 Stakeholder Analysis'!A1" display="G-03  Stakeholder Analysis"/>
    <hyperlink ref="C138" location="'G-05 Communication Plan'!A1" display="G-05  Communication Plan"/>
    <hyperlink ref="D138" location="'H-16 Control and Reaction'!A1" display="H-16  Control Plan and Reaction Pla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Q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8"/>
    <col collapsed="false" customWidth="true" hidden="false" outlineLevel="0" max="4" min="4" style="1" width="50"/>
    <col collapsed="false" customWidth="true" hidden="false" outlineLevel="0" max="5" min="5" style="1" width="14"/>
    <col collapsed="false" customWidth="true" hidden="false" outlineLevel="0" max="6" min="6" style="1" width="12"/>
    <col collapsed="false" customWidth="true" hidden="false" outlineLevel="0" max="7" min="7" style="1" width="10"/>
    <col collapsed="false" customWidth="true" hidden="false" outlineLevel="0" max="8" min="8" style="1" width="12"/>
    <col collapsed="false" customWidth="true" hidden="false" outlineLevel="0" max="9" min="9" style="1" width="13"/>
    <col collapsed="false" customWidth="true" hidden="false" outlineLevel="0" max="10" min="10" style="1" width="44"/>
    <col collapsed="false" customWidth="true" hidden="false" outlineLevel="0" max="11" min="11" style="1" width="20"/>
    <col collapsed="false" customWidth="true" hidden="false" outlineLevel="0" max="14" min="12" style="1" width="14"/>
    <col collapsed="false" customWidth="true" hidden="false" outlineLevel="0" max="15" min="15" style="1" width="13"/>
    <col collapsed="false" customWidth="true" hidden="false" outlineLevel="0" max="16" min="16" style="1" width="14"/>
    <col collapsed="false" customWidth="true" hidden="false" outlineLevel="0" max="17" min="17" style="1" width="34"/>
  </cols>
  <sheetData>
    <row r="1" customFormat="false" ht="15" hidden="false" customHeight="true" outlineLevel="0" collapsed="false">
      <c r="A1" s="147" t="s">
        <v>0</v>
      </c>
    </row>
    <row r="2" customFormat="false" ht="22.5" hidden="false" customHeight="true" outlineLevel="0" collapsed="false">
      <c r="B2" s="148" t="s">
        <v>13019</v>
      </c>
      <c r="C2" s="148"/>
      <c r="D2" s="148"/>
      <c r="E2" s="148"/>
      <c r="F2" s="148"/>
      <c r="G2" s="148"/>
      <c r="H2" s="148"/>
      <c r="I2" s="148"/>
      <c r="J2" s="148"/>
      <c r="K2" s="202" t="s">
        <v>2</v>
      </c>
    </row>
    <row r="3" customFormat="false" ht="28.5" hidden="false" customHeight="true" outlineLevel="0" collapsed="false">
      <c r="B3" s="150" t="s">
        <v>3</v>
      </c>
      <c r="D3" s="151" t="s">
        <v>13020</v>
      </c>
      <c r="E3" s="151"/>
      <c r="F3" s="151"/>
      <c r="G3" s="151"/>
    </row>
    <row r="5" customFormat="false" ht="15.75" hidden="false" customHeight="true" outlineLevel="0" collapsed="false">
      <c r="B5" s="103" t="s">
        <v>1391</v>
      </c>
      <c r="C5" s="8"/>
      <c r="D5" s="8"/>
      <c r="E5" s="8"/>
      <c r="F5" s="8"/>
      <c r="G5" s="8"/>
      <c r="H5" s="8"/>
      <c r="I5" s="8"/>
      <c r="J5" s="8"/>
      <c r="K5" s="8"/>
    </row>
    <row r="6" customFormat="false" ht="17.25" hidden="false" customHeight="true" outlineLevel="0" collapsed="false">
      <c r="B6" s="105" t="s">
        <v>1392</v>
      </c>
      <c r="C6" s="106" t="s">
        <v>13021</v>
      </c>
      <c r="D6" s="106"/>
      <c r="E6" s="106"/>
      <c r="F6" s="106"/>
      <c r="G6" s="106"/>
    </row>
    <row r="7" customFormat="false" ht="17.25" hidden="false" customHeight="true" outlineLevel="0" collapsed="false">
      <c r="B7" s="105" t="s">
        <v>1394</v>
      </c>
      <c r="C7" s="106" t="s">
        <v>13022</v>
      </c>
      <c r="D7" s="106"/>
      <c r="E7" s="106"/>
      <c r="F7" s="106"/>
      <c r="G7" s="106"/>
    </row>
    <row r="8" customFormat="false" ht="17.25" hidden="false" customHeight="true" outlineLevel="0" collapsed="false">
      <c r="B8" s="105" t="s">
        <v>1396</v>
      </c>
      <c r="C8" s="106" t="s">
        <v>13023</v>
      </c>
      <c r="D8" s="106"/>
      <c r="E8" s="106"/>
      <c r="F8" s="106"/>
      <c r="G8" s="106"/>
    </row>
    <row r="10" customFormat="false" ht="15.75" hidden="false" customHeight="true" outlineLevel="0" collapsed="false">
      <c r="B10" s="103" t="s">
        <v>1398</v>
      </c>
      <c r="C10" s="8"/>
      <c r="D10" s="8"/>
      <c r="E10" s="8"/>
      <c r="F10" s="8"/>
      <c r="G10" s="8"/>
      <c r="H10" s="8"/>
      <c r="I10" s="8"/>
      <c r="J10" s="8"/>
      <c r="K10" s="8"/>
    </row>
    <row r="11" customFormat="false" ht="15" hidden="false" customHeight="true" outlineLevel="0" collapsed="false">
      <c r="B11" s="106" t="s">
        <v>13024</v>
      </c>
      <c r="C11" s="106"/>
      <c r="D11" s="106"/>
      <c r="E11" s="106"/>
      <c r="F11" s="106"/>
      <c r="G11" s="106"/>
    </row>
    <row r="12" customFormat="false" ht="15" hidden="false" customHeight="true" outlineLevel="0" collapsed="false">
      <c r="B12" s="106"/>
      <c r="C12" s="106"/>
      <c r="D12" s="106"/>
      <c r="E12" s="106"/>
      <c r="F12" s="106"/>
      <c r="G12" s="106"/>
    </row>
    <row r="13" customFormat="false" ht="15" hidden="false" customHeight="true" outlineLevel="0" collapsed="false">
      <c r="B13" s="106"/>
      <c r="C13" s="106"/>
      <c r="D13" s="106"/>
      <c r="E13" s="106"/>
      <c r="F13" s="106"/>
      <c r="G13" s="106"/>
    </row>
    <row r="14" customFormat="false" ht="10.5" hidden="false" customHeight="true" outlineLevel="0" collapsed="false">
      <c r="B14" s="106" t="s">
        <v>13025</v>
      </c>
      <c r="C14" s="106"/>
      <c r="D14" s="106"/>
      <c r="E14" s="106"/>
      <c r="F14" s="106"/>
      <c r="G14" s="106"/>
    </row>
    <row r="15" customFormat="false" ht="10.5" hidden="false" customHeight="true" outlineLevel="0" collapsed="false">
      <c r="B15" s="106"/>
      <c r="C15" s="106"/>
      <c r="D15" s="106"/>
      <c r="E15" s="106"/>
      <c r="F15" s="106"/>
      <c r="G15" s="106"/>
    </row>
    <row r="16" customFormat="false" ht="10.5" hidden="false" customHeight="true" outlineLevel="0" collapsed="false">
      <c r="B16" s="106"/>
      <c r="C16" s="106"/>
      <c r="D16" s="106"/>
      <c r="E16" s="106"/>
      <c r="F16" s="106"/>
      <c r="G16" s="106"/>
    </row>
    <row r="17" customFormat="false" ht="15.75" hidden="false" customHeight="true" outlineLevel="0" collapsed="false">
      <c r="B17" s="106" t="s">
        <v>13026</v>
      </c>
      <c r="C17" s="106"/>
      <c r="D17" s="106"/>
      <c r="E17" s="106"/>
      <c r="F17" s="106"/>
      <c r="G17" s="106"/>
    </row>
    <row r="18" customFormat="false" ht="15.75" hidden="false" customHeight="true" outlineLevel="0" collapsed="false">
      <c r="B18" s="106"/>
      <c r="C18" s="106"/>
      <c r="D18" s="106"/>
      <c r="E18" s="106"/>
      <c r="F18" s="106"/>
      <c r="G18" s="106"/>
    </row>
    <row r="19" customFormat="false" ht="15.75" hidden="false" customHeight="true" outlineLevel="0" collapsed="false">
      <c r="B19" s="106" t="s">
        <v>13027</v>
      </c>
      <c r="C19" s="106"/>
      <c r="D19" s="106"/>
      <c r="E19" s="106"/>
      <c r="F19" s="106"/>
      <c r="G19" s="106"/>
    </row>
    <row r="20" customFormat="false" ht="15.75" hidden="false" customHeight="true" outlineLevel="0" collapsed="false">
      <c r="B20" s="106"/>
      <c r="C20" s="106"/>
      <c r="D20" s="106"/>
      <c r="E20" s="106"/>
      <c r="F20" s="106"/>
      <c r="G20" s="106"/>
    </row>
    <row r="21" customFormat="false" ht="10.5" hidden="false" customHeight="true" outlineLevel="0" collapsed="false">
      <c r="B21" s="106" t="s">
        <v>13028</v>
      </c>
      <c r="C21" s="106"/>
      <c r="D21" s="106"/>
      <c r="E21" s="106"/>
      <c r="F21" s="106"/>
      <c r="G21" s="106"/>
    </row>
    <row r="22" customFormat="false" ht="10.5" hidden="false" customHeight="true" outlineLevel="0" collapsed="false">
      <c r="B22" s="106"/>
      <c r="C22" s="106"/>
      <c r="D22" s="106"/>
      <c r="E22" s="106"/>
      <c r="F22" s="106"/>
      <c r="G22" s="106"/>
    </row>
    <row r="23" customFormat="false" ht="10.5" hidden="false" customHeight="true" outlineLevel="0" collapsed="false">
      <c r="B23" s="106"/>
      <c r="C23" s="106"/>
      <c r="D23" s="106"/>
      <c r="E23" s="106"/>
      <c r="F23" s="106"/>
      <c r="G23" s="106"/>
    </row>
    <row r="24" customFormat="false" ht="15.75" hidden="false" customHeight="true" outlineLevel="0" collapsed="false">
      <c r="B24" s="106" t="s">
        <v>13029</v>
      </c>
      <c r="C24" s="106"/>
      <c r="D24" s="106"/>
      <c r="E24" s="106"/>
      <c r="F24" s="106"/>
      <c r="G24" s="106"/>
    </row>
    <row r="25" customFormat="false" ht="15.75" hidden="false" customHeight="true" outlineLevel="0" collapsed="false">
      <c r="B25" s="106"/>
      <c r="C25" s="106"/>
      <c r="D25" s="106"/>
      <c r="E25" s="106"/>
      <c r="F25" s="106"/>
      <c r="G25" s="106"/>
    </row>
    <row r="27" customFormat="false" ht="15.75" hidden="false" customHeight="true" outlineLevel="0" collapsed="false">
      <c r="B27" s="103" t="s">
        <v>1406</v>
      </c>
      <c r="C27" s="8"/>
      <c r="D27" s="8"/>
      <c r="E27" s="8"/>
      <c r="F27" s="8"/>
      <c r="G27" s="8"/>
      <c r="H27" s="8"/>
      <c r="I27" s="8"/>
      <c r="J27" s="8"/>
      <c r="K27" s="8"/>
    </row>
    <row r="28" customFormat="false" ht="17.25" hidden="false" customHeight="true" outlineLevel="0" collapsed="false">
      <c r="B28" s="107" t="s">
        <v>1407</v>
      </c>
      <c r="C28" s="107"/>
      <c r="D28" s="107"/>
      <c r="E28" s="107" t="s">
        <v>1408</v>
      </c>
      <c r="F28" s="107"/>
      <c r="G28" s="107"/>
    </row>
    <row r="29" customFormat="false" ht="31.5" hidden="false" customHeight="true" outlineLevel="0" collapsed="false">
      <c r="B29" s="106" t="s">
        <v>13030</v>
      </c>
      <c r="C29" s="106"/>
      <c r="D29" s="106"/>
      <c r="E29" s="106" t="s">
        <v>13031</v>
      </c>
      <c r="F29" s="106"/>
      <c r="G29" s="106"/>
    </row>
    <row r="30" customFormat="false" ht="45.75" hidden="false" customHeight="true" outlineLevel="0" collapsed="false">
      <c r="B30" s="106" t="s">
        <v>13032</v>
      </c>
      <c r="C30" s="106"/>
      <c r="D30" s="106"/>
      <c r="E30" s="106" t="s">
        <v>13033</v>
      </c>
      <c r="F30" s="106"/>
      <c r="G30" s="106"/>
    </row>
    <row r="31" customFormat="false" ht="45.75" hidden="false" customHeight="true" outlineLevel="0" collapsed="false">
      <c r="B31" s="106" t="s">
        <v>13034</v>
      </c>
      <c r="C31" s="106"/>
      <c r="D31" s="106"/>
      <c r="E31" s="106" t="s">
        <v>13035</v>
      </c>
      <c r="F31" s="106"/>
      <c r="G31" s="106"/>
    </row>
    <row r="32" customFormat="false" ht="17.25" hidden="false" customHeight="true" outlineLevel="0" collapsed="false">
      <c r="B32" s="106" t="s">
        <v>13036</v>
      </c>
      <c r="C32" s="106"/>
      <c r="D32" s="106"/>
      <c r="E32" s="106"/>
      <c r="F32" s="106"/>
      <c r="G32" s="106"/>
    </row>
    <row r="34" customFormat="false" ht="17.25" hidden="false" customHeight="true" outlineLevel="0" collapsed="false">
      <c r="B34" s="152" t="s">
        <v>6621</v>
      </c>
      <c r="C34" s="152" t="s">
        <v>1417</v>
      </c>
      <c r="D34" s="152" t="s">
        <v>1418</v>
      </c>
      <c r="E34" s="152" t="s">
        <v>1419</v>
      </c>
      <c r="F34" s="152"/>
    </row>
    <row r="35" customFormat="false" ht="58.5" hidden="false" customHeight="true" outlineLevel="0" collapsed="false">
      <c r="B35" s="15" t="s">
        <v>13037</v>
      </c>
      <c r="C35" s="15" t="s">
        <v>13038</v>
      </c>
      <c r="D35" s="15" t="s">
        <v>13039</v>
      </c>
      <c r="E35" s="153" t="s">
        <v>8637</v>
      </c>
      <c r="F35" s="153"/>
    </row>
    <row r="36" customFormat="false" ht="58.5" hidden="false" customHeight="true" outlineLevel="0" collapsed="false">
      <c r="B36" s="15" t="s">
        <v>13040</v>
      </c>
      <c r="C36" s="15" t="s">
        <v>13041</v>
      </c>
      <c r="D36" s="15" t="s">
        <v>13042</v>
      </c>
      <c r="E36" s="153" t="s">
        <v>1259</v>
      </c>
      <c r="F36" s="153"/>
    </row>
    <row r="37" customFormat="false" ht="30.75" hidden="false" customHeight="true" outlineLevel="0" collapsed="false">
      <c r="B37" s="15" t="s">
        <v>13043</v>
      </c>
      <c r="C37" s="15" t="s">
        <v>13044</v>
      </c>
      <c r="D37" s="15" t="s">
        <v>13045</v>
      </c>
      <c r="E37" s="153" t="s">
        <v>1262</v>
      </c>
      <c r="F37" s="153"/>
    </row>
    <row r="38" customFormat="false" ht="44.25" hidden="false" customHeight="true" outlineLevel="0" collapsed="false">
      <c r="B38" s="15" t="s">
        <v>13046</v>
      </c>
      <c r="C38" s="15" t="s">
        <v>13047</v>
      </c>
      <c r="D38" s="15" t="s">
        <v>13048</v>
      </c>
      <c r="E38" s="153" t="s">
        <v>8094</v>
      </c>
      <c r="F38" s="153"/>
    </row>
    <row r="40" customFormat="false" ht="15.75" hidden="false" customHeight="true" outlineLevel="0" collapsed="false">
      <c r="B40" s="103" t="s">
        <v>1429</v>
      </c>
      <c r="C40" s="8"/>
      <c r="D40" s="8"/>
      <c r="E40" s="8"/>
      <c r="F40" s="8"/>
      <c r="G40" s="8"/>
      <c r="H40" s="8"/>
      <c r="I40" s="8"/>
      <c r="J40" s="8"/>
      <c r="K40" s="8"/>
    </row>
    <row r="41" customFormat="false" ht="17.25" hidden="false" customHeight="true" outlineLevel="0" collapsed="false">
      <c r="B41" s="106" t="s">
        <v>13049</v>
      </c>
      <c r="C41" s="106"/>
      <c r="D41" s="106"/>
      <c r="E41" s="106"/>
      <c r="F41" s="106"/>
      <c r="G41" s="106"/>
    </row>
    <row r="42" customFormat="false" ht="15" hidden="false" customHeight="true" outlineLevel="0" collapsed="false">
      <c r="B42" s="122"/>
    </row>
    <row r="43" customFormat="false" ht="5.25" hidden="false" customHeight="true" outlineLevel="0" collapsed="false">
      <c r="B43" s="106" t="s">
        <v>13050</v>
      </c>
      <c r="C43" s="106"/>
      <c r="D43" s="106"/>
      <c r="E43" s="106"/>
      <c r="F43" s="106"/>
      <c r="G43" s="106"/>
    </row>
    <row r="44" customFormat="false" ht="5.25" hidden="false" customHeight="true" outlineLevel="0" collapsed="false">
      <c r="B44" s="106"/>
      <c r="C44" s="106"/>
      <c r="D44" s="106"/>
      <c r="E44" s="106"/>
      <c r="F44" s="106"/>
      <c r="G44" s="106"/>
    </row>
    <row r="45" customFormat="false" ht="5.25" hidden="false" customHeight="true" outlineLevel="0" collapsed="false">
      <c r="B45" s="106"/>
      <c r="C45" s="106"/>
      <c r="D45" s="106"/>
      <c r="E45" s="106"/>
      <c r="F45" s="106"/>
      <c r="G45" s="106"/>
    </row>
    <row r="46" customFormat="false" ht="15" hidden="false" customHeight="true" outlineLevel="0" collapsed="false">
      <c r="B46" s="122"/>
    </row>
    <row r="47" customFormat="false" ht="15.75" hidden="false" customHeight="true" outlineLevel="0" collapsed="false">
      <c r="B47" s="106" t="s">
        <v>13051</v>
      </c>
      <c r="C47" s="106"/>
      <c r="D47" s="106"/>
      <c r="E47" s="106"/>
      <c r="F47" s="106"/>
      <c r="G47" s="106"/>
    </row>
    <row r="48" customFormat="false" ht="15.75" hidden="false" customHeight="true" outlineLevel="0" collapsed="false">
      <c r="B48" s="106"/>
      <c r="C48" s="106"/>
      <c r="D48" s="106"/>
      <c r="E48" s="106"/>
      <c r="F48" s="106"/>
      <c r="G48" s="106"/>
    </row>
    <row r="49" customFormat="false" ht="15" hidden="false" customHeight="true" outlineLevel="0" collapsed="false">
      <c r="B49" s="122"/>
    </row>
    <row r="50" customFormat="false" ht="8.25" hidden="false" customHeight="true" outlineLevel="0" collapsed="false">
      <c r="B50" s="106" t="s">
        <v>13052</v>
      </c>
      <c r="C50" s="106"/>
      <c r="D50" s="106"/>
      <c r="E50" s="106"/>
      <c r="F50" s="106"/>
      <c r="G50" s="106"/>
    </row>
    <row r="51" customFormat="false" ht="8.25" hidden="false" customHeight="true" outlineLevel="0" collapsed="false">
      <c r="B51" s="106"/>
      <c r="C51" s="106"/>
      <c r="D51" s="106"/>
      <c r="E51" s="106"/>
      <c r="F51" s="106"/>
      <c r="G51" s="106"/>
    </row>
    <row r="52" customFormat="false" ht="15" hidden="false" customHeight="true" outlineLevel="0" collapsed="false">
      <c r="B52" s="122"/>
    </row>
    <row r="53" customFormat="false" ht="17.25" hidden="false" customHeight="true" outlineLevel="0" collapsed="false">
      <c r="B53" s="106" t="s">
        <v>13053</v>
      </c>
      <c r="C53" s="106"/>
      <c r="D53" s="106"/>
      <c r="E53" s="106"/>
      <c r="F53" s="106"/>
      <c r="G53" s="106"/>
    </row>
    <row r="54" customFormat="false" ht="17.25" hidden="false" customHeight="true" outlineLevel="0" collapsed="false">
      <c r="B54" s="106" t="s">
        <v>13054</v>
      </c>
      <c r="C54" s="106"/>
      <c r="D54" s="106"/>
      <c r="E54" s="106"/>
      <c r="F54" s="106"/>
      <c r="G54" s="106"/>
    </row>
    <row r="56" customFormat="false" ht="15.75" hidden="false" customHeight="true" outlineLevel="0" collapsed="false">
      <c r="B56" s="103" t="s">
        <v>1437</v>
      </c>
      <c r="C56" s="8"/>
      <c r="D56" s="8"/>
      <c r="E56" s="8"/>
      <c r="F56" s="8"/>
      <c r="G56" s="8"/>
      <c r="H56" s="8"/>
      <c r="I56" s="8"/>
      <c r="J56" s="8"/>
      <c r="K56" s="8"/>
    </row>
    <row r="57" customFormat="false" ht="16.5" hidden="false" customHeight="true" outlineLevel="0" collapsed="false">
      <c r="B57" s="152" t="s">
        <v>1438</v>
      </c>
      <c r="C57" s="152" t="s">
        <v>1439</v>
      </c>
      <c r="D57" s="152" t="s">
        <v>1440</v>
      </c>
    </row>
    <row r="58" customFormat="false" ht="30.75" hidden="false" customHeight="true" outlineLevel="0" collapsed="false">
      <c r="B58" s="15" t="s">
        <v>9589</v>
      </c>
      <c r="C58" s="15" t="s">
        <v>13055</v>
      </c>
      <c r="D58" s="15" t="s">
        <v>13056</v>
      </c>
    </row>
    <row r="59" customFormat="false" ht="44.25" hidden="false" customHeight="true" outlineLevel="0" collapsed="false">
      <c r="B59" s="15" t="s">
        <v>3248</v>
      </c>
      <c r="C59" s="15" t="s">
        <v>13057</v>
      </c>
      <c r="D59" s="15" t="s">
        <v>13058</v>
      </c>
    </row>
    <row r="60" customFormat="false" ht="30.75" hidden="false" customHeight="true" outlineLevel="0" collapsed="false">
      <c r="B60" s="15" t="s">
        <v>9464</v>
      </c>
      <c r="C60" s="15" t="s">
        <v>13059</v>
      </c>
      <c r="D60" s="15" t="s">
        <v>13060</v>
      </c>
    </row>
    <row r="61" customFormat="false" ht="44.25" hidden="false" customHeight="true" outlineLevel="0" collapsed="false">
      <c r="B61" s="15" t="s">
        <v>7487</v>
      </c>
      <c r="C61" s="15" t="s">
        <v>13061</v>
      </c>
      <c r="D61" s="15" t="s">
        <v>13062</v>
      </c>
    </row>
    <row r="62" customFormat="false" ht="30.75" hidden="false" customHeight="true" outlineLevel="0" collapsed="false">
      <c r="B62" s="15" t="s">
        <v>12073</v>
      </c>
      <c r="C62" s="15" t="s">
        <v>13063</v>
      </c>
      <c r="D62" s="15" t="s">
        <v>13064</v>
      </c>
    </row>
    <row r="64" customFormat="false" ht="15.75" hidden="false" customHeight="true" outlineLevel="0" collapsed="false">
      <c r="B64" s="103" t="s">
        <v>1454</v>
      </c>
      <c r="C64" s="8"/>
      <c r="D64" s="8"/>
      <c r="E64" s="8"/>
      <c r="F64" s="8"/>
      <c r="G64" s="8"/>
      <c r="H64" s="8"/>
      <c r="I64" s="8"/>
      <c r="J64" s="8"/>
      <c r="K64" s="8"/>
    </row>
    <row r="65" customFormat="false" ht="10.5" hidden="false" customHeight="true" outlineLevel="0" collapsed="false">
      <c r="B65" s="106" t="s">
        <v>13065</v>
      </c>
      <c r="C65" s="106"/>
      <c r="D65" s="106"/>
      <c r="E65" s="106"/>
      <c r="F65" s="106"/>
      <c r="G65" s="106"/>
    </row>
    <row r="66" customFormat="false" ht="10.5" hidden="false" customHeight="true" outlineLevel="0" collapsed="false">
      <c r="B66" s="106"/>
      <c r="C66" s="106"/>
      <c r="D66" s="106"/>
      <c r="E66" s="106"/>
      <c r="F66" s="106"/>
      <c r="G66" s="106"/>
    </row>
    <row r="67" customFormat="false" ht="10.5" hidden="false" customHeight="true" outlineLevel="0" collapsed="false">
      <c r="B67" s="106"/>
      <c r="C67" s="106"/>
      <c r="D67" s="106"/>
      <c r="E67" s="106"/>
      <c r="F67" s="106"/>
      <c r="G67" s="106"/>
    </row>
    <row r="68" customFormat="false" ht="17.25" hidden="false" customHeight="true" outlineLevel="0" collapsed="false">
      <c r="B68" s="112" t="s">
        <v>85</v>
      </c>
      <c r="C68" s="113" t="s">
        <v>86</v>
      </c>
      <c r="D68" s="113"/>
    </row>
    <row r="70" customFormat="false" ht="17.25" hidden="false" customHeight="true" outlineLevel="0" collapsed="false">
      <c r="B70" s="107" t="s">
        <v>13066</v>
      </c>
      <c r="C70" s="107"/>
      <c r="D70" s="107"/>
      <c r="E70" s="107"/>
      <c r="F70" s="107"/>
      <c r="G70" s="107"/>
    </row>
    <row r="71" customFormat="false" ht="44.25" hidden="false" customHeight="true" outlineLevel="0" collapsed="false">
      <c r="B71" s="152" t="s">
        <v>163</v>
      </c>
      <c r="C71" s="152" t="s">
        <v>7297</v>
      </c>
      <c r="D71" s="152" t="s">
        <v>13067</v>
      </c>
      <c r="E71" s="152" t="s">
        <v>13068</v>
      </c>
      <c r="F71" s="152" t="s">
        <v>9780</v>
      </c>
      <c r="G71" s="152" t="s">
        <v>7997</v>
      </c>
      <c r="H71" s="152" t="s">
        <v>5293</v>
      </c>
      <c r="I71" s="152" t="s">
        <v>13069</v>
      </c>
      <c r="J71" s="152" t="s">
        <v>13070</v>
      </c>
      <c r="K71" s="152" t="s">
        <v>15</v>
      </c>
      <c r="L71" s="152" t="s">
        <v>13071</v>
      </c>
      <c r="M71" s="152" t="s">
        <v>13072</v>
      </c>
      <c r="N71" s="152" t="s">
        <v>13073</v>
      </c>
      <c r="O71" s="152" t="s">
        <v>13074</v>
      </c>
      <c r="P71" s="152" t="s">
        <v>13075</v>
      </c>
      <c r="Q71" s="152" t="s">
        <v>13076</v>
      </c>
    </row>
    <row r="72" customFormat="false" ht="30.75" hidden="false" customHeight="true" outlineLevel="0" collapsed="false">
      <c r="B72" s="15" t="s">
        <v>13077</v>
      </c>
      <c r="C72" s="177" t="s">
        <v>13078</v>
      </c>
      <c r="D72" s="177" t="s">
        <v>13079</v>
      </c>
      <c r="E72" s="155" t="n">
        <v>3</v>
      </c>
      <c r="F72" s="155" t="n">
        <v>4</v>
      </c>
      <c r="G72" s="161" t="n">
        <f aca="false">E72*F72</f>
        <v>12</v>
      </c>
      <c r="H72" s="167" t="str">
        <f aca="false">IF(E72*F72&gt;=15,"HIGH",IF(E72*F72&gt;=8,"MEDIUM","LOW"))</f>
        <v>MEDIUM</v>
      </c>
      <c r="I72" s="177" t="s">
        <v>13080</v>
      </c>
      <c r="J72" s="177" t="s">
        <v>13081</v>
      </c>
      <c r="K72" s="177" t="s">
        <v>10001</v>
      </c>
      <c r="L72" s="180" t="n">
        <v>46295</v>
      </c>
      <c r="M72" s="155" t="n">
        <v>2</v>
      </c>
      <c r="N72" s="155" t="n">
        <v>4</v>
      </c>
      <c r="O72" s="161" t="n">
        <f aca="false">M72*N72</f>
        <v>8</v>
      </c>
      <c r="P72" s="161" t="n">
        <f aca="false">E72*F72-M72*N72</f>
        <v>4</v>
      </c>
      <c r="Q72" s="167" t="str">
        <f aca="false">IF(M72*N72&gt;=15,"STILL HIGH — escalate to the sponsor",IF(M72*N72&gt;=8,"Medium residual — monitor at every review","Acceptable residual"))</f>
        <v>Medium residual — monitor at every review</v>
      </c>
    </row>
    <row r="73" customFormat="false" ht="30.75" hidden="false" customHeight="true" outlineLevel="0" collapsed="false">
      <c r="B73" s="15" t="s">
        <v>13082</v>
      </c>
      <c r="C73" s="177" t="s">
        <v>13083</v>
      </c>
      <c r="D73" s="177" t="s">
        <v>13084</v>
      </c>
      <c r="E73" s="155" t="n">
        <v>4</v>
      </c>
      <c r="F73" s="155" t="n">
        <v>3</v>
      </c>
      <c r="G73" s="161" t="n">
        <f aca="false">E73*F73</f>
        <v>12</v>
      </c>
      <c r="H73" s="167" t="str">
        <f aca="false">IF(E73*F73&gt;=15,"HIGH",IF(E73*F73&gt;=8,"MEDIUM","LOW"))</f>
        <v>MEDIUM</v>
      </c>
      <c r="I73" s="177" t="s">
        <v>13080</v>
      </c>
      <c r="J73" s="177" t="s">
        <v>13085</v>
      </c>
      <c r="K73" s="177" t="s">
        <v>6925</v>
      </c>
      <c r="L73" s="180" t="n">
        <v>46263</v>
      </c>
      <c r="M73" s="155" t="n">
        <v>2</v>
      </c>
      <c r="N73" s="155" t="n">
        <v>3</v>
      </c>
      <c r="O73" s="161" t="n">
        <f aca="false">M73*N73</f>
        <v>6</v>
      </c>
      <c r="P73" s="161" t="n">
        <f aca="false">E73*F73-M73*N73</f>
        <v>6</v>
      </c>
      <c r="Q73" s="167" t="str">
        <f aca="false">IF(M73*N73&gt;=15,"STILL HIGH — escalate to the sponsor",IF(M73*N73&gt;=8,"Medium residual — monitor at every review","Acceptable residual"))</f>
        <v>Acceptable residual</v>
      </c>
    </row>
    <row r="74" customFormat="false" ht="30.75" hidden="false" customHeight="true" outlineLevel="0" collapsed="false">
      <c r="B74" s="15" t="s">
        <v>13086</v>
      </c>
      <c r="C74" s="177" t="s">
        <v>13087</v>
      </c>
      <c r="D74" s="177" t="s">
        <v>13088</v>
      </c>
      <c r="E74" s="155" t="n">
        <v>4</v>
      </c>
      <c r="F74" s="155" t="n">
        <v>4</v>
      </c>
      <c r="G74" s="161" t="n">
        <f aca="false">E74*F74</f>
        <v>16</v>
      </c>
      <c r="H74" s="167" t="str">
        <f aca="false">IF(E74*F74&gt;=15,"HIGH",IF(E74*F74&gt;=8,"MEDIUM","LOW"))</f>
        <v>HIGH</v>
      </c>
      <c r="I74" s="177" t="s">
        <v>13080</v>
      </c>
      <c r="J74" s="177" t="s">
        <v>13089</v>
      </c>
      <c r="K74" s="177" t="s">
        <v>10001</v>
      </c>
      <c r="L74" s="180" t="n">
        <v>46305</v>
      </c>
      <c r="M74" s="155" t="n">
        <v>2</v>
      </c>
      <c r="N74" s="155" t="n">
        <v>4</v>
      </c>
      <c r="O74" s="161" t="n">
        <f aca="false">M74*N74</f>
        <v>8</v>
      </c>
      <c r="P74" s="161" t="n">
        <f aca="false">E74*F74-M74*N74</f>
        <v>8</v>
      </c>
      <c r="Q74" s="167" t="str">
        <f aca="false">IF(M74*N74&gt;=15,"STILL HIGH — escalate to the sponsor",IF(M74*N74&gt;=8,"Medium residual — monitor at every review","Acceptable residual"))</f>
        <v>Medium residual — monitor at every review</v>
      </c>
    </row>
    <row r="75" customFormat="false" ht="30.75" hidden="false" customHeight="true" outlineLevel="0" collapsed="false">
      <c r="B75" s="15" t="s">
        <v>13090</v>
      </c>
      <c r="C75" s="177" t="s">
        <v>13091</v>
      </c>
      <c r="D75" s="177" t="s">
        <v>13092</v>
      </c>
      <c r="E75" s="155" t="n">
        <v>2</v>
      </c>
      <c r="F75" s="155" t="n">
        <v>5</v>
      </c>
      <c r="G75" s="161" t="n">
        <f aca="false">E75*F75</f>
        <v>10</v>
      </c>
      <c r="H75" s="167" t="str">
        <f aca="false">IF(E75*F75&gt;=15,"HIGH",IF(E75*F75&gt;=8,"MEDIUM","LOW"))</f>
        <v>MEDIUM</v>
      </c>
      <c r="I75" s="177" t="s">
        <v>13080</v>
      </c>
      <c r="J75" s="177" t="s">
        <v>13093</v>
      </c>
      <c r="K75" s="177" t="s">
        <v>7029</v>
      </c>
      <c r="L75" s="180" t="n">
        <v>46270</v>
      </c>
      <c r="M75" s="155" t="n">
        <v>1</v>
      </c>
      <c r="N75" s="155" t="n">
        <v>5</v>
      </c>
      <c r="O75" s="161" t="n">
        <f aca="false">M75*N75</f>
        <v>5</v>
      </c>
      <c r="P75" s="161" t="n">
        <f aca="false">E75*F75-M75*N75</f>
        <v>5</v>
      </c>
      <c r="Q75" s="167" t="str">
        <f aca="false">IF(M75*N75&gt;=15,"STILL HIGH — escalate to the sponsor",IF(M75*N75&gt;=8,"Medium residual — monitor at every review","Acceptable residual"))</f>
        <v>Acceptable residual</v>
      </c>
    </row>
    <row r="76" customFormat="false" ht="16.5" hidden="false" customHeight="true" outlineLevel="0" collapsed="false">
      <c r="B76" s="15" t="s">
        <v>13094</v>
      </c>
      <c r="C76" s="177" t="s">
        <v>13095</v>
      </c>
      <c r="D76" s="177" t="s">
        <v>13096</v>
      </c>
      <c r="E76" s="155" t="n">
        <v>5</v>
      </c>
      <c r="F76" s="155" t="n">
        <v>3</v>
      </c>
      <c r="G76" s="161" t="n">
        <f aca="false">E76*F76</f>
        <v>15</v>
      </c>
      <c r="H76" s="167" t="str">
        <f aca="false">IF(E76*F76&gt;=15,"HIGH",IF(E76*F76&gt;=8,"MEDIUM","LOW"))</f>
        <v>HIGH</v>
      </c>
      <c r="I76" s="177" t="s">
        <v>13097</v>
      </c>
      <c r="J76" s="177" t="s">
        <v>13098</v>
      </c>
      <c r="K76" s="177" t="s">
        <v>10001</v>
      </c>
      <c r="L76" s="180" t="n">
        <v>46326</v>
      </c>
      <c r="M76" s="155" t="n">
        <v>1</v>
      </c>
      <c r="N76" s="155" t="n">
        <v>3</v>
      </c>
      <c r="O76" s="161" t="n">
        <f aca="false">M76*N76</f>
        <v>3</v>
      </c>
      <c r="P76" s="161" t="n">
        <f aca="false">E76*F76-M76*N76</f>
        <v>12</v>
      </c>
      <c r="Q76" s="167" t="str">
        <f aca="false">IF(M76*N76&gt;=15,"STILL HIGH — escalate to the sponsor",IF(M76*N76&gt;=8,"Medium residual — monitor at every review","Acceptable residual"))</f>
        <v>Acceptable residual</v>
      </c>
    </row>
    <row r="77" customFormat="false" ht="30.75" hidden="false" customHeight="true" outlineLevel="0" collapsed="false">
      <c r="B77" s="15" t="s">
        <v>13099</v>
      </c>
      <c r="C77" s="177" t="s">
        <v>12272</v>
      </c>
      <c r="D77" s="177" t="s">
        <v>13100</v>
      </c>
      <c r="E77" s="155" t="n">
        <v>2</v>
      </c>
      <c r="F77" s="155" t="n">
        <v>4</v>
      </c>
      <c r="G77" s="161" t="n">
        <f aca="false">E77*F77</f>
        <v>8</v>
      </c>
      <c r="H77" s="167" t="str">
        <f aca="false">IF(E77*F77&gt;=15,"HIGH",IF(E77*F77&gt;=8,"MEDIUM","LOW"))</f>
        <v>MEDIUM</v>
      </c>
      <c r="I77" s="177" t="s">
        <v>13080</v>
      </c>
      <c r="J77" s="177" t="s">
        <v>13101</v>
      </c>
      <c r="K77" s="177" t="s">
        <v>9254</v>
      </c>
      <c r="L77" s="180" t="n">
        <v>46283</v>
      </c>
      <c r="M77" s="155" t="n">
        <v>1</v>
      </c>
      <c r="N77" s="155" t="n">
        <v>4</v>
      </c>
      <c r="O77" s="161" t="n">
        <f aca="false">M77*N77</f>
        <v>4</v>
      </c>
      <c r="P77" s="161" t="n">
        <f aca="false">E77*F77-M77*N77</f>
        <v>4</v>
      </c>
      <c r="Q77" s="167" t="str">
        <f aca="false">IF(M77*N77&gt;=15,"STILL HIGH — escalate to the sponsor",IF(M77*N77&gt;=8,"Medium residual — monitor at every review","Acceptable residual"))</f>
        <v>Acceptable residual</v>
      </c>
    </row>
    <row r="78" customFormat="false" ht="30.75" hidden="false" customHeight="true" outlineLevel="0" collapsed="false">
      <c r="B78" s="15" t="s">
        <v>13102</v>
      </c>
      <c r="C78" s="177" t="s">
        <v>13078</v>
      </c>
      <c r="D78" s="177" t="s">
        <v>13103</v>
      </c>
      <c r="E78" s="155" t="n">
        <v>2</v>
      </c>
      <c r="F78" s="155" t="n">
        <v>5</v>
      </c>
      <c r="G78" s="161" t="n">
        <f aca="false">E78*F78</f>
        <v>10</v>
      </c>
      <c r="H78" s="167" t="str">
        <f aca="false">IF(E78*F78&gt;=15,"HIGH",IF(E78*F78&gt;=8,"MEDIUM","LOW"))</f>
        <v>MEDIUM</v>
      </c>
      <c r="I78" s="177" t="s">
        <v>13080</v>
      </c>
      <c r="J78" s="177" t="s">
        <v>13104</v>
      </c>
      <c r="K78" s="177" t="s">
        <v>7029</v>
      </c>
      <c r="L78" s="180" t="n">
        <v>46256</v>
      </c>
      <c r="M78" s="155" t="n">
        <v>1</v>
      </c>
      <c r="N78" s="155" t="n">
        <v>5</v>
      </c>
      <c r="O78" s="161" t="n">
        <f aca="false">M78*N78</f>
        <v>5</v>
      </c>
      <c r="P78" s="161" t="n">
        <f aca="false">E78*F78-M78*N78</f>
        <v>5</v>
      </c>
      <c r="Q78" s="167" t="str">
        <f aca="false">IF(M78*N78&gt;=15,"STILL HIGH — escalate to the sponsor",IF(M78*N78&gt;=8,"Medium residual — monitor at every review","Acceptable residual"))</f>
        <v>Acceptable residual</v>
      </c>
    </row>
    <row r="79" customFormat="false" ht="30.75" hidden="false" customHeight="true" outlineLevel="0" collapsed="false">
      <c r="B79" s="15" t="s">
        <v>13105</v>
      </c>
      <c r="C79" s="177" t="s">
        <v>8398</v>
      </c>
      <c r="D79" s="177" t="s">
        <v>13106</v>
      </c>
      <c r="E79" s="155" t="n">
        <v>2</v>
      </c>
      <c r="F79" s="155" t="n">
        <v>3</v>
      </c>
      <c r="G79" s="161" t="n">
        <f aca="false">E79*F79</f>
        <v>6</v>
      </c>
      <c r="H79" s="167" t="str">
        <f aca="false">IF(E79*F79&gt;=15,"HIGH",IF(E79*F79&gt;=8,"MEDIUM","LOW"))</f>
        <v>LOW</v>
      </c>
      <c r="I79" s="177" t="s">
        <v>13107</v>
      </c>
      <c r="J79" s="177" t="s">
        <v>13108</v>
      </c>
      <c r="K79" s="177" t="s">
        <v>10221</v>
      </c>
      <c r="L79" s="180" t="n">
        <v>46374</v>
      </c>
      <c r="M79" s="155" t="n">
        <v>2</v>
      </c>
      <c r="N79" s="155" t="n">
        <v>3</v>
      </c>
      <c r="O79" s="161" t="n">
        <f aca="false">M79*N79</f>
        <v>6</v>
      </c>
      <c r="P79" s="161" t="n">
        <f aca="false">E79*F79-M79*N79</f>
        <v>0</v>
      </c>
      <c r="Q79" s="167" t="str">
        <f aca="false">IF(M79*N79&gt;=15,"STILL HIGH — escalate to the sponsor",IF(M79*N79&gt;=8,"Medium residual — monitor at every review","Acceptable residual"))</f>
        <v>Acceptable residual</v>
      </c>
    </row>
    <row r="81" customFormat="false" ht="15" hidden="false" customHeight="true" outlineLevel="0" collapsed="false">
      <c r="B81" s="105" t="s">
        <v>13109</v>
      </c>
    </row>
    <row r="82" customFormat="false" ht="17.25" hidden="false" customHeight="true" outlineLevel="0" collapsed="false">
      <c r="B82" s="152" t="s">
        <v>13069</v>
      </c>
      <c r="C82" s="152" t="s">
        <v>7998</v>
      </c>
      <c r="D82" s="152" t="s">
        <v>1343</v>
      </c>
      <c r="E82" s="152" t="s">
        <v>13110</v>
      </c>
      <c r="F82" s="152"/>
      <c r="G82" s="152"/>
    </row>
    <row r="83" customFormat="false" ht="44.25" hidden="false" customHeight="true" outlineLevel="0" collapsed="false">
      <c r="B83" s="15" t="s">
        <v>13111</v>
      </c>
      <c r="C83" s="15" t="s">
        <v>13112</v>
      </c>
      <c r="D83" s="15" t="s">
        <v>13113</v>
      </c>
      <c r="E83" s="15" t="s">
        <v>13114</v>
      </c>
      <c r="F83" s="15"/>
      <c r="G83" s="15"/>
    </row>
    <row r="84" customFormat="false" ht="44.25" hidden="false" customHeight="true" outlineLevel="0" collapsed="false">
      <c r="B84" s="15" t="s">
        <v>13115</v>
      </c>
      <c r="C84" s="15" t="s">
        <v>13116</v>
      </c>
      <c r="D84" s="15" t="s">
        <v>13117</v>
      </c>
      <c r="E84" s="15" t="s">
        <v>13118</v>
      </c>
      <c r="F84" s="15"/>
      <c r="G84" s="15"/>
    </row>
    <row r="85" customFormat="false" ht="58.5" hidden="false" customHeight="true" outlineLevel="0" collapsed="false">
      <c r="B85" s="15" t="s">
        <v>13119</v>
      </c>
      <c r="C85" s="15" t="s">
        <v>13120</v>
      </c>
      <c r="D85" s="15" t="s">
        <v>13121</v>
      </c>
      <c r="E85" s="15" t="s">
        <v>13122</v>
      </c>
      <c r="F85" s="15"/>
      <c r="G85" s="15"/>
    </row>
    <row r="86" customFormat="false" ht="44.25" hidden="false" customHeight="true" outlineLevel="0" collapsed="false">
      <c r="B86" s="15" t="s">
        <v>13123</v>
      </c>
      <c r="C86" s="15" t="s">
        <v>13124</v>
      </c>
      <c r="D86" s="15" t="s">
        <v>13125</v>
      </c>
      <c r="E86" s="15" t="s">
        <v>13126</v>
      </c>
      <c r="F86" s="15"/>
      <c r="G86" s="15"/>
    </row>
    <row r="87" customFormat="false" ht="28.5" hidden="false" customHeight="true" outlineLevel="0" collapsed="false">
      <c r="B87" s="182" t="s">
        <v>13127</v>
      </c>
      <c r="C87" s="182"/>
      <c r="D87" s="182"/>
      <c r="E87" s="182"/>
      <c r="F87" s="182"/>
      <c r="G87" s="182"/>
    </row>
    <row r="89" customFormat="false" ht="16.5" hidden="false" customHeight="true" outlineLevel="0" collapsed="false">
      <c r="B89" s="152" t="s">
        <v>6689</v>
      </c>
      <c r="C89" s="152" t="s">
        <v>6654</v>
      </c>
      <c r="D89" s="152" t="s">
        <v>88</v>
      </c>
    </row>
    <row r="90" customFormat="false" ht="16.5" hidden="false" customHeight="true" outlineLevel="0" collapsed="false">
      <c r="B90" s="15" t="s">
        <v>13128</v>
      </c>
      <c r="C90" s="161" t="n">
        <f aca="false">COUNTA(D72:D79)</f>
        <v>8</v>
      </c>
      <c r="D90" s="15"/>
    </row>
    <row r="91" customFormat="false" ht="16.5" hidden="false" customHeight="true" outlineLevel="0" collapsed="false">
      <c r="B91" s="15" t="s">
        <v>13129</v>
      </c>
      <c r="C91" s="161" t="n">
        <f aca="false">COUNTIF(H72:H79,"HIGH")</f>
        <v>2</v>
      </c>
      <c r="D91" s="15" t="s">
        <v>13130</v>
      </c>
    </row>
    <row r="92" customFormat="false" ht="16.5" hidden="false" customHeight="true" outlineLevel="0" collapsed="false">
      <c r="B92" s="15" t="s">
        <v>13131</v>
      </c>
      <c r="C92" s="161" t="n">
        <f aca="false">COUNTIF(Q72:Q79,"STILL HIGH*")</f>
        <v>0</v>
      </c>
      <c r="D92" s="15" t="s">
        <v>13132</v>
      </c>
    </row>
    <row r="93" customFormat="false" ht="16.5" hidden="false" customHeight="true" outlineLevel="0" collapsed="false">
      <c r="B93" s="15" t="s">
        <v>13133</v>
      </c>
      <c r="C93" s="161" t="n">
        <f aca="false">SUM(G72:G79)</f>
        <v>89</v>
      </c>
      <c r="D93" s="15"/>
    </row>
    <row r="94" customFormat="false" ht="16.5" hidden="false" customHeight="true" outlineLevel="0" collapsed="false">
      <c r="B94" s="15" t="s">
        <v>13134</v>
      </c>
      <c r="C94" s="161" t="n">
        <f aca="false">SUM(O72:O79)</f>
        <v>45</v>
      </c>
      <c r="D94" s="15"/>
    </row>
    <row r="95" customFormat="false" ht="16.5" hidden="false" customHeight="true" outlineLevel="0" collapsed="false">
      <c r="B95" s="15" t="s">
        <v>13135</v>
      </c>
      <c r="C95" s="160" t="n">
        <f aca="false">IFERROR(1-C94/C93,0)</f>
        <v>0.49438202247191</v>
      </c>
      <c r="D95" s="15" t="s">
        <v>13136</v>
      </c>
    </row>
    <row r="96" customFormat="false" ht="72" hidden="false" customHeight="true" outlineLevel="0" collapsed="false">
      <c r="B96" s="15" t="s">
        <v>13137</v>
      </c>
      <c r="C96" s="167" t="str">
        <f aca="false">INDEX(D72:D79,MATCH(MAX(O72:O79),O72:O79,0))</f>
        <v>The valve seat replacement does not reduce variation as expected</v>
      </c>
      <c r="D96" s="15"/>
    </row>
    <row r="97" customFormat="false" ht="16.5" hidden="false" customHeight="true" outlineLevel="0" collapsed="false">
      <c r="B97" s="15" t="s">
        <v>13138</v>
      </c>
      <c r="C97" s="161" t="n">
        <f aca="false">COUNTA(D72:D79)-COUNTA(K72:K79)</f>
        <v>0</v>
      </c>
      <c r="D97" s="15" t="s">
        <v>13139</v>
      </c>
    </row>
    <row r="98" customFormat="false" ht="16.5" hidden="false" customHeight="true" outlineLevel="0" collapsed="false">
      <c r="B98" s="15" t="s">
        <v>13140</v>
      </c>
      <c r="C98" s="161" t="n">
        <f aca="false">COUNTIF(I72:I79,"Accept")</f>
        <v>1</v>
      </c>
      <c r="D98" s="15" t="s">
        <v>13141</v>
      </c>
    </row>
    <row r="100" customFormat="false" ht="15.75" hidden="false" customHeight="true" outlineLevel="0" collapsed="false">
      <c r="B100" s="103" t="s">
        <v>1493</v>
      </c>
      <c r="C100" s="8"/>
      <c r="D100" s="8"/>
      <c r="E100" s="8"/>
      <c r="F100" s="8"/>
      <c r="G100" s="8"/>
      <c r="H100" s="8"/>
      <c r="I100" s="8"/>
      <c r="J100" s="8"/>
      <c r="K100" s="8"/>
    </row>
    <row r="101" customFormat="false" ht="65.25" hidden="false" customHeight="true" outlineLevel="0" collapsed="false">
      <c r="B101" s="105" t="s">
        <v>1494</v>
      </c>
      <c r="C101" s="168" t="str">
        <f aca="false">"The register holds "&amp;TEXT(C90,"0")&amp;" risks, "&amp;TEXT(C91,"0")&amp;" of them HIGH before mitigation. The plan removes "&amp;TEXT(C95,"0.0%")&amp;" of the total exposure, leaving "&amp;TEXT(C92,"0")&amp;" HIGH residual risk(s). The largest residual is: "&amp;C96&amp;". "&amp;IF(C92&gt;0,"A HIGH residual risk is a sponsor decision, not a project-team decision — escalate it explicitly rather than carrying it quietly.","No HIGH residual risk remains, so the mitigation plan is adequate at the current assessment.")&amp;IF(C97&gt;0," WARNING: "&amp;TEXT(C97,"0")&amp;" risk(s) have no owner and are therefore not being managed.","")</f>
        <v>The register holds 8 risks, 2 of them HIGH before mitigation. The plan removes 49.4% of the total exposure, leaving 0 HIGH residual risk(s). The largest residual is: The valve seat replacement does not reduce variation as expected. No HIGH residual risk remains, so the mitigation plan is adequate at the current assessment.</v>
      </c>
      <c r="D101" s="168"/>
      <c r="E101" s="168"/>
      <c r="F101" s="168"/>
      <c r="G101" s="168"/>
    </row>
    <row r="103" customFormat="false" ht="16.5" hidden="false" customHeight="true" outlineLevel="0" collapsed="false">
      <c r="B103" s="152" t="s">
        <v>1495</v>
      </c>
      <c r="C103" s="152" t="s">
        <v>1496</v>
      </c>
      <c r="D103" s="152" t="s">
        <v>1497</v>
      </c>
    </row>
    <row r="104" customFormat="false" ht="30.75" hidden="false" customHeight="true" outlineLevel="0" collapsed="false">
      <c r="B104" s="15" t="s">
        <v>13142</v>
      </c>
      <c r="C104" s="15" t="s">
        <v>13143</v>
      </c>
      <c r="D104" s="15" t="s">
        <v>13144</v>
      </c>
    </row>
    <row r="105" customFormat="false" ht="30.75" hidden="false" customHeight="true" outlineLevel="0" collapsed="false">
      <c r="B105" s="15" t="s">
        <v>13145</v>
      </c>
      <c r="C105" s="15" t="s">
        <v>13146</v>
      </c>
      <c r="D105" s="15" t="s">
        <v>13147</v>
      </c>
    </row>
    <row r="106" customFormat="false" ht="30.75" hidden="false" customHeight="true" outlineLevel="0" collapsed="false">
      <c r="B106" s="15" t="s">
        <v>13148</v>
      </c>
      <c r="C106" s="15" t="s">
        <v>13149</v>
      </c>
      <c r="D106" s="15" t="s">
        <v>13150</v>
      </c>
    </row>
    <row r="107" customFormat="false" ht="16.5" hidden="false" customHeight="true" outlineLevel="0" collapsed="false">
      <c r="B107" s="15" t="s">
        <v>13151</v>
      </c>
      <c r="C107" s="15" t="s">
        <v>1958</v>
      </c>
      <c r="D107" s="15" t="s">
        <v>13139</v>
      </c>
    </row>
    <row r="108" customFormat="false" ht="30.75" hidden="false" customHeight="true" outlineLevel="0" collapsed="false">
      <c r="B108" s="15" t="s">
        <v>13152</v>
      </c>
      <c r="C108" s="15" t="s">
        <v>13153</v>
      </c>
      <c r="D108" s="15" t="s">
        <v>13154</v>
      </c>
    </row>
    <row r="110" customFormat="false" ht="15" hidden="false" customHeight="true" outlineLevel="0" collapsed="false">
      <c r="B110" s="105" t="s">
        <v>1507</v>
      </c>
    </row>
    <row r="111" customFormat="false" ht="17.25" hidden="false" customHeight="true" outlineLevel="0" collapsed="false">
      <c r="B111" s="106" t="s">
        <v>13155</v>
      </c>
      <c r="C111" s="106"/>
      <c r="D111" s="106"/>
      <c r="E111" s="106"/>
      <c r="F111" s="106"/>
      <c r="G111" s="106"/>
    </row>
    <row r="112" customFormat="false" ht="17.25" hidden="false" customHeight="true" outlineLevel="0" collapsed="false">
      <c r="B112" s="106" t="s">
        <v>13156</v>
      </c>
      <c r="C112" s="106"/>
      <c r="D112" s="106"/>
      <c r="E112" s="106"/>
      <c r="F112" s="106"/>
      <c r="G112" s="106"/>
    </row>
    <row r="113" customFormat="false" ht="17.25" hidden="false" customHeight="true" outlineLevel="0" collapsed="false">
      <c r="B113" s="106" t="s">
        <v>13157</v>
      </c>
      <c r="C113" s="106"/>
      <c r="D113" s="106"/>
      <c r="E113" s="106"/>
      <c r="F113" s="106"/>
      <c r="G113" s="106"/>
    </row>
    <row r="114" customFormat="false" ht="17.25" hidden="false" customHeight="true" outlineLevel="0" collapsed="false">
      <c r="B114" s="106" t="s">
        <v>13158</v>
      </c>
      <c r="C114" s="106"/>
      <c r="D114" s="106"/>
      <c r="E114" s="106"/>
      <c r="F114" s="106"/>
      <c r="G114" s="106"/>
    </row>
    <row r="115" customFormat="false" ht="17.25" hidden="false" customHeight="true" outlineLevel="0" collapsed="false">
      <c r="B115" s="106" t="s">
        <v>13159</v>
      </c>
      <c r="C115" s="106"/>
      <c r="D115" s="106"/>
      <c r="E115" s="106"/>
      <c r="F115" s="106"/>
      <c r="G115" s="106"/>
    </row>
    <row r="117" customFormat="false" ht="15.75" hidden="false" customHeight="true" outlineLevel="0" collapsed="false">
      <c r="B117" s="103" t="s">
        <v>1513</v>
      </c>
      <c r="C117" s="8"/>
      <c r="D117" s="8"/>
      <c r="E117" s="8"/>
      <c r="F117" s="8"/>
      <c r="G117" s="8"/>
      <c r="H117" s="8"/>
      <c r="I117" s="8"/>
      <c r="J117" s="8"/>
      <c r="K117" s="8"/>
    </row>
    <row r="118" customFormat="false" ht="17.25" hidden="false" customHeight="true" outlineLevel="0" collapsed="false">
      <c r="B118" s="106" t="s">
        <v>6712</v>
      </c>
      <c r="C118" s="106"/>
      <c r="D118" s="106"/>
      <c r="N118" s="169" t="s">
        <v>1515</v>
      </c>
    </row>
    <row r="119" customFormat="false" ht="44.25" hidden="false" customHeight="true" outlineLevel="0" collapsed="false">
      <c r="B119" s="106" t="s">
        <v>13160</v>
      </c>
      <c r="C119" s="106"/>
      <c r="D119" s="106"/>
      <c r="N119" s="120" t="s">
        <v>13161</v>
      </c>
    </row>
    <row r="120" customFormat="false" ht="44.25" hidden="false" customHeight="true" outlineLevel="0" collapsed="false">
      <c r="B120" s="106" t="s">
        <v>13162</v>
      </c>
      <c r="C120" s="106"/>
      <c r="D120" s="106"/>
      <c r="N120" s="120" t="s">
        <v>13163</v>
      </c>
    </row>
    <row r="121" customFormat="false" ht="44.25" hidden="false" customHeight="true" outlineLevel="0" collapsed="false">
      <c r="B121" s="106" t="s">
        <v>13164</v>
      </c>
      <c r="C121" s="106"/>
      <c r="D121" s="106"/>
      <c r="N121" s="120" t="s">
        <v>13165</v>
      </c>
    </row>
    <row r="123" customFormat="false" ht="15.75" hidden="false" customHeight="true" outlineLevel="0" collapsed="false">
      <c r="B123" s="103" t="s">
        <v>1522</v>
      </c>
      <c r="C123" s="8"/>
      <c r="D123" s="8"/>
      <c r="E123" s="8"/>
      <c r="F123" s="8"/>
      <c r="G123" s="8"/>
      <c r="H123" s="8"/>
      <c r="I123" s="8"/>
      <c r="J123" s="8"/>
      <c r="K123" s="8"/>
    </row>
    <row r="124" customFormat="false" ht="16.5" hidden="false" customHeight="true" outlineLevel="0" collapsed="false">
      <c r="B124" s="152" t="s">
        <v>1523</v>
      </c>
      <c r="C124" s="152" t="s">
        <v>1524</v>
      </c>
      <c r="D124" s="152" t="s">
        <v>6719</v>
      </c>
    </row>
    <row r="125" customFormat="false" ht="30.75" hidden="false" customHeight="true" outlineLevel="0" collapsed="false">
      <c r="B125" s="170" t="s">
        <v>8637</v>
      </c>
      <c r="C125" s="170" t="s">
        <v>12232</v>
      </c>
      <c r="D125" s="170" t="s">
        <v>12498</v>
      </c>
    </row>
  </sheetData>
  <mergeCells count="50">
    <mergeCell ref="B2:J2"/>
    <mergeCell ref="D3:G3"/>
    <mergeCell ref="C6:G6"/>
    <mergeCell ref="C7:G7"/>
    <mergeCell ref="C8:G8"/>
    <mergeCell ref="B11:G13"/>
    <mergeCell ref="B14:G16"/>
    <mergeCell ref="B17:G18"/>
    <mergeCell ref="B19:G20"/>
    <mergeCell ref="B21:G23"/>
    <mergeCell ref="B24:G25"/>
    <mergeCell ref="B28:D28"/>
    <mergeCell ref="E28:G28"/>
    <mergeCell ref="B29:D29"/>
    <mergeCell ref="E29:G29"/>
    <mergeCell ref="B30:D30"/>
    <mergeCell ref="E30:G30"/>
    <mergeCell ref="B31:D31"/>
    <mergeCell ref="E31:G31"/>
    <mergeCell ref="B32:G32"/>
    <mergeCell ref="E34:F34"/>
    <mergeCell ref="E35:F35"/>
    <mergeCell ref="E36:F36"/>
    <mergeCell ref="E37:F37"/>
    <mergeCell ref="E38:F38"/>
    <mergeCell ref="B41:G41"/>
    <mergeCell ref="B43:G45"/>
    <mergeCell ref="B47:G48"/>
    <mergeCell ref="B50:G51"/>
    <mergeCell ref="B53:G53"/>
    <mergeCell ref="B54:G54"/>
    <mergeCell ref="B65:G67"/>
    <mergeCell ref="C68:D68"/>
    <mergeCell ref="B70:G70"/>
    <mergeCell ref="E82:G82"/>
    <mergeCell ref="E83:G83"/>
    <mergeCell ref="E84:G84"/>
    <mergeCell ref="E85:G85"/>
    <mergeCell ref="E86:G86"/>
    <mergeCell ref="B87:G87"/>
    <mergeCell ref="C101:G101"/>
    <mergeCell ref="B111:G111"/>
    <mergeCell ref="B112:G112"/>
    <mergeCell ref="B113:G113"/>
    <mergeCell ref="B114:G114"/>
    <mergeCell ref="B115:G115"/>
    <mergeCell ref="B118:D118"/>
    <mergeCell ref="B119:D119"/>
    <mergeCell ref="B120:D120"/>
    <mergeCell ref="B121:D121"/>
  </mergeCells>
  <hyperlinks>
    <hyperlink ref="B3" location="'N-03 Index DMAIC'!A1" display="← Back to Index"/>
    <hyperlink ref="E35" location="'H-13 FMEA AIAG-VDA'!A1" display="H-13  FMEA (AIAG-VDA)"/>
    <hyperlink ref="E36" location="'G-03 Stakeholder Analysis'!A1" display="G-03  Stakeholder Analysis"/>
    <hyperlink ref="E37" location="'G-04 RACI Matrix'!A1" display="G-04  RACI Matrix"/>
    <hyperlink ref="E38" location="'H-16 Control and Reaction'!A1" display="H-16  Control Plan and Reaction Plan"/>
    <hyperlink ref="B125" location="'H-13 FMEA AIAG-VDA'!A1" display="H-13  FMEA (AIAG-VDA)"/>
    <hyperlink ref="C125" location="'G-08 Schedule and CPM'!A1" display="G-08  Project Schedule and CPM"/>
    <hyperlink ref="D125" location="'G-06 Change Management'!A1" display="G-06  Change Management (ADKA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N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6"/>
    <col collapsed="false" customWidth="true" hidden="false" outlineLevel="0" max="7" min="4" style="1" width="18"/>
    <col collapsed="false" customWidth="true" hidden="false" outlineLevel="0" max="8" min="8" style="1" width="16"/>
    <col collapsed="false" customWidth="true" hidden="false" outlineLevel="0" max="9" min="9" style="1" width="12"/>
    <col collapsed="false" customWidth="true" hidden="false" outlineLevel="0" max="10" min="10" style="1" width="16"/>
    <col collapsed="false" customWidth="true" hidden="false" outlineLevel="0" max="11" min="11" style="1" width="22"/>
    <col collapsed="false" customWidth="true" hidden="false" outlineLevel="0" max="12" min="12" style="1" width="18"/>
    <col collapsed="false" customWidth="true" hidden="false" outlineLevel="0" max="14" min="13" style="1" width="13"/>
  </cols>
  <sheetData>
    <row r="1" customFormat="false" ht="15" hidden="false" customHeight="true" outlineLevel="0" collapsed="false">
      <c r="A1" s="147" t="s">
        <v>0</v>
      </c>
    </row>
    <row r="2" customFormat="false" ht="22.5" hidden="false" customHeight="true" outlineLevel="0" collapsed="false">
      <c r="B2" s="148" t="s">
        <v>13166</v>
      </c>
      <c r="C2" s="148"/>
      <c r="D2" s="148"/>
      <c r="E2" s="148"/>
      <c r="F2" s="148"/>
      <c r="G2" s="148"/>
      <c r="H2" s="148"/>
      <c r="I2" s="148"/>
      <c r="J2" s="148"/>
      <c r="K2" s="202" t="s">
        <v>2</v>
      </c>
    </row>
    <row r="3" customFormat="false" ht="54.75" hidden="false" customHeight="true" outlineLevel="0" collapsed="false">
      <c r="B3" s="150" t="s">
        <v>3</v>
      </c>
      <c r="D3" s="151" t="s">
        <v>13167</v>
      </c>
      <c r="E3" s="151"/>
      <c r="F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13168</v>
      </c>
      <c r="D6" s="106"/>
    </row>
    <row r="7" customFormat="false" ht="31.5" hidden="false" customHeight="true" outlineLevel="0" collapsed="false">
      <c r="B7" s="105" t="s">
        <v>1394</v>
      </c>
      <c r="C7" s="106" t="s">
        <v>13169</v>
      </c>
      <c r="D7" s="106"/>
    </row>
    <row r="8" customFormat="false" ht="31.5" hidden="false" customHeight="true" outlineLevel="0" collapsed="false">
      <c r="B8" s="105" t="s">
        <v>1396</v>
      </c>
      <c r="C8" s="106" t="s">
        <v>13170</v>
      </c>
      <c r="D8" s="106"/>
    </row>
    <row r="10" customFormat="false" ht="15.75" hidden="false" customHeight="true" outlineLevel="0" collapsed="false">
      <c r="B10" s="103" t="s">
        <v>1398</v>
      </c>
      <c r="C10" s="8"/>
      <c r="D10" s="8"/>
      <c r="E10" s="8"/>
      <c r="F10" s="8"/>
      <c r="G10" s="8"/>
      <c r="H10" s="8"/>
      <c r="I10" s="8"/>
      <c r="J10" s="8"/>
      <c r="K10" s="8"/>
    </row>
    <row r="11" customFormat="false" ht="11.25" hidden="false" customHeight="true" outlineLevel="0" collapsed="false">
      <c r="B11" s="106" t="s">
        <v>13171</v>
      </c>
      <c r="C11" s="106"/>
      <c r="D11" s="106"/>
      <c r="E11" s="106"/>
      <c r="F11" s="106"/>
    </row>
    <row r="12" customFormat="false" ht="11.25" hidden="false" customHeight="true" outlineLevel="0" collapsed="false">
      <c r="B12" s="106"/>
      <c r="C12" s="106"/>
      <c r="D12" s="106"/>
      <c r="E12" s="106"/>
      <c r="F12" s="106"/>
    </row>
    <row r="13" customFormat="false" ht="11.25" hidden="false" customHeight="true" outlineLevel="0" collapsed="false">
      <c r="B13" s="106"/>
      <c r="C13" s="106"/>
      <c r="D13" s="106"/>
      <c r="E13" s="106"/>
      <c r="F13" s="106"/>
    </row>
    <row r="14" customFormat="false" ht="11.25" hidden="false" customHeight="true" outlineLevel="0" collapsed="false">
      <c r="B14" s="106"/>
      <c r="C14" s="106"/>
      <c r="D14" s="106"/>
      <c r="E14" s="106"/>
      <c r="F14" s="106"/>
    </row>
    <row r="15" customFormat="false" ht="10.5" hidden="false" customHeight="true" outlineLevel="0" collapsed="false">
      <c r="B15" s="106" t="s">
        <v>13172</v>
      </c>
      <c r="C15" s="106"/>
      <c r="D15" s="106"/>
      <c r="E15" s="106"/>
      <c r="F15" s="106"/>
    </row>
    <row r="16" customFormat="false" ht="10.5" hidden="false" customHeight="true" outlineLevel="0" collapsed="false">
      <c r="B16" s="106"/>
      <c r="C16" s="106"/>
      <c r="D16" s="106"/>
      <c r="E16" s="106"/>
      <c r="F16" s="106"/>
    </row>
    <row r="17" customFormat="false" ht="10.5" hidden="false" customHeight="true" outlineLevel="0" collapsed="false">
      <c r="B17" s="106"/>
      <c r="C17" s="106"/>
      <c r="D17" s="106"/>
      <c r="E17" s="106"/>
      <c r="F17" s="106"/>
    </row>
    <row r="18" customFormat="false" ht="11.25" hidden="false" customHeight="true" outlineLevel="0" collapsed="false">
      <c r="B18" s="106" t="s">
        <v>13173</v>
      </c>
      <c r="C18" s="106"/>
      <c r="D18" s="106"/>
      <c r="E18" s="106"/>
      <c r="F18" s="106"/>
    </row>
    <row r="19" customFormat="false" ht="11.25" hidden="false" customHeight="true" outlineLevel="0" collapsed="false">
      <c r="B19" s="106"/>
      <c r="C19" s="106"/>
      <c r="D19" s="106"/>
      <c r="E19" s="106"/>
      <c r="F19" s="106"/>
    </row>
    <row r="20" customFormat="false" ht="11.25" hidden="false" customHeight="true" outlineLevel="0" collapsed="false">
      <c r="B20" s="106"/>
      <c r="C20" s="106"/>
      <c r="D20" s="106"/>
      <c r="E20" s="106"/>
      <c r="F20" s="106"/>
    </row>
    <row r="21" customFormat="false" ht="11.25" hidden="false" customHeight="true" outlineLevel="0" collapsed="false">
      <c r="B21" s="106"/>
      <c r="C21" s="106"/>
      <c r="D21" s="106"/>
      <c r="E21" s="106"/>
      <c r="F21" s="106"/>
    </row>
    <row r="22" customFormat="false" ht="11.25" hidden="false" customHeight="true" outlineLevel="0" collapsed="false">
      <c r="B22" s="106" t="s">
        <v>13174</v>
      </c>
      <c r="C22" s="106"/>
      <c r="D22" s="106"/>
      <c r="E22" s="106"/>
      <c r="F22" s="106"/>
    </row>
    <row r="23" customFormat="false" ht="11.25" hidden="false" customHeight="true" outlineLevel="0" collapsed="false">
      <c r="B23" s="106"/>
      <c r="C23" s="106"/>
      <c r="D23" s="106"/>
      <c r="E23" s="106"/>
      <c r="F23" s="106"/>
    </row>
    <row r="24" customFormat="false" ht="11.25" hidden="false" customHeight="true" outlineLevel="0" collapsed="false">
      <c r="B24" s="106"/>
      <c r="C24" s="106"/>
      <c r="D24" s="106"/>
      <c r="E24" s="106"/>
      <c r="F24" s="106"/>
    </row>
    <row r="25" customFormat="false" ht="11.25" hidden="false" customHeight="true" outlineLevel="0" collapsed="false">
      <c r="B25" s="106"/>
      <c r="C25" s="106"/>
      <c r="D25" s="106"/>
      <c r="E25" s="106"/>
      <c r="F25" s="106"/>
    </row>
    <row r="26" customFormat="false" ht="15.75" hidden="false" customHeight="true" outlineLevel="0" collapsed="false">
      <c r="B26" s="106" t="s">
        <v>13175</v>
      </c>
      <c r="C26" s="106"/>
      <c r="D26" s="106"/>
      <c r="E26" s="106"/>
      <c r="F26" s="106"/>
    </row>
    <row r="27" customFormat="false" ht="15.75" hidden="false" customHeight="true" outlineLevel="0" collapsed="false">
      <c r="B27" s="106"/>
      <c r="C27" s="106"/>
      <c r="D27" s="106"/>
      <c r="E27" s="106"/>
      <c r="F27" s="106"/>
    </row>
    <row r="28" customFormat="false" ht="15.75" hidden="false" customHeight="true" outlineLevel="0" collapsed="false">
      <c r="B28" s="106" t="s">
        <v>13176</v>
      </c>
      <c r="C28" s="106"/>
      <c r="D28" s="106"/>
      <c r="E28" s="106"/>
      <c r="F28" s="106"/>
    </row>
    <row r="29" customFormat="false" ht="15.75" hidden="false" customHeight="true" outlineLevel="0" collapsed="false">
      <c r="B29" s="106"/>
      <c r="C29" s="106"/>
      <c r="D29" s="106"/>
      <c r="E29" s="106"/>
      <c r="F29" s="106"/>
    </row>
    <row r="31" customFormat="false" ht="15.75" hidden="false" customHeight="true" outlineLevel="0" collapsed="false">
      <c r="B31" s="103" t="s">
        <v>1406</v>
      </c>
      <c r="C31" s="8"/>
      <c r="D31" s="8"/>
      <c r="E31" s="8"/>
      <c r="F31" s="8"/>
      <c r="G31" s="8"/>
      <c r="H31" s="8"/>
      <c r="I31" s="8"/>
      <c r="J31" s="8"/>
      <c r="K31" s="8"/>
    </row>
    <row r="32" customFormat="false" ht="17.25" hidden="false" customHeight="true" outlineLevel="0" collapsed="false">
      <c r="B32" s="107" t="s">
        <v>1407</v>
      </c>
      <c r="C32" s="107"/>
      <c r="E32" s="107" t="s">
        <v>1408</v>
      </c>
      <c r="F32" s="107"/>
    </row>
    <row r="33" customFormat="false" ht="31.5" hidden="false" customHeight="true" outlineLevel="0" collapsed="false">
      <c r="B33" s="106" t="s">
        <v>13177</v>
      </c>
      <c r="C33" s="106"/>
      <c r="E33" s="106" t="s">
        <v>13178</v>
      </c>
      <c r="F33" s="106"/>
    </row>
    <row r="34" customFormat="false" ht="31.5" hidden="false" customHeight="true" outlineLevel="0" collapsed="false">
      <c r="B34" s="106" t="s">
        <v>13179</v>
      </c>
      <c r="C34" s="106"/>
      <c r="E34" s="106" t="s">
        <v>13180</v>
      </c>
      <c r="F34" s="106"/>
    </row>
    <row r="35" customFormat="false" ht="45.75" hidden="false" customHeight="true" outlineLevel="0" collapsed="false">
      <c r="B35" s="106" t="s">
        <v>13181</v>
      </c>
      <c r="C35" s="106"/>
      <c r="E35" s="106" t="s">
        <v>13182</v>
      </c>
      <c r="F35" s="106"/>
    </row>
    <row r="36" customFormat="false" ht="17.25" hidden="false" customHeight="true" outlineLevel="0" collapsed="false">
      <c r="B36" s="106" t="s">
        <v>13183</v>
      </c>
      <c r="C36" s="106"/>
      <c r="D36" s="106"/>
      <c r="E36" s="106"/>
      <c r="F36" s="106"/>
    </row>
    <row r="38" customFormat="false" ht="30.75" hidden="false" customHeight="true" outlineLevel="0" collapsed="false">
      <c r="B38" s="152" t="s">
        <v>6621</v>
      </c>
      <c r="C38" s="152" t="s">
        <v>1417</v>
      </c>
      <c r="D38" s="152" t="s">
        <v>1418</v>
      </c>
      <c r="E38" s="152" t="s">
        <v>1419</v>
      </c>
    </row>
    <row r="39" customFormat="false" ht="72" hidden="false" customHeight="true" outlineLevel="0" collapsed="false">
      <c r="B39" s="15" t="s">
        <v>13184</v>
      </c>
      <c r="C39" s="15" t="s">
        <v>13185</v>
      </c>
      <c r="D39" s="15" t="s">
        <v>13186</v>
      </c>
      <c r="E39" s="153" t="s">
        <v>7332</v>
      </c>
    </row>
    <row r="40" customFormat="false" ht="72" hidden="false" customHeight="true" outlineLevel="0" collapsed="false">
      <c r="B40" s="15" t="s">
        <v>13187</v>
      </c>
      <c r="C40" s="15" t="s">
        <v>13188</v>
      </c>
      <c r="D40" s="15" t="s">
        <v>13189</v>
      </c>
      <c r="E40" s="153" t="s">
        <v>1262</v>
      </c>
    </row>
    <row r="41" customFormat="false" ht="58.5" hidden="false" customHeight="true" outlineLevel="0" collapsed="false">
      <c r="B41" s="15" t="s">
        <v>13190</v>
      </c>
      <c r="C41" s="15" t="s">
        <v>13191</v>
      </c>
      <c r="D41" s="15" t="s">
        <v>13192</v>
      </c>
      <c r="E41" s="153" t="s">
        <v>8664</v>
      </c>
    </row>
    <row r="42" customFormat="false" ht="58.5" hidden="false" customHeight="true" outlineLevel="0" collapsed="false">
      <c r="B42" s="15" t="s">
        <v>13193</v>
      </c>
      <c r="C42" s="15" t="s">
        <v>13194</v>
      </c>
      <c r="D42" s="15" t="s">
        <v>13195</v>
      </c>
      <c r="E42" s="153" t="s">
        <v>6866</v>
      </c>
    </row>
    <row r="44" customFormat="false" ht="15.75" hidden="false" customHeight="true" outlineLevel="0" collapsed="false">
      <c r="B44" s="103" t="s">
        <v>1429</v>
      </c>
      <c r="C44" s="8"/>
      <c r="D44" s="8"/>
      <c r="E44" s="8"/>
      <c r="F44" s="8"/>
      <c r="G44" s="8"/>
      <c r="H44" s="8"/>
      <c r="I44" s="8"/>
      <c r="J44" s="8"/>
      <c r="K44" s="8"/>
    </row>
    <row r="45" customFormat="false" ht="16.5" hidden="false" customHeight="true" outlineLevel="0" collapsed="false">
      <c r="B45" s="122" t="s">
        <v>13196</v>
      </c>
    </row>
    <row r="46" customFormat="false" ht="17.25" hidden="false" customHeight="true" outlineLevel="0" collapsed="false">
      <c r="B46" s="106" t="s">
        <v>13197</v>
      </c>
      <c r="C46" s="106"/>
      <c r="D46" s="106"/>
      <c r="E46" s="106"/>
      <c r="F46" s="106"/>
    </row>
    <row r="47" customFormat="false" ht="17.25" hidden="false" customHeight="true" outlineLevel="0" collapsed="false">
      <c r="B47" s="106" t="s">
        <v>13198</v>
      </c>
      <c r="C47" s="106"/>
      <c r="D47" s="106"/>
      <c r="E47" s="106"/>
      <c r="F47" s="106"/>
    </row>
    <row r="48" customFormat="false" ht="16.5" hidden="false" customHeight="true" outlineLevel="0" collapsed="false">
      <c r="B48" s="122" t="s">
        <v>13199</v>
      </c>
    </row>
    <row r="49" customFormat="false" ht="15" hidden="false" customHeight="true" outlineLevel="0" collapsed="false">
      <c r="B49" s="122"/>
    </row>
    <row r="50" customFormat="false" ht="7.5" hidden="false" customHeight="true" outlineLevel="0" collapsed="false">
      <c r="B50" s="106" t="s">
        <v>13200</v>
      </c>
      <c r="C50" s="106"/>
      <c r="D50" s="106"/>
      <c r="E50" s="106"/>
      <c r="F50" s="106"/>
    </row>
    <row r="51" customFormat="false" ht="7.5" hidden="false" customHeight="true" outlineLevel="0" collapsed="false">
      <c r="B51" s="106"/>
      <c r="C51" s="106"/>
      <c r="D51" s="106"/>
      <c r="E51" s="106"/>
      <c r="F51" s="106"/>
    </row>
    <row r="52" customFormat="false" ht="7.5" hidden="false" customHeight="true" outlineLevel="0" collapsed="false">
      <c r="B52" s="106"/>
      <c r="C52" s="106"/>
      <c r="D52" s="106"/>
      <c r="E52" s="106"/>
      <c r="F52" s="106"/>
    </row>
    <row r="53" customFormat="false" ht="7.5" hidden="false" customHeight="true" outlineLevel="0" collapsed="false">
      <c r="B53" s="106"/>
      <c r="C53" s="106"/>
      <c r="D53" s="106"/>
      <c r="E53" s="106"/>
      <c r="F53" s="106"/>
    </row>
    <row r="54" customFormat="false" ht="15" hidden="false" customHeight="true" outlineLevel="0" collapsed="false">
      <c r="B54" s="122"/>
    </row>
    <row r="55" customFormat="false" ht="17.25" hidden="false" customHeight="true" outlineLevel="0" collapsed="false">
      <c r="B55" s="106" t="s">
        <v>13201</v>
      </c>
      <c r="C55" s="106"/>
      <c r="D55" s="106"/>
      <c r="E55" s="106"/>
      <c r="F55" s="106"/>
    </row>
    <row r="56" customFormat="false" ht="8.25" hidden="false" customHeight="true" outlineLevel="0" collapsed="false">
      <c r="B56" s="106" t="s">
        <v>13202</v>
      </c>
      <c r="C56" s="106"/>
      <c r="D56" s="106"/>
      <c r="E56" s="106"/>
      <c r="F56" s="106"/>
    </row>
    <row r="57" customFormat="false" ht="8.25" hidden="false" customHeight="true" outlineLevel="0" collapsed="false">
      <c r="B57" s="106"/>
      <c r="C57" s="106"/>
      <c r="D57" s="106"/>
      <c r="E57" s="106"/>
      <c r="F57" s="106"/>
    </row>
    <row r="58" customFormat="false" ht="15" hidden="false" customHeight="true" outlineLevel="0" collapsed="false">
      <c r="B58" s="122"/>
    </row>
    <row r="59" customFormat="false" ht="17.25" hidden="false" customHeight="true" outlineLevel="0" collapsed="false">
      <c r="B59" s="106" t="s">
        <v>13203</v>
      </c>
      <c r="C59" s="106"/>
      <c r="D59" s="106"/>
      <c r="E59" s="106"/>
      <c r="F59" s="106"/>
    </row>
    <row r="60" customFormat="false" ht="17.25" hidden="false" customHeight="true" outlineLevel="0" collapsed="false">
      <c r="B60" s="106" t="s">
        <v>13204</v>
      </c>
      <c r="C60" s="106"/>
      <c r="D60" s="106"/>
      <c r="E60" s="106"/>
      <c r="F60" s="106"/>
    </row>
    <row r="61" customFormat="false" ht="15" hidden="false" customHeight="true" outlineLevel="0" collapsed="false">
      <c r="B61" s="122"/>
    </row>
    <row r="62" customFormat="false" ht="17.25" hidden="false" customHeight="true" outlineLevel="0" collapsed="false">
      <c r="B62" s="106" t="s">
        <v>13205</v>
      </c>
      <c r="C62" s="106"/>
      <c r="D62" s="106"/>
      <c r="E62" s="106"/>
      <c r="F62" s="106"/>
    </row>
    <row r="64" customFormat="false" ht="15.75" hidden="false" customHeight="true" outlineLevel="0" collapsed="false">
      <c r="B64" s="103" t="s">
        <v>1437</v>
      </c>
      <c r="C64" s="8"/>
      <c r="D64" s="8"/>
      <c r="E64" s="8"/>
      <c r="F64" s="8"/>
      <c r="G64" s="8"/>
      <c r="H64" s="8"/>
      <c r="I64" s="8"/>
      <c r="J64" s="8"/>
      <c r="K64" s="8"/>
    </row>
    <row r="65" customFormat="false" ht="17.25" hidden="false" customHeight="true" outlineLevel="0" collapsed="false">
      <c r="B65" s="152" t="s">
        <v>1438</v>
      </c>
      <c r="C65" s="152" t="s">
        <v>1439</v>
      </c>
      <c r="D65" s="152" t="s">
        <v>1440</v>
      </c>
      <c r="E65" s="152"/>
      <c r="F65" s="152"/>
    </row>
    <row r="66" customFormat="false" ht="17.25" hidden="false" customHeight="true" outlineLevel="0" collapsed="false">
      <c r="B66" s="15" t="s">
        <v>13206</v>
      </c>
      <c r="C66" s="15" t="s">
        <v>13207</v>
      </c>
      <c r="D66" s="15" t="s">
        <v>13208</v>
      </c>
      <c r="E66" s="15"/>
      <c r="F66" s="15"/>
    </row>
    <row r="67" customFormat="false" ht="17.25" hidden="false" customHeight="true" outlineLevel="0" collapsed="false">
      <c r="B67" s="15" t="s">
        <v>12366</v>
      </c>
      <c r="C67" s="15" t="s">
        <v>13209</v>
      </c>
      <c r="D67" s="15" t="s">
        <v>13210</v>
      </c>
      <c r="E67" s="15"/>
      <c r="F67" s="15"/>
    </row>
    <row r="68" customFormat="false" ht="17.25" hidden="false" customHeight="true" outlineLevel="0" collapsed="false">
      <c r="B68" s="15" t="s">
        <v>1571</v>
      </c>
      <c r="C68" s="15" t="s">
        <v>13211</v>
      </c>
      <c r="D68" s="15" t="s">
        <v>13212</v>
      </c>
      <c r="E68" s="15"/>
      <c r="F68" s="15"/>
    </row>
    <row r="69" customFormat="false" ht="31.5" hidden="false" customHeight="true" outlineLevel="0" collapsed="false">
      <c r="B69" s="15" t="s">
        <v>1834</v>
      </c>
      <c r="C69" s="15" t="s">
        <v>13213</v>
      </c>
      <c r="D69" s="15" t="s">
        <v>13214</v>
      </c>
      <c r="E69" s="15"/>
      <c r="F69" s="15"/>
    </row>
    <row r="70" customFormat="false" ht="17.25" hidden="false" customHeight="true" outlineLevel="0" collapsed="false">
      <c r="B70" s="15" t="s">
        <v>1574</v>
      </c>
      <c r="C70" s="15" t="s">
        <v>13215</v>
      </c>
      <c r="D70" s="15" t="s">
        <v>13216</v>
      </c>
      <c r="E70" s="15"/>
      <c r="F70" s="15"/>
    </row>
    <row r="71" customFormat="false" ht="17.25" hidden="false" customHeight="true" outlineLevel="0" collapsed="false">
      <c r="B71" s="15" t="s">
        <v>6644</v>
      </c>
      <c r="C71" s="15" t="s">
        <v>13217</v>
      </c>
      <c r="D71" s="15" t="s">
        <v>13218</v>
      </c>
      <c r="E71" s="15"/>
      <c r="F71" s="15"/>
    </row>
    <row r="72" customFormat="false" ht="17.25" hidden="false" customHeight="true" outlineLevel="0" collapsed="false">
      <c r="B72" s="15" t="s">
        <v>10807</v>
      </c>
      <c r="C72" s="15" t="s">
        <v>13219</v>
      </c>
      <c r="D72" s="15" t="s">
        <v>13220</v>
      </c>
      <c r="E72" s="15"/>
      <c r="F72" s="15"/>
    </row>
    <row r="74" customFormat="false" ht="15.75" hidden="false" customHeight="true" outlineLevel="0" collapsed="false">
      <c r="B74" s="103" t="s">
        <v>1454</v>
      </c>
      <c r="C74" s="8"/>
      <c r="D74" s="8"/>
      <c r="E74" s="8"/>
      <c r="F74" s="8"/>
      <c r="G74" s="8"/>
      <c r="H74" s="8"/>
      <c r="I74" s="8"/>
      <c r="J74" s="8"/>
      <c r="K74" s="8"/>
    </row>
    <row r="75" customFormat="false" ht="10.5" hidden="false" customHeight="true" outlineLevel="0" collapsed="false">
      <c r="B75" s="106" t="s">
        <v>13221</v>
      </c>
      <c r="C75" s="106"/>
      <c r="D75" s="106"/>
      <c r="E75" s="106"/>
      <c r="F75" s="106"/>
    </row>
    <row r="76" customFormat="false" ht="10.5" hidden="false" customHeight="true" outlineLevel="0" collapsed="false">
      <c r="B76" s="106"/>
      <c r="C76" s="106"/>
      <c r="D76" s="106"/>
      <c r="E76" s="106"/>
      <c r="F76" s="106"/>
    </row>
    <row r="77" customFormat="false" ht="10.5" hidden="false" customHeight="true" outlineLevel="0" collapsed="false">
      <c r="B77" s="106"/>
      <c r="C77" s="106"/>
      <c r="D77" s="106"/>
      <c r="E77" s="106"/>
      <c r="F77" s="106"/>
    </row>
    <row r="78" customFormat="false" ht="15" hidden="false" customHeight="true" outlineLevel="0" collapsed="false">
      <c r="B78" s="112" t="s">
        <v>85</v>
      </c>
      <c r="C78" s="154" t="s">
        <v>86</v>
      </c>
    </row>
    <row r="80" customFormat="false" ht="15" hidden="false" customHeight="true" outlineLevel="0" collapsed="false">
      <c r="B80" s="105" t="s">
        <v>13222</v>
      </c>
    </row>
    <row r="81" customFormat="false" ht="17.25" hidden="false" customHeight="true" outlineLevel="0" collapsed="false">
      <c r="B81" s="152" t="s">
        <v>7376</v>
      </c>
      <c r="C81" s="152" t="s">
        <v>6654</v>
      </c>
      <c r="D81" s="152" t="s">
        <v>6655</v>
      </c>
      <c r="E81" s="152"/>
    </row>
    <row r="82" customFormat="false" ht="17.25" hidden="false" customHeight="true" outlineLevel="0" collapsed="false">
      <c r="B82" s="15" t="s">
        <v>13223</v>
      </c>
      <c r="C82" s="180" t="n">
        <v>46237</v>
      </c>
      <c r="D82" s="15" t="s">
        <v>13224</v>
      </c>
      <c r="E82" s="15"/>
    </row>
    <row r="84" customFormat="false" ht="17.25" hidden="false" customHeight="true" outlineLevel="0" collapsed="false">
      <c r="B84" s="107" t="s">
        <v>13225</v>
      </c>
      <c r="C84" s="107"/>
      <c r="D84" s="107"/>
      <c r="E84" s="107"/>
      <c r="F84" s="107"/>
    </row>
    <row r="85" customFormat="false" ht="28.5" hidden="false" customHeight="true" outlineLevel="0" collapsed="false">
      <c r="B85" s="182" t="s">
        <v>13226</v>
      </c>
      <c r="C85" s="182"/>
      <c r="D85" s="182"/>
      <c r="E85" s="182"/>
      <c r="F85" s="182"/>
    </row>
    <row r="87" customFormat="false" ht="44.25" hidden="false" customHeight="true" outlineLevel="0" collapsed="false">
      <c r="B87" s="152" t="s">
        <v>7723</v>
      </c>
      <c r="C87" s="152" t="s">
        <v>13227</v>
      </c>
      <c r="D87" s="152" t="s">
        <v>13228</v>
      </c>
      <c r="E87" s="152" t="s">
        <v>13229</v>
      </c>
      <c r="F87" s="152" t="s">
        <v>13230</v>
      </c>
      <c r="G87" s="152" t="s">
        <v>13231</v>
      </c>
      <c r="H87" s="152" t="s">
        <v>1477</v>
      </c>
      <c r="I87" s="152" t="s">
        <v>3698</v>
      </c>
      <c r="J87" s="152" t="s">
        <v>13232</v>
      </c>
      <c r="K87" s="152" t="s">
        <v>13233</v>
      </c>
    </row>
    <row r="88" customFormat="false" ht="16.5" hidden="false" customHeight="true" outlineLevel="0" collapsed="false">
      <c r="B88" s="15" t="s">
        <v>378</v>
      </c>
      <c r="C88" s="15" t="s">
        <v>13234</v>
      </c>
      <c r="D88" s="155" t="n">
        <v>3</v>
      </c>
      <c r="E88" s="155" t="n">
        <v>5</v>
      </c>
      <c r="F88" s="155" t="n">
        <v>9</v>
      </c>
      <c r="G88" s="158" t="n">
        <f aca="false">(D88+4*E88+F88)/6</f>
        <v>5.33333333333333</v>
      </c>
      <c r="H88" s="174" t="n">
        <f aca="false">(F88-D88)/6</f>
        <v>1</v>
      </c>
      <c r="I88" s="174" t="n">
        <f aca="false">((F88-D88)/6)^2</f>
        <v>1</v>
      </c>
      <c r="J88" s="177"/>
      <c r="K88" s="155" t="n">
        <v>0</v>
      </c>
    </row>
    <row r="89" customFormat="false" ht="16.5" hidden="false" customHeight="true" outlineLevel="0" collapsed="false">
      <c r="B89" s="15" t="s">
        <v>5359</v>
      </c>
      <c r="C89" s="15" t="s">
        <v>13235</v>
      </c>
      <c r="D89" s="155" t="n">
        <v>5</v>
      </c>
      <c r="E89" s="155" t="n">
        <v>10</v>
      </c>
      <c r="F89" s="155" t="n">
        <v>18</v>
      </c>
      <c r="G89" s="158" t="n">
        <f aca="false">(D89+4*E89+F89)/6</f>
        <v>10.5</v>
      </c>
      <c r="H89" s="174" t="n">
        <f aca="false">(F89-D89)/6</f>
        <v>2.16666666666667</v>
      </c>
      <c r="I89" s="174" t="n">
        <f aca="false">((F89-D89)/6)^2</f>
        <v>4.69444444444444</v>
      </c>
      <c r="J89" s="177" t="s">
        <v>378</v>
      </c>
      <c r="K89" s="155" t="n">
        <v>0</v>
      </c>
    </row>
    <row r="90" customFormat="false" ht="16.5" hidden="false" customHeight="true" outlineLevel="0" collapsed="false">
      <c r="B90" s="15" t="s">
        <v>640</v>
      </c>
      <c r="C90" s="15" t="s">
        <v>13236</v>
      </c>
      <c r="D90" s="155" t="n">
        <v>15</v>
      </c>
      <c r="E90" s="155" t="n">
        <v>20</v>
      </c>
      <c r="F90" s="155" t="n">
        <v>30</v>
      </c>
      <c r="G90" s="158" t="n">
        <f aca="false">(D90+4*E90+F90)/6</f>
        <v>20.8333333333333</v>
      </c>
      <c r="H90" s="174" t="n">
        <f aca="false">(F90-D90)/6</f>
        <v>2.5</v>
      </c>
      <c r="I90" s="174" t="n">
        <f aca="false">((F90-D90)/6)^2</f>
        <v>6.25</v>
      </c>
      <c r="J90" s="177" t="s">
        <v>5359</v>
      </c>
      <c r="K90" s="155" t="n">
        <v>0</v>
      </c>
    </row>
    <row r="91" customFormat="false" ht="16.5" hidden="false" customHeight="true" outlineLevel="0" collapsed="false">
      <c r="B91" s="15" t="s">
        <v>175</v>
      </c>
      <c r="C91" s="15" t="s">
        <v>13237</v>
      </c>
      <c r="D91" s="155" t="n">
        <v>2</v>
      </c>
      <c r="E91" s="155" t="n">
        <v>3</v>
      </c>
      <c r="F91" s="155" t="n">
        <v>6</v>
      </c>
      <c r="G91" s="158" t="n">
        <f aca="false">(D91+4*E91+F91)/6</f>
        <v>3.33333333333333</v>
      </c>
      <c r="H91" s="174" t="n">
        <f aca="false">(F91-D91)/6</f>
        <v>0.666666666666667</v>
      </c>
      <c r="I91" s="174" t="n">
        <f aca="false">((F91-D91)/6)^2</f>
        <v>0.444444444444444</v>
      </c>
      <c r="J91" s="177" t="s">
        <v>640</v>
      </c>
      <c r="K91" s="155" t="n">
        <v>0</v>
      </c>
    </row>
    <row r="92" customFormat="false" ht="16.5" hidden="false" customHeight="true" outlineLevel="0" collapsed="false">
      <c r="B92" s="15" t="s">
        <v>35</v>
      </c>
      <c r="C92" s="15" t="s">
        <v>13238</v>
      </c>
      <c r="D92" s="155" t="n">
        <v>8</v>
      </c>
      <c r="E92" s="155" t="n">
        <v>12</v>
      </c>
      <c r="F92" s="155" t="n">
        <v>20</v>
      </c>
      <c r="G92" s="158" t="n">
        <f aca="false">(D92+4*E92+F92)/6</f>
        <v>12.6666666666667</v>
      </c>
      <c r="H92" s="174" t="n">
        <f aca="false">(F92-D92)/6</f>
        <v>2</v>
      </c>
      <c r="I92" s="174" t="n">
        <f aca="false">((F92-D92)/6)^2</f>
        <v>4</v>
      </c>
      <c r="J92" s="177" t="s">
        <v>175</v>
      </c>
      <c r="K92" s="155" t="n">
        <v>0</v>
      </c>
    </row>
    <row r="93" customFormat="false" ht="16.5" hidden="false" customHeight="true" outlineLevel="0" collapsed="false">
      <c r="B93" s="15" t="s">
        <v>2257</v>
      </c>
      <c r="C93" s="15" t="s">
        <v>13239</v>
      </c>
      <c r="D93" s="155" t="n">
        <v>6</v>
      </c>
      <c r="E93" s="155" t="n">
        <v>10</v>
      </c>
      <c r="F93" s="155" t="n">
        <v>16</v>
      </c>
      <c r="G93" s="158" t="n">
        <f aca="false">(D93+4*E93+F93)/6</f>
        <v>10.3333333333333</v>
      </c>
      <c r="H93" s="174" t="n">
        <f aca="false">(F93-D93)/6</f>
        <v>1.66666666666667</v>
      </c>
      <c r="I93" s="174" t="n">
        <f aca="false">((F93-D93)/6)^2</f>
        <v>2.77777777777778</v>
      </c>
      <c r="J93" s="177" t="s">
        <v>35</v>
      </c>
      <c r="K93" s="155" t="n">
        <v>0</v>
      </c>
    </row>
    <row r="94" customFormat="false" ht="16.5" hidden="false" customHeight="true" outlineLevel="0" collapsed="false">
      <c r="B94" s="15" t="s">
        <v>43</v>
      </c>
      <c r="C94" s="15" t="s">
        <v>13240</v>
      </c>
      <c r="D94" s="155" t="n">
        <v>10</v>
      </c>
      <c r="E94" s="155" t="n">
        <v>15</v>
      </c>
      <c r="F94" s="155" t="n">
        <v>30</v>
      </c>
      <c r="G94" s="158" t="n">
        <f aca="false">(D94+4*E94+F94)/6</f>
        <v>16.6666666666667</v>
      </c>
      <c r="H94" s="174" t="n">
        <f aca="false">(F94-D94)/6</f>
        <v>3.33333333333333</v>
      </c>
      <c r="I94" s="174" t="n">
        <f aca="false">((F94-D94)/6)^2</f>
        <v>11.1111111111111</v>
      </c>
      <c r="J94" s="177" t="s">
        <v>378</v>
      </c>
      <c r="K94" s="155" t="n">
        <v>0</v>
      </c>
    </row>
    <row r="95" customFormat="false" ht="16.5" hidden="false" customHeight="true" outlineLevel="0" collapsed="false">
      <c r="B95" s="15" t="s">
        <v>41</v>
      </c>
      <c r="C95" s="15" t="s">
        <v>13241</v>
      </c>
      <c r="D95" s="155" t="n">
        <v>1</v>
      </c>
      <c r="E95" s="155" t="n">
        <v>2</v>
      </c>
      <c r="F95" s="155" t="n">
        <v>3</v>
      </c>
      <c r="G95" s="158" t="n">
        <f aca="false">(D95+4*E95+F95)/6</f>
        <v>2</v>
      </c>
      <c r="H95" s="174" t="n">
        <f aca="false">(F95-D95)/6</f>
        <v>0.333333333333333</v>
      </c>
      <c r="I95" s="174" t="n">
        <f aca="false">((F95-D95)/6)^2</f>
        <v>0.111111111111111</v>
      </c>
      <c r="J95" s="177" t="s">
        <v>2257</v>
      </c>
      <c r="K95" s="155" t="n">
        <v>0</v>
      </c>
    </row>
    <row r="96" customFormat="false" ht="16.5" hidden="false" customHeight="true" outlineLevel="0" collapsed="false">
      <c r="B96" s="15" t="s">
        <v>538</v>
      </c>
      <c r="C96" s="15" t="s">
        <v>13242</v>
      </c>
      <c r="D96" s="155" t="n">
        <v>2</v>
      </c>
      <c r="E96" s="155" t="n">
        <v>3</v>
      </c>
      <c r="F96" s="155" t="n">
        <v>5</v>
      </c>
      <c r="G96" s="158" t="n">
        <f aca="false">(D96+4*E96+F96)/6</f>
        <v>3.16666666666667</v>
      </c>
      <c r="H96" s="174" t="n">
        <f aca="false">(F96-D96)/6</f>
        <v>0.5</v>
      </c>
      <c r="I96" s="174" t="n">
        <f aca="false">((F96-D96)/6)^2</f>
        <v>0.25</v>
      </c>
      <c r="J96" s="177" t="s">
        <v>41</v>
      </c>
      <c r="K96" s="155" t="n">
        <v>0</v>
      </c>
    </row>
    <row r="97" customFormat="false" ht="16.5" hidden="false" customHeight="true" outlineLevel="0" collapsed="false">
      <c r="B97" s="15" t="s">
        <v>13243</v>
      </c>
      <c r="C97" s="15" t="s">
        <v>12663</v>
      </c>
      <c r="D97" s="155" t="n">
        <v>20</v>
      </c>
      <c r="E97" s="155" t="n">
        <v>28</v>
      </c>
      <c r="F97" s="155" t="n">
        <v>40</v>
      </c>
      <c r="G97" s="158" t="n">
        <f aca="false">(D97+4*E97+F97)/6</f>
        <v>28.6666666666667</v>
      </c>
      <c r="H97" s="174" t="n">
        <f aca="false">(F97-D97)/6</f>
        <v>3.33333333333333</v>
      </c>
      <c r="I97" s="174" t="n">
        <f aca="false">((F97-D97)/6)^2</f>
        <v>11.1111111111111</v>
      </c>
      <c r="J97" s="177" t="s">
        <v>13244</v>
      </c>
      <c r="K97" s="155" t="n">
        <v>0</v>
      </c>
    </row>
    <row r="98" customFormat="false" ht="16.5" hidden="false" customHeight="true" outlineLevel="0" collapsed="false">
      <c r="B98" s="15" t="s">
        <v>13245</v>
      </c>
      <c r="C98" s="15" t="s">
        <v>13246</v>
      </c>
      <c r="D98" s="155" t="n">
        <v>3</v>
      </c>
      <c r="E98" s="155" t="n">
        <v>5</v>
      </c>
      <c r="F98" s="155" t="n">
        <v>8</v>
      </c>
      <c r="G98" s="158" t="n">
        <f aca="false">(D98+4*E98+F98)/6</f>
        <v>5.16666666666667</v>
      </c>
      <c r="H98" s="174" t="n">
        <f aca="false">(F98-D98)/6</f>
        <v>0.833333333333333</v>
      </c>
      <c r="I98" s="174" t="n">
        <f aca="false">((F98-D98)/6)^2</f>
        <v>0.694444444444445</v>
      </c>
      <c r="J98" s="177" t="s">
        <v>13243</v>
      </c>
      <c r="K98" s="155" t="n">
        <v>0</v>
      </c>
    </row>
    <row r="99" customFormat="false" ht="16.5" hidden="false" customHeight="true" outlineLevel="0" collapsed="false">
      <c r="B99" s="15" t="s">
        <v>38</v>
      </c>
      <c r="C99" s="15" t="s">
        <v>13247</v>
      </c>
      <c r="D99" s="155" t="n">
        <v>4</v>
      </c>
      <c r="E99" s="155" t="n">
        <v>6</v>
      </c>
      <c r="F99" s="155" t="n">
        <v>10</v>
      </c>
      <c r="G99" s="158" t="n">
        <f aca="false">(D99+4*E99+F99)/6</f>
        <v>6.33333333333333</v>
      </c>
      <c r="H99" s="174" t="n">
        <f aca="false">(F99-D99)/6</f>
        <v>1</v>
      </c>
      <c r="I99" s="174" t="n">
        <f aca="false">((F99-D99)/6)^2</f>
        <v>1</v>
      </c>
      <c r="J99" s="177" t="s">
        <v>13245</v>
      </c>
      <c r="K99" s="155" t="n">
        <v>0</v>
      </c>
    </row>
    <row r="100" customFormat="false" ht="16.5" hidden="false" customHeight="true" outlineLevel="0" collapsed="false">
      <c r="B100" s="15" t="s">
        <v>224</v>
      </c>
      <c r="C100" s="15" t="s">
        <v>13248</v>
      </c>
      <c r="D100" s="155" t="n">
        <v>3</v>
      </c>
      <c r="E100" s="155" t="n">
        <v>5</v>
      </c>
      <c r="F100" s="155" t="n">
        <v>8</v>
      </c>
      <c r="G100" s="158" t="n">
        <f aca="false">(D100+4*E100+F100)/6</f>
        <v>5.16666666666667</v>
      </c>
      <c r="H100" s="174" t="n">
        <f aca="false">(F100-D100)/6</f>
        <v>0.833333333333333</v>
      </c>
      <c r="I100" s="174" t="n">
        <f aca="false">((F100-D100)/6)^2</f>
        <v>0.694444444444445</v>
      </c>
      <c r="J100" s="177" t="s">
        <v>38</v>
      </c>
      <c r="K100" s="155" t="n">
        <v>0</v>
      </c>
    </row>
    <row r="101" customFormat="false" ht="16.5" hidden="false" customHeight="true" outlineLevel="0" collapsed="false">
      <c r="B101" s="15" t="s">
        <v>32</v>
      </c>
      <c r="C101" s="15" t="s">
        <v>13249</v>
      </c>
      <c r="D101" s="155" t="n">
        <v>5</v>
      </c>
      <c r="E101" s="155" t="n">
        <v>8</v>
      </c>
      <c r="F101" s="155" t="n">
        <v>12</v>
      </c>
      <c r="G101" s="158" t="n">
        <f aca="false">(D101+4*E101+F101)/6</f>
        <v>8.16666666666667</v>
      </c>
      <c r="H101" s="174" t="n">
        <f aca="false">(F101-D101)/6</f>
        <v>1.16666666666667</v>
      </c>
      <c r="I101" s="174" t="n">
        <f aca="false">((F101-D101)/6)^2</f>
        <v>1.36111111111111</v>
      </c>
      <c r="J101" s="177" t="s">
        <v>224</v>
      </c>
      <c r="K101" s="155" t="n">
        <v>0</v>
      </c>
    </row>
    <row r="103" customFormat="false" ht="28.5" hidden="false" customHeight="true" outlineLevel="0" collapsed="false">
      <c r="B103" s="182" t="s">
        <v>13250</v>
      </c>
      <c r="C103" s="182"/>
      <c r="D103" s="182"/>
      <c r="E103" s="182"/>
      <c r="F103" s="182"/>
    </row>
    <row r="105" customFormat="false" ht="17.25" hidden="false" customHeight="true" outlineLevel="0" collapsed="false">
      <c r="B105" s="107" t="s">
        <v>13251</v>
      </c>
      <c r="C105" s="107"/>
      <c r="D105" s="107"/>
      <c r="E105" s="107"/>
      <c r="F105" s="107"/>
    </row>
    <row r="106" customFormat="false" ht="30.75" hidden="false" customHeight="true" outlineLevel="0" collapsed="false">
      <c r="B106" s="152" t="s">
        <v>13252</v>
      </c>
      <c r="C106" s="152" t="s">
        <v>13253</v>
      </c>
      <c r="D106" s="152" t="s">
        <v>13254</v>
      </c>
      <c r="E106" s="152" t="s">
        <v>13255</v>
      </c>
      <c r="F106" s="152" t="s">
        <v>3698</v>
      </c>
    </row>
    <row r="107" customFormat="false" ht="16.5" hidden="false" customHeight="true" outlineLevel="0" collapsed="false">
      <c r="B107" s="15" t="s">
        <v>378</v>
      </c>
      <c r="C107" s="158" t="n">
        <f aca="false">INDEX($G$88:$G$101,MATCH(B107,$B$88:$B$101,0))</f>
        <v>5.33333333333333</v>
      </c>
      <c r="D107" s="158" t="n">
        <f aca="false">0</f>
        <v>0</v>
      </c>
      <c r="E107" s="158" t="n">
        <f aca="false">D107+C107</f>
        <v>5.33333333333333</v>
      </c>
      <c r="F107" s="174" t="n">
        <f aca="false">INDEX($I$88:$I$101,MATCH(B107,$B$88:$B$101,0))</f>
        <v>1</v>
      </c>
    </row>
    <row r="108" customFormat="false" ht="16.5" hidden="false" customHeight="true" outlineLevel="0" collapsed="false">
      <c r="B108" s="15" t="s">
        <v>5359</v>
      </c>
      <c r="C108" s="158" t="n">
        <f aca="false">INDEX($G$88:$G$101,MATCH(B108,$B$88:$B$101,0))</f>
        <v>10.5</v>
      </c>
      <c r="D108" s="158" t="n">
        <f aca="false">E107</f>
        <v>5.33333333333333</v>
      </c>
      <c r="E108" s="158" t="n">
        <f aca="false">D108+C108</f>
        <v>15.8333333333333</v>
      </c>
      <c r="F108" s="174" t="n">
        <f aca="false">INDEX($I$88:$I$101,MATCH(B108,$B$88:$B$101,0))</f>
        <v>4.69444444444444</v>
      </c>
    </row>
    <row r="109" customFormat="false" ht="16.5" hidden="false" customHeight="true" outlineLevel="0" collapsed="false">
      <c r="B109" s="15" t="s">
        <v>640</v>
      </c>
      <c r="C109" s="158" t="n">
        <f aca="false">INDEX($G$88:$G$101,MATCH(B109,$B$88:$B$101,0))</f>
        <v>20.8333333333333</v>
      </c>
      <c r="D109" s="158" t="n">
        <f aca="false">E108</f>
        <v>15.8333333333333</v>
      </c>
      <c r="E109" s="158" t="n">
        <f aca="false">D109+C109</f>
        <v>36.6666666666667</v>
      </c>
      <c r="F109" s="174" t="n">
        <f aca="false">INDEX($I$88:$I$101,MATCH(B109,$B$88:$B$101,0))</f>
        <v>6.25</v>
      </c>
    </row>
    <row r="110" customFormat="false" ht="16.5" hidden="false" customHeight="true" outlineLevel="0" collapsed="false">
      <c r="B110" s="15" t="s">
        <v>175</v>
      </c>
      <c r="C110" s="158" t="n">
        <f aca="false">INDEX($G$88:$G$101,MATCH(B110,$B$88:$B$101,0))</f>
        <v>3.33333333333333</v>
      </c>
      <c r="D110" s="158" t="n">
        <f aca="false">E109</f>
        <v>36.6666666666667</v>
      </c>
      <c r="E110" s="158" t="n">
        <f aca="false">D110+C110</f>
        <v>40</v>
      </c>
      <c r="F110" s="174" t="n">
        <f aca="false">INDEX($I$88:$I$101,MATCH(B110,$B$88:$B$101,0))</f>
        <v>0.444444444444444</v>
      </c>
    </row>
    <row r="111" customFormat="false" ht="16.5" hidden="false" customHeight="true" outlineLevel="0" collapsed="false">
      <c r="B111" s="15" t="s">
        <v>35</v>
      </c>
      <c r="C111" s="158" t="n">
        <f aca="false">INDEX($G$88:$G$101,MATCH(B111,$B$88:$B$101,0))</f>
        <v>12.6666666666667</v>
      </c>
      <c r="D111" s="158" t="n">
        <f aca="false">E110</f>
        <v>40</v>
      </c>
      <c r="E111" s="158" t="n">
        <f aca="false">D111+C111</f>
        <v>52.6666666666667</v>
      </c>
      <c r="F111" s="174" t="n">
        <f aca="false">INDEX($I$88:$I$101,MATCH(B111,$B$88:$B$101,0))</f>
        <v>4</v>
      </c>
    </row>
    <row r="112" customFormat="false" ht="16.5" hidden="false" customHeight="true" outlineLevel="0" collapsed="false">
      <c r="B112" s="15" t="s">
        <v>2257</v>
      </c>
      <c r="C112" s="158" t="n">
        <f aca="false">INDEX($G$88:$G$101,MATCH(B112,$B$88:$B$101,0))</f>
        <v>10.3333333333333</v>
      </c>
      <c r="D112" s="158" t="n">
        <f aca="false">E111</f>
        <v>52.6666666666667</v>
      </c>
      <c r="E112" s="158" t="n">
        <f aca="false">D112+C112</f>
        <v>63</v>
      </c>
      <c r="F112" s="174" t="n">
        <f aca="false">INDEX($I$88:$I$101,MATCH(B112,$B$88:$B$101,0))</f>
        <v>2.77777777777778</v>
      </c>
    </row>
    <row r="113" customFormat="false" ht="16.5" hidden="false" customHeight="true" outlineLevel="0" collapsed="false">
      <c r="B113" s="15" t="s">
        <v>41</v>
      </c>
      <c r="C113" s="158" t="n">
        <f aca="false">INDEX($G$88:$G$101,MATCH(B113,$B$88:$B$101,0))</f>
        <v>2</v>
      </c>
      <c r="D113" s="158" t="n">
        <f aca="false">E112</f>
        <v>63</v>
      </c>
      <c r="E113" s="158" t="n">
        <f aca="false">D113+C113</f>
        <v>65</v>
      </c>
      <c r="F113" s="174" t="n">
        <f aca="false">INDEX($I$88:$I$101,MATCH(B113,$B$88:$B$101,0))</f>
        <v>0.111111111111111</v>
      </c>
    </row>
    <row r="114" customFormat="false" ht="16.5" hidden="false" customHeight="true" outlineLevel="0" collapsed="false">
      <c r="B114" s="15" t="s">
        <v>538</v>
      </c>
      <c r="C114" s="158" t="n">
        <f aca="false">INDEX($G$88:$G$101,MATCH(B114,$B$88:$B$101,0))</f>
        <v>3.16666666666667</v>
      </c>
      <c r="D114" s="158" t="n">
        <f aca="false">E113</f>
        <v>65</v>
      </c>
      <c r="E114" s="158" t="n">
        <f aca="false">D114+C114</f>
        <v>68.1666666666667</v>
      </c>
      <c r="F114" s="174" t="n">
        <f aca="false">INDEX($I$88:$I$101,MATCH(B114,$B$88:$B$101,0))</f>
        <v>0.25</v>
      </c>
    </row>
    <row r="115" customFormat="false" ht="16.5" hidden="false" customHeight="true" outlineLevel="0" collapsed="false">
      <c r="B115" s="15" t="s">
        <v>13243</v>
      </c>
      <c r="C115" s="158" t="n">
        <f aca="false">INDEX($G$88:$G$101,MATCH(B115,$B$88:$B$101,0))</f>
        <v>28.6666666666667</v>
      </c>
      <c r="D115" s="158" t="n">
        <f aca="false">E114</f>
        <v>68.1666666666667</v>
      </c>
      <c r="E115" s="158" t="n">
        <f aca="false">D115+C115</f>
        <v>96.8333333333333</v>
      </c>
      <c r="F115" s="174" t="n">
        <f aca="false">INDEX($I$88:$I$101,MATCH(B115,$B$88:$B$101,0))</f>
        <v>11.1111111111111</v>
      </c>
    </row>
    <row r="116" customFormat="false" ht="16.5" hidden="false" customHeight="true" outlineLevel="0" collapsed="false">
      <c r="B116" s="15" t="s">
        <v>13245</v>
      </c>
      <c r="C116" s="158" t="n">
        <f aca="false">INDEX($G$88:$G$101,MATCH(B116,$B$88:$B$101,0))</f>
        <v>5.16666666666667</v>
      </c>
      <c r="D116" s="158" t="n">
        <f aca="false">E115</f>
        <v>96.8333333333333</v>
      </c>
      <c r="E116" s="158" t="n">
        <f aca="false">D116+C116</f>
        <v>102</v>
      </c>
      <c r="F116" s="174" t="n">
        <f aca="false">INDEX($I$88:$I$101,MATCH(B116,$B$88:$B$101,0))</f>
        <v>0.694444444444445</v>
      </c>
    </row>
    <row r="117" customFormat="false" ht="16.5" hidden="false" customHeight="true" outlineLevel="0" collapsed="false">
      <c r="B117" s="15" t="s">
        <v>38</v>
      </c>
      <c r="C117" s="158" t="n">
        <f aca="false">INDEX($G$88:$G$101,MATCH(B117,$B$88:$B$101,0))</f>
        <v>6.33333333333333</v>
      </c>
      <c r="D117" s="158" t="n">
        <f aca="false">E116</f>
        <v>102</v>
      </c>
      <c r="E117" s="158" t="n">
        <f aca="false">D117+C117</f>
        <v>108.333333333333</v>
      </c>
      <c r="F117" s="174" t="n">
        <f aca="false">INDEX($I$88:$I$101,MATCH(B117,$B$88:$B$101,0))</f>
        <v>1</v>
      </c>
    </row>
    <row r="118" customFormat="false" ht="16.5" hidden="false" customHeight="true" outlineLevel="0" collapsed="false">
      <c r="B118" s="15" t="s">
        <v>224</v>
      </c>
      <c r="C118" s="158" t="n">
        <f aca="false">INDEX($G$88:$G$101,MATCH(B118,$B$88:$B$101,0))</f>
        <v>5.16666666666667</v>
      </c>
      <c r="D118" s="158" t="n">
        <f aca="false">E117</f>
        <v>108.333333333333</v>
      </c>
      <c r="E118" s="158" t="n">
        <f aca="false">D118+C118</f>
        <v>113.5</v>
      </c>
      <c r="F118" s="174" t="n">
        <f aca="false">INDEX($I$88:$I$101,MATCH(B118,$B$88:$B$101,0))</f>
        <v>0.694444444444445</v>
      </c>
    </row>
    <row r="119" customFormat="false" ht="16.5" hidden="false" customHeight="true" outlineLevel="0" collapsed="false">
      <c r="B119" s="15" t="s">
        <v>32</v>
      </c>
      <c r="C119" s="158" t="n">
        <f aca="false">INDEX($G$88:$G$101,MATCH(B119,$B$88:$B$101,0))</f>
        <v>8.16666666666667</v>
      </c>
      <c r="D119" s="158" t="n">
        <f aca="false">E118</f>
        <v>113.5</v>
      </c>
      <c r="E119" s="158" t="n">
        <f aca="false">D119+C119</f>
        <v>121.666666666667</v>
      </c>
      <c r="F119" s="174" t="n">
        <f aca="false">INDEX($I$88:$I$101,MATCH(B119,$B$88:$B$101,0))</f>
        <v>1.36111111111111</v>
      </c>
    </row>
    <row r="121" customFormat="false" ht="17.25" hidden="false" customHeight="true" outlineLevel="0" collapsed="false">
      <c r="B121" s="107" t="s">
        <v>13256</v>
      </c>
      <c r="C121" s="107"/>
      <c r="D121" s="107"/>
      <c r="E121" s="107"/>
      <c r="F121" s="107"/>
    </row>
    <row r="122" customFormat="false" ht="16.5" hidden="false" customHeight="true" outlineLevel="0" collapsed="false">
      <c r="B122" s="152" t="s">
        <v>6690</v>
      </c>
      <c r="C122" s="152" t="s">
        <v>6654</v>
      </c>
      <c r="D122" s="152" t="s">
        <v>6575</v>
      </c>
      <c r="E122" s="152" t="s">
        <v>6796</v>
      </c>
    </row>
    <row r="123" customFormat="false" ht="16.5" hidden="false" customHeight="true" outlineLevel="0" collapsed="false">
      <c r="B123" s="15" t="s">
        <v>13257</v>
      </c>
      <c r="C123" s="161" t="n">
        <f aca="false">COUNTA(B88:B101)</f>
        <v>14</v>
      </c>
      <c r="D123" s="15" t="s">
        <v>13258</v>
      </c>
      <c r="E123" s="15"/>
    </row>
    <row r="124" customFormat="false" ht="30.75" hidden="false" customHeight="true" outlineLevel="0" collapsed="false">
      <c r="B124" s="15" t="s">
        <v>13259</v>
      </c>
      <c r="C124" s="161" t="n">
        <f aca="false">COUNTA(B107:B119)</f>
        <v>13</v>
      </c>
      <c r="D124" s="15" t="s">
        <v>13258</v>
      </c>
      <c r="E124" s="15" t="s">
        <v>13260</v>
      </c>
    </row>
    <row r="125" customFormat="false" ht="16.5" hidden="false" customHeight="true" outlineLevel="0" collapsed="false">
      <c r="B125" s="15" t="s">
        <v>13261</v>
      </c>
      <c r="C125" s="158" t="n">
        <f aca="false">SUM(G88:G101)</f>
        <v>138.333333333333</v>
      </c>
      <c r="D125" s="15" t="s">
        <v>6801</v>
      </c>
      <c r="E125" s="15" t="s">
        <v>13262</v>
      </c>
    </row>
    <row r="126" customFormat="false" ht="30.75" hidden="false" customHeight="true" outlineLevel="0" collapsed="false">
      <c r="B126" s="15" t="s">
        <v>13263</v>
      </c>
      <c r="C126" s="158" t="n">
        <f aca="false">SUM(C107:C119)</f>
        <v>121.666666666667</v>
      </c>
      <c r="D126" s="15" t="s">
        <v>6801</v>
      </c>
      <c r="E126" s="15" t="s">
        <v>13264</v>
      </c>
    </row>
    <row r="127" customFormat="false" ht="30.75" hidden="false" customHeight="true" outlineLevel="0" collapsed="false">
      <c r="B127" s="15" t="s">
        <v>13265</v>
      </c>
      <c r="C127" s="174" t="n">
        <f aca="false">SUM(F107:F119)</f>
        <v>34.3888888888889</v>
      </c>
      <c r="D127" s="15" t="s">
        <v>13266</v>
      </c>
      <c r="E127" s="15" t="s">
        <v>13267</v>
      </c>
    </row>
    <row r="128" customFormat="false" ht="16.5" hidden="false" customHeight="true" outlineLevel="0" collapsed="false">
      <c r="B128" s="15" t="s">
        <v>13268</v>
      </c>
      <c r="C128" s="174" t="n">
        <f aca="false">SQRT(C127)</f>
        <v>5.86420402858639</v>
      </c>
      <c r="D128" s="15" t="s">
        <v>6801</v>
      </c>
      <c r="E128" s="15" t="s">
        <v>13269</v>
      </c>
    </row>
    <row r="129" customFormat="false" ht="30.75" hidden="false" customHeight="true" outlineLevel="0" collapsed="false">
      <c r="B129" s="15" t="s">
        <v>13270</v>
      </c>
      <c r="C129" s="203" t="n">
        <f aca="false">$C$82+C126</f>
        <v>46358.6666666667</v>
      </c>
      <c r="D129" s="15"/>
      <c r="E129" s="15" t="s">
        <v>13271</v>
      </c>
    </row>
    <row r="130" customFormat="false" ht="16.5" hidden="false" customHeight="true" outlineLevel="0" collapsed="false">
      <c r="B130" s="15" t="s">
        <v>13272</v>
      </c>
      <c r="C130" s="180" t="n">
        <v>46374</v>
      </c>
      <c r="D130" s="15"/>
      <c r="E130" s="15" t="s">
        <v>13273</v>
      </c>
    </row>
    <row r="131" customFormat="false" ht="30.75" hidden="false" customHeight="true" outlineLevel="0" collapsed="false">
      <c r="B131" s="15" t="s">
        <v>13274</v>
      </c>
      <c r="C131" s="158" t="n">
        <f aca="false">C130-C129</f>
        <v>15.3333333333333</v>
      </c>
      <c r="D131" s="15" t="s">
        <v>6801</v>
      </c>
      <c r="E131" s="15" t="s">
        <v>13275</v>
      </c>
    </row>
    <row r="132" customFormat="false" ht="30.75" hidden="false" customHeight="true" outlineLevel="0" collapsed="false">
      <c r="B132" s="15" t="s">
        <v>13276</v>
      </c>
      <c r="C132" s="174" t="n">
        <f aca="false">IFERROR((C130-$C$82-C126)/C128,0)</f>
        <v>2.61473394489474</v>
      </c>
      <c r="D132" s="15"/>
      <c r="E132" s="15" t="s">
        <v>13277</v>
      </c>
    </row>
    <row r="133" customFormat="false" ht="30.75" hidden="false" customHeight="true" outlineLevel="0" collapsed="false">
      <c r="B133" s="15" t="s">
        <v>13278</v>
      </c>
      <c r="C133" s="160" t="n">
        <f aca="false">NORMSDIST(C132)</f>
        <v>0.995535150815225</v>
      </c>
      <c r="D133" s="15"/>
      <c r="E133" s="15" t="s">
        <v>13279</v>
      </c>
    </row>
    <row r="134" customFormat="false" ht="16.5" hidden="false" customHeight="true" outlineLevel="0" collapsed="false">
      <c r="B134" s="15" t="s">
        <v>13280</v>
      </c>
      <c r="C134" s="158" t="n">
        <f aca="false">C126+NORMSINV(0.9)*C128</f>
        <v>129.181946520175</v>
      </c>
      <c r="D134" s="15" t="s">
        <v>6801</v>
      </c>
      <c r="E134" s="15" t="s">
        <v>13281</v>
      </c>
    </row>
    <row r="135" customFormat="false" ht="16.5" hidden="false" customHeight="true" outlineLevel="0" collapsed="false">
      <c r="B135" s="15" t="s">
        <v>13282</v>
      </c>
      <c r="C135" s="203" t="n">
        <f aca="false">$C$82+C134</f>
        <v>46366.1819465202</v>
      </c>
      <c r="D135" s="15"/>
      <c r="E135" s="15"/>
    </row>
    <row r="137" customFormat="false" ht="17.25" hidden="false" customHeight="true" outlineLevel="0" collapsed="false">
      <c r="B137" s="107" t="s">
        <v>13283</v>
      </c>
      <c r="C137" s="107"/>
      <c r="D137" s="107"/>
      <c r="E137" s="107"/>
      <c r="F137" s="107"/>
    </row>
    <row r="138" customFormat="false" ht="30.75" hidden="false" customHeight="true" outlineLevel="0" collapsed="false">
      <c r="B138" s="152" t="s">
        <v>7723</v>
      </c>
      <c r="C138" s="152" t="s">
        <v>13284</v>
      </c>
      <c r="D138" s="152" t="s">
        <v>13285</v>
      </c>
      <c r="E138" s="152" t="s">
        <v>13286</v>
      </c>
      <c r="F138" s="152" t="s">
        <v>10006</v>
      </c>
      <c r="G138" s="152" t="s">
        <v>13287</v>
      </c>
      <c r="H138" s="152"/>
    </row>
    <row r="139" customFormat="false" ht="30.75" hidden="false" customHeight="true" outlineLevel="0" collapsed="false">
      <c r="B139" s="15" t="s">
        <v>13288</v>
      </c>
      <c r="C139" s="158" t="n">
        <f aca="false">0</f>
        <v>0</v>
      </c>
      <c r="D139" s="158" t="n">
        <f aca="false">INDEX($G$88:$G$101,MATCH(LEFT(B139,1),$B$88:$B$101,0))</f>
        <v>5.33333333333333</v>
      </c>
      <c r="E139" s="158" t="n">
        <f aca="false">C139+D139</f>
        <v>5.33333333333333</v>
      </c>
      <c r="F139" s="203" t="n">
        <f aca="false">$C$82+C139</f>
        <v>46237</v>
      </c>
      <c r="G139" s="203" t="n">
        <f aca="false">$C$82+E139</f>
        <v>46242.3333333333</v>
      </c>
      <c r="H139" s="203"/>
    </row>
    <row r="140" customFormat="false" ht="30.75" hidden="false" customHeight="true" outlineLevel="0" collapsed="false">
      <c r="B140" s="15" t="s">
        <v>13289</v>
      </c>
      <c r="C140" s="158" t="n">
        <f aca="false">C139+D139</f>
        <v>5.33333333333333</v>
      </c>
      <c r="D140" s="158" t="n">
        <f aca="false">INDEX($G$88:$G$101,MATCH(LEFT(B140,1),$B$88:$B$101,0))</f>
        <v>10.5</v>
      </c>
      <c r="E140" s="158" t="n">
        <f aca="false">C140+D140</f>
        <v>15.8333333333333</v>
      </c>
      <c r="F140" s="203" t="n">
        <f aca="false">$C$82+C140</f>
        <v>46242.3333333333</v>
      </c>
      <c r="G140" s="203" t="n">
        <f aca="false">$C$82+E140</f>
        <v>46252.8333333333</v>
      </c>
      <c r="H140" s="203"/>
    </row>
    <row r="141" customFormat="false" ht="30.75" hidden="false" customHeight="true" outlineLevel="0" collapsed="false">
      <c r="B141" s="15" t="s">
        <v>13290</v>
      </c>
      <c r="C141" s="158" t="n">
        <f aca="false">C140+D140</f>
        <v>15.8333333333333</v>
      </c>
      <c r="D141" s="158" t="n">
        <f aca="false">INDEX($G$88:$G$101,MATCH(LEFT(B141,1),$B$88:$B$101,0))</f>
        <v>20.8333333333333</v>
      </c>
      <c r="E141" s="158" t="n">
        <f aca="false">C141+D141</f>
        <v>36.6666666666667</v>
      </c>
      <c r="F141" s="203" t="n">
        <f aca="false">$C$82+C141</f>
        <v>46252.8333333333</v>
      </c>
      <c r="G141" s="203" t="n">
        <f aca="false">$C$82+E141</f>
        <v>46273.6666666667</v>
      </c>
      <c r="H141" s="203"/>
    </row>
    <row r="142" customFormat="false" ht="30.75" hidden="false" customHeight="true" outlineLevel="0" collapsed="false">
      <c r="B142" s="15" t="s">
        <v>13291</v>
      </c>
      <c r="C142" s="158" t="n">
        <f aca="false">C141+D141</f>
        <v>36.6666666666667</v>
      </c>
      <c r="D142" s="158" t="n">
        <f aca="false">INDEX($G$88:$G$101,MATCH(LEFT(B142,1),$B$88:$B$101,0))</f>
        <v>3.33333333333333</v>
      </c>
      <c r="E142" s="158" t="n">
        <f aca="false">C142+D142</f>
        <v>40</v>
      </c>
      <c r="F142" s="203" t="n">
        <f aca="false">$C$82+C142</f>
        <v>46273.6666666667</v>
      </c>
      <c r="G142" s="203" t="n">
        <f aca="false">$C$82+E142</f>
        <v>46277</v>
      </c>
      <c r="H142" s="203"/>
    </row>
    <row r="143" customFormat="false" ht="30.75" hidden="false" customHeight="true" outlineLevel="0" collapsed="false">
      <c r="B143" s="15" t="s">
        <v>13292</v>
      </c>
      <c r="C143" s="158" t="n">
        <f aca="false">C142+D142</f>
        <v>40</v>
      </c>
      <c r="D143" s="158" t="n">
        <f aca="false">INDEX($G$88:$G$101,MATCH(LEFT(B143,1),$B$88:$B$101,0))</f>
        <v>12.6666666666667</v>
      </c>
      <c r="E143" s="158" t="n">
        <f aca="false">C143+D143</f>
        <v>52.6666666666667</v>
      </c>
      <c r="F143" s="203" t="n">
        <f aca="false">$C$82+C143</f>
        <v>46277</v>
      </c>
      <c r="G143" s="203" t="n">
        <f aca="false">$C$82+E143</f>
        <v>46289.6666666667</v>
      </c>
      <c r="H143" s="203"/>
    </row>
    <row r="144" customFormat="false" ht="30.75" hidden="false" customHeight="true" outlineLevel="0" collapsed="false">
      <c r="B144" s="15" t="s">
        <v>13293</v>
      </c>
      <c r="C144" s="158" t="n">
        <f aca="false">C143+D143</f>
        <v>52.6666666666667</v>
      </c>
      <c r="D144" s="158" t="n">
        <f aca="false">INDEX($G$88:$G$101,MATCH(LEFT(B144,1),$B$88:$B$101,0))</f>
        <v>10.3333333333333</v>
      </c>
      <c r="E144" s="158" t="n">
        <f aca="false">C144+D144</f>
        <v>63</v>
      </c>
      <c r="F144" s="203" t="n">
        <f aca="false">$C$82+C144</f>
        <v>46289.6666666667</v>
      </c>
      <c r="G144" s="203" t="n">
        <f aca="false">$C$82+E144</f>
        <v>46300</v>
      </c>
      <c r="H144" s="203"/>
    </row>
    <row r="145" customFormat="false" ht="30.75" hidden="false" customHeight="true" outlineLevel="0" collapsed="false">
      <c r="B145" s="15" t="s">
        <v>13294</v>
      </c>
      <c r="C145" s="158" t="n">
        <f aca="false">C144+D144</f>
        <v>63</v>
      </c>
      <c r="D145" s="158" t="n">
        <f aca="false">INDEX($G$88:$G$101,MATCH(LEFT(B145,1),$B$88:$B$101,0))</f>
        <v>2</v>
      </c>
      <c r="E145" s="158" t="n">
        <f aca="false">C145+D145</f>
        <v>65</v>
      </c>
      <c r="F145" s="203" t="n">
        <f aca="false">$C$82+C145</f>
        <v>46300</v>
      </c>
      <c r="G145" s="203" t="n">
        <f aca="false">$C$82+E145</f>
        <v>46302</v>
      </c>
      <c r="H145" s="203"/>
    </row>
    <row r="146" customFormat="false" ht="30.75" hidden="false" customHeight="true" outlineLevel="0" collapsed="false">
      <c r="B146" s="15" t="s">
        <v>13295</v>
      </c>
      <c r="C146" s="158" t="n">
        <f aca="false">C145+D145</f>
        <v>65</v>
      </c>
      <c r="D146" s="158" t="n">
        <f aca="false">INDEX($G$88:$G$101,MATCH(LEFT(B146,1),$B$88:$B$101,0))</f>
        <v>3.16666666666667</v>
      </c>
      <c r="E146" s="158" t="n">
        <f aca="false">C146+D146</f>
        <v>68.1666666666667</v>
      </c>
      <c r="F146" s="203" t="n">
        <f aca="false">$C$82+C146</f>
        <v>46302</v>
      </c>
      <c r="G146" s="203" t="n">
        <f aca="false">$C$82+E146</f>
        <v>46305.1666666667</v>
      </c>
      <c r="H146" s="203"/>
    </row>
    <row r="147" customFormat="false" ht="30.75" hidden="false" customHeight="true" outlineLevel="0" collapsed="false">
      <c r="B147" s="15" t="s">
        <v>13296</v>
      </c>
      <c r="C147" s="158" t="n">
        <f aca="false">C146+D146</f>
        <v>68.1666666666667</v>
      </c>
      <c r="D147" s="158" t="n">
        <f aca="false">INDEX($G$88:$G$101,MATCH(LEFT(B147,1),$B$88:$B$101,0))</f>
        <v>28.6666666666667</v>
      </c>
      <c r="E147" s="158" t="n">
        <f aca="false">C147+D147</f>
        <v>96.8333333333333</v>
      </c>
      <c r="F147" s="203" t="n">
        <f aca="false">$C$82+C147</f>
        <v>46305.1666666667</v>
      </c>
      <c r="G147" s="203" t="n">
        <f aca="false">$C$82+E147</f>
        <v>46333.8333333333</v>
      </c>
      <c r="H147" s="203"/>
    </row>
    <row r="148" customFormat="false" ht="30.75" hidden="false" customHeight="true" outlineLevel="0" collapsed="false">
      <c r="B148" s="15" t="s">
        <v>13297</v>
      </c>
      <c r="C148" s="158" t="n">
        <f aca="false">C147+D147</f>
        <v>96.8333333333333</v>
      </c>
      <c r="D148" s="158" t="n">
        <f aca="false">INDEX($G$88:$G$101,MATCH(LEFT(B148,1),$B$88:$B$101,0))</f>
        <v>5.16666666666667</v>
      </c>
      <c r="E148" s="158" t="n">
        <f aca="false">C148+D148</f>
        <v>102</v>
      </c>
      <c r="F148" s="203" t="n">
        <f aca="false">$C$82+C148</f>
        <v>46333.8333333333</v>
      </c>
      <c r="G148" s="203" t="n">
        <f aca="false">$C$82+E148</f>
        <v>46339</v>
      </c>
      <c r="H148" s="203"/>
    </row>
    <row r="149" customFormat="false" ht="30.75" hidden="false" customHeight="true" outlineLevel="0" collapsed="false">
      <c r="B149" s="15" t="s">
        <v>13298</v>
      </c>
      <c r="C149" s="158" t="n">
        <f aca="false">C148+D148</f>
        <v>102</v>
      </c>
      <c r="D149" s="158" t="n">
        <f aca="false">INDEX($G$88:$G$101,MATCH(LEFT(B149,1),$B$88:$B$101,0))</f>
        <v>6.33333333333333</v>
      </c>
      <c r="E149" s="158" t="n">
        <f aca="false">C149+D149</f>
        <v>108.333333333333</v>
      </c>
      <c r="F149" s="203" t="n">
        <f aca="false">$C$82+C149</f>
        <v>46339</v>
      </c>
      <c r="G149" s="203" t="n">
        <f aca="false">$C$82+E149</f>
        <v>46345.3333333333</v>
      </c>
      <c r="H149" s="203"/>
    </row>
    <row r="150" customFormat="false" ht="30.75" hidden="false" customHeight="true" outlineLevel="0" collapsed="false">
      <c r="B150" s="15" t="s">
        <v>13299</v>
      </c>
      <c r="C150" s="158" t="n">
        <f aca="false">C149+D149</f>
        <v>108.333333333333</v>
      </c>
      <c r="D150" s="158" t="n">
        <f aca="false">INDEX($G$88:$G$101,MATCH(LEFT(B150,1),$B$88:$B$101,0))</f>
        <v>5.16666666666667</v>
      </c>
      <c r="E150" s="158" t="n">
        <f aca="false">C150+D150</f>
        <v>113.5</v>
      </c>
      <c r="F150" s="203" t="n">
        <f aca="false">$C$82+C150</f>
        <v>46345.3333333333</v>
      </c>
      <c r="G150" s="203" t="n">
        <f aca="false">$C$82+E150</f>
        <v>46350.5</v>
      </c>
      <c r="H150" s="203"/>
    </row>
    <row r="151" customFormat="false" ht="30.75" hidden="false" customHeight="true" outlineLevel="0" collapsed="false">
      <c r="B151" s="15" t="s">
        <v>13300</v>
      </c>
      <c r="C151" s="158" t="n">
        <f aca="false">C150+D150</f>
        <v>113.5</v>
      </c>
      <c r="D151" s="158" t="n">
        <f aca="false">INDEX($G$88:$G$101,MATCH(LEFT(B151,1),$B$88:$B$101,0))</f>
        <v>8.16666666666667</v>
      </c>
      <c r="E151" s="158" t="n">
        <f aca="false">C151+D151</f>
        <v>121.666666666667</v>
      </c>
      <c r="F151" s="203" t="n">
        <f aca="false">$C$82+C151</f>
        <v>46350.5</v>
      </c>
      <c r="G151" s="203" t="n">
        <f aca="false">$C$82+E151</f>
        <v>46358.6666666667</v>
      </c>
      <c r="H151" s="203"/>
    </row>
    <row r="152" customFormat="false" ht="63.75" hidden="false" customHeight="true" outlineLevel="0" collapsed="false">
      <c r="B152" s="182" t="s">
        <v>13301</v>
      </c>
      <c r="C152" s="182"/>
      <c r="D152" s="182"/>
      <c r="E152" s="182"/>
      <c r="F152" s="182"/>
    </row>
    <row r="154" customFormat="false" ht="18" hidden="false" customHeight="true" outlineLevel="0" collapsed="false">
      <c r="B154" s="103" t="s">
        <v>1493</v>
      </c>
      <c r="C154" s="8"/>
      <c r="D154" s="8"/>
      <c r="E154" s="8"/>
      <c r="F154" s="8"/>
      <c r="G154" s="8"/>
      <c r="H154" s="8"/>
      <c r="I154" s="8"/>
      <c r="J154" s="8"/>
      <c r="K154" s="8"/>
    </row>
    <row r="155" customFormat="false" ht="81" hidden="false" customHeight="true" outlineLevel="0" collapsed="false">
      <c r="B155" s="105" t="s">
        <v>1494</v>
      </c>
      <c r="C155" s="168" t="str">
        <f aca="false">"The critical path runs through "&amp;TEXT(C124,"0")&amp;" of "&amp;TEXT(C123,"0")&amp;" tasks and takes "&amp;TEXT(C126,"0.0")&amp;" days, giving a planned finish of "&amp;TEXT(C129,"yyyy-mm-dd")&amp;" against a charter target of "&amp;TEXT(C130,"yyyy-mm-dd")&amp;" ("&amp;TEXT(C131,"0.0")&amp;" days of float). "&amp;"The probability of hitting the target date is "&amp;TEXT(C133,"0.0%")&amp;", and the date you could promise with 90% confidence is "&amp;TEXT(C135,"yyyy-mm-dd")&amp;". "&amp;IF(C131&lt;0,"The charter date is NOT achievable on this network — either shorten the critical path or renegotiate the date now, at the Define tollgate, rather than in December.",IF(C133&lt;0.5,"Less than an even chance of hitting the target: the float exists but the variance on the critical path eats it. Compress the longest critical tasks or move the date.","The target date is achievable with reasonable confidence. Protect the critical path — only tasks on it affect the finish date."))</f>
        <v>The critical path runs through 13 of 14 tasks and takes 121.7 days, giving a planned finish of 2026-12-02 against a charter target of 2026-12-18 (15.3 days of float). The probability of hitting the target date is 99.6%, and the date you could promise with 90% confidence is 2026-12-10. The target date is achievable with reasonable confidence. Protect the critical path — only tasks on it affect the finish date.</v>
      </c>
      <c r="D155" s="168"/>
      <c r="E155" s="168"/>
      <c r="F155" s="168"/>
    </row>
    <row r="157" customFormat="false" ht="23.25" hidden="false" customHeight="true" outlineLevel="0" collapsed="false">
      <c r="B157" s="152" t="s">
        <v>1495</v>
      </c>
      <c r="C157" s="152" t="s">
        <v>1496</v>
      </c>
      <c r="D157" s="152" t="s">
        <v>1497</v>
      </c>
      <c r="E157" s="152"/>
      <c r="F157" s="152"/>
    </row>
    <row r="158" customFormat="false" ht="17.25" hidden="false" customHeight="true" outlineLevel="0" collapsed="false">
      <c r="B158" s="15" t="s">
        <v>13302</v>
      </c>
      <c r="C158" s="15" t="s">
        <v>13303</v>
      </c>
      <c r="D158" s="15" t="s">
        <v>13304</v>
      </c>
      <c r="E158" s="15"/>
      <c r="F158" s="15"/>
    </row>
    <row r="159" customFormat="false" ht="17.25" hidden="false" customHeight="true" outlineLevel="0" collapsed="false">
      <c r="B159" s="15" t="s">
        <v>13305</v>
      </c>
      <c r="C159" s="15" t="s">
        <v>13306</v>
      </c>
      <c r="D159" s="15" t="s">
        <v>13307</v>
      </c>
      <c r="E159" s="15"/>
      <c r="F159" s="15"/>
    </row>
    <row r="160" customFormat="false" ht="17.25" hidden="false" customHeight="true" outlineLevel="0" collapsed="false">
      <c r="B160" s="15" t="s">
        <v>13308</v>
      </c>
      <c r="C160" s="15" t="s">
        <v>13309</v>
      </c>
      <c r="D160" s="15" t="s">
        <v>13310</v>
      </c>
      <c r="E160" s="15"/>
      <c r="F160" s="15"/>
    </row>
    <row r="161" customFormat="false" ht="17.25" hidden="false" customHeight="true" outlineLevel="0" collapsed="false">
      <c r="B161" s="15" t="s">
        <v>13311</v>
      </c>
      <c r="C161" s="15" t="s">
        <v>13312</v>
      </c>
      <c r="D161" s="15" t="s">
        <v>13313</v>
      </c>
      <c r="E161" s="15"/>
      <c r="F161" s="15"/>
    </row>
    <row r="162" customFormat="false" ht="17.25" hidden="false" customHeight="true" outlineLevel="0" collapsed="false">
      <c r="B162" s="15" t="s">
        <v>13314</v>
      </c>
      <c r="C162" s="15" t="s">
        <v>13315</v>
      </c>
      <c r="D162" s="15" t="s">
        <v>13316</v>
      </c>
      <c r="E162" s="15"/>
      <c r="F162" s="15"/>
    </row>
    <row r="164" customFormat="false" ht="15" hidden="false" customHeight="true" outlineLevel="0" collapsed="false">
      <c r="B164" s="105" t="s">
        <v>1507</v>
      </c>
    </row>
    <row r="165" customFormat="false" ht="17.25" hidden="false" customHeight="true" outlineLevel="0" collapsed="false">
      <c r="B165" s="106" t="s">
        <v>13317</v>
      </c>
      <c r="C165" s="106"/>
      <c r="D165" s="106"/>
      <c r="E165" s="106"/>
      <c r="F165" s="106"/>
    </row>
    <row r="166" customFormat="false" ht="17.25" hidden="false" customHeight="true" outlineLevel="0" collapsed="false">
      <c r="B166" s="106" t="s">
        <v>13318</v>
      </c>
      <c r="C166" s="106"/>
      <c r="D166" s="106"/>
      <c r="E166" s="106"/>
      <c r="F166" s="106"/>
    </row>
    <row r="167" customFormat="false" ht="17.25" hidden="false" customHeight="true" outlineLevel="0" collapsed="false">
      <c r="B167" s="106" t="s">
        <v>13319</v>
      </c>
      <c r="C167" s="106"/>
      <c r="D167" s="106"/>
      <c r="E167" s="106"/>
      <c r="F167" s="106"/>
    </row>
    <row r="168" customFormat="false" ht="17.25" hidden="false" customHeight="true" outlineLevel="0" collapsed="false">
      <c r="B168" s="106" t="s">
        <v>13320</v>
      </c>
      <c r="C168" s="106"/>
      <c r="D168" s="106"/>
      <c r="E168" s="106"/>
      <c r="F168" s="106"/>
    </row>
    <row r="169" customFormat="false" ht="17.25" hidden="false" customHeight="true" outlineLevel="0" collapsed="false">
      <c r="B169" s="106" t="s">
        <v>13321</v>
      </c>
      <c r="C169" s="106"/>
      <c r="D169" s="106"/>
      <c r="E169" s="106"/>
      <c r="F169" s="106"/>
    </row>
    <row r="171" customFormat="false" ht="15.75" hidden="false" customHeight="true" outlineLevel="0" collapsed="false">
      <c r="B171" s="103" t="s">
        <v>1513</v>
      </c>
      <c r="C171" s="8"/>
      <c r="D171" s="8"/>
      <c r="E171" s="8"/>
      <c r="F171" s="8"/>
      <c r="G171" s="8"/>
      <c r="H171" s="8"/>
      <c r="I171" s="8"/>
      <c r="J171" s="8"/>
      <c r="K171" s="8"/>
    </row>
    <row r="172" customFormat="false" ht="17.25" hidden="false" customHeight="true" outlineLevel="0" collapsed="false">
      <c r="B172" s="106" t="s">
        <v>6712</v>
      </c>
      <c r="C172" s="106"/>
      <c r="D172" s="106"/>
      <c r="E172" s="106"/>
      <c r="N172" s="169" t="s">
        <v>1515</v>
      </c>
    </row>
    <row r="173" customFormat="false" ht="44.25" hidden="false" customHeight="true" outlineLevel="0" collapsed="false">
      <c r="B173" s="106" t="s">
        <v>13322</v>
      </c>
      <c r="C173" s="106"/>
      <c r="D173" s="106"/>
      <c r="E173" s="106"/>
      <c r="N173" s="120" t="s">
        <v>13323</v>
      </c>
    </row>
    <row r="174" customFormat="false" ht="44.25" hidden="false" customHeight="true" outlineLevel="0" collapsed="false">
      <c r="B174" s="106" t="s">
        <v>13324</v>
      </c>
      <c r="C174" s="106"/>
      <c r="D174" s="106"/>
      <c r="E174" s="106"/>
      <c r="N174" s="120" t="s">
        <v>13325</v>
      </c>
    </row>
    <row r="175" customFormat="false" ht="44.25" hidden="false" customHeight="true" outlineLevel="0" collapsed="false">
      <c r="B175" s="106" t="s">
        <v>13326</v>
      </c>
      <c r="C175" s="106"/>
      <c r="D175" s="106"/>
      <c r="E175" s="106"/>
      <c r="N175" s="120" t="s">
        <v>13327</v>
      </c>
    </row>
    <row r="177" customFormat="false" ht="15.75" hidden="false" customHeight="true" outlineLevel="0" collapsed="false">
      <c r="B177" s="103" t="s">
        <v>1522</v>
      </c>
      <c r="C177" s="8"/>
      <c r="D177" s="8"/>
      <c r="E177" s="8"/>
      <c r="F177" s="8"/>
      <c r="G177" s="8"/>
      <c r="H177" s="8"/>
      <c r="I177" s="8"/>
      <c r="J177" s="8"/>
      <c r="K177" s="8"/>
    </row>
    <row r="178" customFormat="false" ht="17.25" hidden="false" customHeight="true" outlineLevel="0" collapsed="false">
      <c r="B178" s="152" t="s">
        <v>1523</v>
      </c>
      <c r="C178" s="152" t="s">
        <v>1524</v>
      </c>
      <c r="D178" s="152" t="s">
        <v>6719</v>
      </c>
      <c r="E178" s="152"/>
    </row>
    <row r="179" customFormat="false" ht="17.25" hidden="false" customHeight="true" outlineLevel="0" collapsed="false">
      <c r="B179" s="170" t="s">
        <v>8664</v>
      </c>
      <c r="C179" s="170" t="s">
        <v>6866</v>
      </c>
      <c r="D179" s="171" t="s">
        <v>1262</v>
      </c>
      <c r="E179" s="171"/>
    </row>
  </sheetData>
  <mergeCells count="78">
    <mergeCell ref="B2:J2"/>
    <mergeCell ref="D3:F3"/>
    <mergeCell ref="C6:D6"/>
    <mergeCell ref="C7:D7"/>
    <mergeCell ref="C8:D8"/>
    <mergeCell ref="B11:F14"/>
    <mergeCell ref="B15:F17"/>
    <mergeCell ref="B18:F21"/>
    <mergeCell ref="B22:F25"/>
    <mergeCell ref="B26:F27"/>
    <mergeCell ref="B28:F29"/>
    <mergeCell ref="B32:C32"/>
    <mergeCell ref="E32:F32"/>
    <mergeCell ref="B33:C33"/>
    <mergeCell ref="E33:F33"/>
    <mergeCell ref="B34:C34"/>
    <mergeCell ref="E34:F34"/>
    <mergeCell ref="B35:C35"/>
    <mergeCell ref="E35:F35"/>
    <mergeCell ref="B36:F36"/>
    <mergeCell ref="B46:F46"/>
    <mergeCell ref="B47:F47"/>
    <mergeCell ref="B50:F53"/>
    <mergeCell ref="B55:F55"/>
    <mergeCell ref="B56:F57"/>
    <mergeCell ref="B59:F59"/>
    <mergeCell ref="B60:F60"/>
    <mergeCell ref="B62:F62"/>
    <mergeCell ref="D65:F65"/>
    <mergeCell ref="D66:F66"/>
    <mergeCell ref="D67:F67"/>
    <mergeCell ref="D68:F68"/>
    <mergeCell ref="D69:F69"/>
    <mergeCell ref="D70:F70"/>
    <mergeCell ref="D71:F71"/>
    <mergeCell ref="D72:F72"/>
    <mergeCell ref="B75:F77"/>
    <mergeCell ref="D81:E81"/>
    <mergeCell ref="D82:E82"/>
    <mergeCell ref="B84:F84"/>
    <mergeCell ref="B85:F85"/>
    <mergeCell ref="B103:F103"/>
    <mergeCell ref="B105:F105"/>
    <mergeCell ref="B121:F121"/>
    <mergeCell ref="B137:F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B152:F152"/>
    <mergeCell ref="C155:F155"/>
    <mergeCell ref="D157:F157"/>
    <mergeCell ref="D158:F158"/>
    <mergeCell ref="D159:F159"/>
    <mergeCell ref="D160:F160"/>
    <mergeCell ref="D161:F161"/>
    <mergeCell ref="D162:F162"/>
    <mergeCell ref="B165:F165"/>
    <mergeCell ref="B166:F166"/>
    <mergeCell ref="B167:F167"/>
    <mergeCell ref="B168:F168"/>
    <mergeCell ref="B169:F169"/>
    <mergeCell ref="B172:E172"/>
    <mergeCell ref="B173:E173"/>
    <mergeCell ref="B174:E174"/>
    <mergeCell ref="B175:E175"/>
    <mergeCell ref="D178:E178"/>
    <mergeCell ref="D179:E179"/>
  </mergeCells>
  <hyperlinks>
    <hyperlink ref="B3" location="'N-03 Index DMAIC'!A1" display="← Back to Index"/>
    <hyperlink ref="E39" location="'L-04 Process Mapping'!A1" display="L-04  Process Mapping"/>
    <hyperlink ref="E40" location="'G-04 RACI Matrix'!A1" display="G-04  RACI Matrix"/>
    <hyperlink ref="E41" location="'G-07 Risk Register'!A1" display="G-07  Risk Register"/>
    <hyperlink ref="E42" location="'L-09 Theory of Constraints'!A1" display="L-09  Theory of Constraints"/>
    <hyperlink ref="B179" location="'G-07 Risk Register'!A1" display="G-07  Risk Register"/>
    <hyperlink ref="C179" location="'L-09 Theory of Constraints'!A1" display="L-09  Theory of Constraints"/>
    <hyperlink ref="D179" location="'G-04 RACI Matrix'!A1" display="G-04  RACI Matri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N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0"/>
    <col collapsed="false" customWidth="true" hidden="false" outlineLevel="0" max="4" min="4" style="1" width="18"/>
    <col collapsed="false" customWidth="true" hidden="false" outlineLevel="0" max="5" min="5" style="1" width="44"/>
    <col collapsed="false" customWidth="true" hidden="false" outlineLevel="0" max="6" min="6" style="1" width="18"/>
    <col collapsed="false" customWidth="true" hidden="false" outlineLevel="0" max="7" min="7" style="1" width="15"/>
    <col collapsed="false" customWidth="true" hidden="false" outlineLevel="0" max="8" min="8" style="1" width="44"/>
    <col collapsed="false" customWidth="true" hidden="false" outlineLevel="0" max="10" min="9" style="1" width="18"/>
    <col collapsed="false" customWidth="true" hidden="false" outlineLevel="0" max="11" min="11" style="1" width="34"/>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13328</v>
      </c>
      <c r="C2" s="148"/>
      <c r="D2" s="148"/>
      <c r="E2" s="148"/>
      <c r="F2" s="148"/>
      <c r="G2" s="148"/>
      <c r="H2" s="148"/>
      <c r="I2" s="148"/>
      <c r="J2" s="148"/>
      <c r="K2" s="189" t="s">
        <v>5631</v>
      </c>
    </row>
    <row r="3" customFormat="false" ht="54.75" hidden="false" customHeight="true" outlineLevel="0" collapsed="false">
      <c r="B3" s="150" t="s">
        <v>3</v>
      </c>
      <c r="D3" s="151" t="s">
        <v>13329</v>
      </c>
      <c r="E3" s="151"/>
      <c r="F3" s="151"/>
    </row>
    <row r="5" customFormat="false" ht="15.75" hidden="false" customHeight="true" outlineLevel="0" collapsed="false">
      <c r="B5" s="103" t="s">
        <v>1391</v>
      </c>
      <c r="C5" s="8"/>
      <c r="D5" s="8"/>
      <c r="E5" s="8"/>
      <c r="F5" s="8"/>
      <c r="G5" s="8"/>
      <c r="H5" s="8"/>
      <c r="I5" s="8"/>
      <c r="J5" s="8"/>
      <c r="K5" s="8"/>
    </row>
    <row r="6" customFormat="false" ht="44.25" hidden="false" customHeight="true" outlineLevel="0" collapsed="false">
      <c r="B6" s="105" t="s">
        <v>1392</v>
      </c>
      <c r="C6" s="122" t="s">
        <v>13330</v>
      </c>
    </row>
    <row r="7" customFormat="false" ht="44.25" hidden="false" customHeight="true" outlineLevel="0" collapsed="false">
      <c r="B7" s="105" t="s">
        <v>1394</v>
      </c>
      <c r="C7" s="122" t="s">
        <v>13331</v>
      </c>
    </row>
    <row r="8" customFormat="false" ht="44.25" hidden="false" customHeight="true" outlineLevel="0" collapsed="false">
      <c r="B8" s="105" t="s">
        <v>1396</v>
      </c>
      <c r="C8" s="122" t="s">
        <v>13332</v>
      </c>
    </row>
    <row r="10" customFormat="false" ht="15.75" hidden="false" customHeight="true" outlineLevel="0" collapsed="false">
      <c r="B10" s="103" t="s">
        <v>1398</v>
      </c>
      <c r="C10" s="8"/>
      <c r="D10" s="8"/>
      <c r="E10" s="8"/>
      <c r="F10" s="8"/>
      <c r="G10" s="8"/>
      <c r="H10" s="8"/>
      <c r="I10" s="8"/>
      <c r="J10" s="8"/>
      <c r="K10" s="8"/>
    </row>
    <row r="11" customFormat="false" ht="10.5" hidden="false" customHeight="true" outlineLevel="0" collapsed="false">
      <c r="B11" s="106" t="s">
        <v>13333</v>
      </c>
      <c r="C11" s="106"/>
      <c r="D11" s="106"/>
      <c r="E11" s="106"/>
      <c r="F11" s="106"/>
    </row>
    <row r="12" customFormat="false" ht="10.5" hidden="false" customHeight="true" outlineLevel="0" collapsed="false">
      <c r="B12" s="106"/>
      <c r="C12" s="106"/>
      <c r="D12" s="106"/>
      <c r="E12" s="106"/>
      <c r="F12" s="106"/>
    </row>
    <row r="13" customFormat="false" ht="10.5" hidden="false" customHeight="true" outlineLevel="0" collapsed="false">
      <c r="B13" s="106"/>
      <c r="C13" s="106"/>
      <c r="D13" s="106"/>
      <c r="E13" s="106"/>
      <c r="F13" s="106"/>
    </row>
    <row r="14" customFormat="false" ht="11.25" hidden="false" customHeight="true" outlineLevel="0" collapsed="false">
      <c r="B14" s="106" t="s">
        <v>13334</v>
      </c>
      <c r="C14" s="106"/>
      <c r="D14" s="106"/>
      <c r="E14" s="106"/>
      <c r="F14" s="106"/>
    </row>
    <row r="15" customFormat="false" ht="11.25" hidden="false" customHeight="true" outlineLevel="0" collapsed="false">
      <c r="B15" s="106"/>
      <c r="C15" s="106"/>
      <c r="D15" s="106"/>
      <c r="E15" s="106"/>
      <c r="F15" s="106"/>
    </row>
    <row r="16" customFormat="false" ht="11.25" hidden="false" customHeight="true" outlineLevel="0" collapsed="false">
      <c r="B16" s="106"/>
      <c r="C16" s="106"/>
      <c r="D16" s="106"/>
      <c r="E16" s="106"/>
      <c r="F16" s="106"/>
    </row>
    <row r="17" customFormat="false" ht="11.25" hidden="false" customHeight="true" outlineLevel="0" collapsed="false">
      <c r="B17" s="106"/>
      <c r="C17" s="106"/>
      <c r="D17" s="106"/>
      <c r="E17" s="106"/>
      <c r="F17" s="106"/>
    </row>
    <row r="18" customFormat="false" ht="10.5" hidden="false" customHeight="true" outlineLevel="0" collapsed="false">
      <c r="B18" s="106" t="s">
        <v>13335</v>
      </c>
      <c r="C18" s="106"/>
      <c r="D18" s="106"/>
      <c r="E18" s="106"/>
      <c r="F18" s="106"/>
    </row>
    <row r="19" customFormat="false" ht="10.5" hidden="false" customHeight="true" outlineLevel="0" collapsed="false">
      <c r="B19" s="106"/>
      <c r="C19" s="106"/>
      <c r="D19" s="106"/>
      <c r="E19" s="106"/>
      <c r="F19" s="106"/>
    </row>
    <row r="20" customFormat="false" ht="10.5" hidden="false" customHeight="true" outlineLevel="0" collapsed="false">
      <c r="B20" s="106"/>
      <c r="C20" s="106"/>
      <c r="D20" s="106"/>
      <c r="E20" s="106"/>
      <c r="F20" s="106"/>
    </row>
    <row r="21" customFormat="false" ht="10.5" hidden="false" customHeight="true" outlineLevel="0" collapsed="false">
      <c r="B21" s="106" t="s">
        <v>13336</v>
      </c>
      <c r="C21" s="106"/>
      <c r="D21" s="106"/>
      <c r="E21" s="106"/>
      <c r="F21" s="106"/>
    </row>
    <row r="22" customFormat="false" ht="10.5" hidden="false" customHeight="true" outlineLevel="0" collapsed="false">
      <c r="B22" s="106"/>
      <c r="C22" s="106"/>
      <c r="D22" s="106"/>
      <c r="E22" s="106"/>
      <c r="F22" s="106"/>
    </row>
    <row r="23" customFormat="false" ht="10.5" hidden="false" customHeight="true" outlineLevel="0" collapsed="false">
      <c r="B23" s="106"/>
      <c r="C23" s="106"/>
      <c r="D23" s="106"/>
      <c r="E23" s="106"/>
      <c r="F23" s="106"/>
    </row>
    <row r="24" customFormat="false" ht="10.5" hidden="false" customHeight="true" outlineLevel="0" collapsed="false">
      <c r="B24" s="106" t="s">
        <v>13337</v>
      </c>
      <c r="C24" s="106"/>
      <c r="D24" s="106"/>
      <c r="E24" s="106"/>
      <c r="F24" s="106"/>
    </row>
    <row r="25" customFormat="false" ht="10.5" hidden="false" customHeight="true" outlineLevel="0" collapsed="false">
      <c r="B25" s="106"/>
      <c r="C25" s="106"/>
      <c r="D25" s="106"/>
      <c r="E25" s="106"/>
      <c r="F25" s="106"/>
    </row>
    <row r="26" customFormat="false" ht="10.5" hidden="false" customHeight="true" outlineLevel="0" collapsed="false">
      <c r="B26" s="106"/>
      <c r="C26" s="106"/>
      <c r="D26" s="106"/>
      <c r="E26" s="106"/>
      <c r="F26" s="106"/>
    </row>
    <row r="27" customFormat="false" ht="15.75" hidden="false" customHeight="true" outlineLevel="0" collapsed="false">
      <c r="B27" s="106" t="s">
        <v>13338</v>
      </c>
      <c r="C27" s="106"/>
      <c r="D27" s="106"/>
      <c r="E27" s="106"/>
      <c r="F27" s="106"/>
    </row>
    <row r="28" customFormat="false" ht="15.75" hidden="false" customHeight="true" outlineLevel="0" collapsed="false">
      <c r="B28" s="106"/>
      <c r="C28" s="106"/>
      <c r="D28" s="106"/>
      <c r="E28" s="106"/>
      <c r="F28" s="106"/>
    </row>
    <row r="30" customFormat="false" ht="15.75" hidden="false" customHeight="true" outlineLevel="0" collapsed="false">
      <c r="B30" s="103" t="s">
        <v>1406</v>
      </c>
      <c r="C30" s="8"/>
      <c r="D30" s="8"/>
      <c r="E30" s="8"/>
      <c r="F30" s="8"/>
      <c r="G30" s="8"/>
      <c r="H30" s="8"/>
      <c r="I30" s="8"/>
      <c r="J30" s="8"/>
      <c r="K30" s="8"/>
    </row>
    <row r="31" customFormat="false" ht="17.25" hidden="false" customHeight="true" outlineLevel="0" collapsed="false">
      <c r="B31" s="107" t="s">
        <v>1407</v>
      </c>
      <c r="C31" s="107"/>
      <c r="D31" s="107"/>
      <c r="E31" s="105" t="s">
        <v>1408</v>
      </c>
    </row>
    <row r="32" customFormat="false" ht="30.75" hidden="false" customHeight="true" outlineLevel="0" collapsed="false">
      <c r="B32" s="106" t="s">
        <v>13339</v>
      </c>
      <c r="C32" s="106"/>
      <c r="D32" s="106"/>
      <c r="E32" s="122" t="s">
        <v>13340</v>
      </c>
    </row>
    <row r="33" customFormat="false" ht="30.75" hidden="false" customHeight="true" outlineLevel="0" collapsed="false">
      <c r="B33" s="106" t="s">
        <v>13341</v>
      </c>
      <c r="C33" s="106"/>
      <c r="D33" s="106"/>
      <c r="E33" s="122" t="s">
        <v>13342</v>
      </c>
    </row>
    <row r="34" customFormat="false" ht="30.75" hidden="false" customHeight="true" outlineLevel="0" collapsed="false">
      <c r="B34" s="106" t="s">
        <v>13343</v>
      </c>
      <c r="C34" s="106"/>
      <c r="D34" s="106"/>
      <c r="E34" s="122" t="s">
        <v>13344</v>
      </c>
    </row>
    <row r="35" customFormat="false" ht="17.25" hidden="false" customHeight="true" outlineLevel="0" collapsed="false">
      <c r="B35" s="106" t="s">
        <v>13345</v>
      </c>
      <c r="C35" s="106"/>
      <c r="D35" s="106"/>
      <c r="E35" s="106"/>
      <c r="F35" s="106"/>
    </row>
    <row r="37" customFormat="false" ht="30.75" hidden="false" customHeight="true" outlineLevel="0" collapsed="false">
      <c r="B37" s="152" t="s">
        <v>6621</v>
      </c>
      <c r="C37" s="152" t="s">
        <v>1417</v>
      </c>
      <c r="D37" s="152" t="s">
        <v>1418</v>
      </c>
      <c r="E37" s="152" t="s">
        <v>1419</v>
      </c>
    </row>
    <row r="38" customFormat="false" ht="58.5" hidden="false" customHeight="true" outlineLevel="0" collapsed="false">
      <c r="B38" s="15" t="s">
        <v>13346</v>
      </c>
      <c r="C38" s="15" t="s">
        <v>13347</v>
      </c>
      <c r="D38" s="15" t="s">
        <v>13348</v>
      </c>
      <c r="E38" s="153" t="s">
        <v>9554</v>
      </c>
    </row>
    <row r="39" customFormat="false" ht="44.25" hidden="false" customHeight="true" outlineLevel="0" collapsed="false">
      <c r="B39" s="15" t="s">
        <v>13349</v>
      </c>
      <c r="C39" s="15" t="s">
        <v>13350</v>
      </c>
      <c r="D39" s="15" t="s">
        <v>13351</v>
      </c>
      <c r="E39" s="153" t="s">
        <v>6628</v>
      </c>
    </row>
    <row r="40" customFormat="false" ht="58.5" hidden="false" customHeight="true" outlineLevel="0" collapsed="false">
      <c r="B40" s="15" t="s">
        <v>13352</v>
      </c>
      <c r="C40" s="15" t="s">
        <v>13353</v>
      </c>
      <c r="D40" s="15" t="s">
        <v>13354</v>
      </c>
      <c r="E40" s="153" t="s">
        <v>6866</v>
      </c>
    </row>
    <row r="41" customFormat="false" ht="58.5" hidden="false" customHeight="true" outlineLevel="0" collapsed="false">
      <c r="B41" s="15" t="s">
        <v>13355</v>
      </c>
      <c r="C41" s="15" t="s">
        <v>13356</v>
      </c>
      <c r="D41" s="15" t="s">
        <v>13357</v>
      </c>
      <c r="E41" s="153" t="s">
        <v>8094</v>
      </c>
    </row>
    <row r="43" customFormat="false" ht="15.75" hidden="false" customHeight="true" outlineLevel="0" collapsed="false">
      <c r="B43" s="103" t="s">
        <v>1429</v>
      </c>
      <c r="C43" s="8"/>
      <c r="D43" s="8"/>
      <c r="E43" s="8"/>
      <c r="F43" s="8"/>
      <c r="G43" s="8"/>
      <c r="H43" s="8"/>
      <c r="I43" s="8"/>
      <c r="J43" s="8"/>
      <c r="K43" s="8"/>
    </row>
    <row r="44" customFormat="false" ht="17.25" hidden="false" customHeight="true" outlineLevel="0" collapsed="false">
      <c r="B44" s="106" t="s">
        <v>13358</v>
      </c>
      <c r="C44" s="106"/>
      <c r="D44" s="106"/>
      <c r="E44" s="106"/>
      <c r="F44" s="106"/>
    </row>
    <row r="45" customFormat="false" ht="10.5" hidden="false" customHeight="true" outlineLevel="0" collapsed="false">
      <c r="B45" s="106" t="s">
        <v>13359</v>
      </c>
      <c r="C45" s="106"/>
      <c r="D45" s="106"/>
      <c r="E45" s="106"/>
      <c r="F45" s="106"/>
    </row>
    <row r="46" customFormat="false" ht="10.5" hidden="false" customHeight="true" outlineLevel="0" collapsed="false">
      <c r="B46" s="106"/>
      <c r="C46" s="106"/>
      <c r="D46" s="106"/>
      <c r="E46" s="106"/>
      <c r="F46" s="106"/>
    </row>
    <row r="47" customFormat="false" ht="10.5" hidden="false" customHeight="true" outlineLevel="0" collapsed="false">
      <c r="B47" s="106"/>
      <c r="C47" s="106"/>
      <c r="D47" s="106"/>
      <c r="E47" s="106"/>
      <c r="F47" s="106"/>
    </row>
    <row r="48" customFormat="false" ht="15" hidden="false" customHeight="true" outlineLevel="0" collapsed="false">
      <c r="B48" s="122"/>
    </row>
    <row r="49" customFormat="false" ht="8.25" hidden="false" customHeight="true" outlineLevel="0" collapsed="false">
      <c r="B49" s="106" t="s">
        <v>13360</v>
      </c>
      <c r="C49" s="106"/>
      <c r="D49" s="106"/>
      <c r="E49" s="106"/>
      <c r="F49" s="106"/>
    </row>
    <row r="50" customFormat="false" ht="8.25" hidden="false" customHeight="true" outlineLevel="0" collapsed="false">
      <c r="B50" s="106"/>
      <c r="C50" s="106"/>
      <c r="D50" s="106"/>
      <c r="E50" s="106"/>
      <c r="F50" s="106"/>
    </row>
    <row r="51" customFormat="false" ht="15" hidden="false" customHeight="true" outlineLevel="0" collapsed="false">
      <c r="B51" s="122"/>
    </row>
    <row r="52" customFormat="false" ht="17.25" hidden="false" customHeight="true" outlineLevel="0" collapsed="false">
      <c r="B52" s="106" t="s">
        <v>13361</v>
      </c>
      <c r="C52" s="106"/>
      <c r="D52" s="106"/>
      <c r="E52" s="106"/>
      <c r="F52" s="106"/>
    </row>
    <row r="53" customFormat="false" ht="17.25" hidden="false" customHeight="true" outlineLevel="0" collapsed="false">
      <c r="B53" s="106" t="s">
        <v>13362</v>
      </c>
      <c r="C53" s="106"/>
      <c r="D53" s="106"/>
      <c r="E53" s="106"/>
      <c r="F53" s="106"/>
    </row>
    <row r="54" customFormat="false" ht="15" hidden="false" customHeight="true" outlineLevel="0" collapsed="false">
      <c r="B54" s="122"/>
    </row>
    <row r="55" customFormat="false" ht="8.25" hidden="false" customHeight="true" outlineLevel="0" collapsed="false">
      <c r="B55" s="106" t="s">
        <v>13363</v>
      </c>
      <c r="C55" s="106"/>
      <c r="D55" s="106"/>
      <c r="E55" s="106"/>
      <c r="F55" s="106"/>
    </row>
    <row r="56" customFormat="false" ht="8.25" hidden="false" customHeight="true" outlineLevel="0" collapsed="false">
      <c r="B56" s="106"/>
      <c r="C56" s="106"/>
      <c r="D56" s="106"/>
      <c r="E56" s="106"/>
      <c r="F56" s="106"/>
    </row>
    <row r="58" customFormat="false" ht="15.75" hidden="false" customHeight="true" outlineLevel="0" collapsed="false">
      <c r="B58" s="103" t="s">
        <v>1437</v>
      </c>
      <c r="C58" s="8"/>
      <c r="D58" s="8"/>
      <c r="E58" s="8"/>
      <c r="F58" s="8"/>
      <c r="G58" s="8"/>
      <c r="H58" s="8"/>
      <c r="I58" s="8"/>
      <c r="J58" s="8"/>
      <c r="K58" s="8"/>
    </row>
    <row r="59" customFormat="false" ht="17.25" hidden="false" customHeight="true" outlineLevel="0" collapsed="false">
      <c r="B59" s="152" t="s">
        <v>1438</v>
      </c>
      <c r="C59" s="152" t="s">
        <v>1439</v>
      </c>
      <c r="D59" s="152" t="s">
        <v>1440</v>
      </c>
      <c r="E59" s="152"/>
    </row>
    <row r="60" customFormat="false" ht="17.25" hidden="false" customHeight="true" outlineLevel="0" collapsed="false">
      <c r="B60" s="15" t="s">
        <v>6757</v>
      </c>
      <c r="C60" s="15" t="s">
        <v>13364</v>
      </c>
      <c r="D60" s="15" t="s">
        <v>13365</v>
      </c>
      <c r="E60" s="15"/>
    </row>
    <row r="61" customFormat="false" ht="17.25" hidden="false" customHeight="true" outlineLevel="0" collapsed="false">
      <c r="B61" s="15" t="s">
        <v>13366</v>
      </c>
      <c r="C61" s="15" t="s">
        <v>13367</v>
      </c>
      <c r="D61" s="15" t="s">
        <v>13368</v>
      </c>
      <c r="E61" s="15"/>
    </row>
    <row r="62" customFormat="false" ht="30.75" hidden="false" customHeight="true" outlineLevel="0" collapsed="false">
      <c r="B62" s="15" t="s">
        <v>9748</v>
      </c>
      <c r="C62" s="15" t="s">
        <v>13369</v>
      </c>
      <c r="D62" s="15" t="s">
        <v>13370</v>
      </c>
      <c r="E62" s="15"/>
    </row>
    <row r="63" customFormat="false" ht="17.25" hidden="false" customHeight="true" outlineLevel="0" collapsed="false">
      <c r="B63" s="15" t="s">
        <v>11336</v>
      </c>
      <c r="C63" s="15" t="s">
        <v>13371</v>
      </c>
      <c r="D63" s="15" t="s">
        <v>13372</v>
      </c>
      <c r="E63" s="15"/>
    </row>
    <row r="65" customFormat="false" ht="15.75" hidden="false" customHeight="true" outlineLevel="0" collapsed="false">
      <c r="B65" s="103" t="s">
        <v>1454</v>
      </c>
      <c r="C65" s="8"/>
      <c r="D65" s="8"/>
      <c r="E65" s="8"/>
      <c r="F65" s="8"/>
      <c r="G65" s="8"/>
      <c r="H65" s="8"/>
      <c r="I65" s="8"/>
      <c r="J65" s="8"/>
      <c r="K65" s="8"/>
    </row>
    <row r="66" customFormat="false" ht="10.5" hidden="false" customHeight="true" outlineLevel="0" collapsed="false">
      <c r="B66" s="106" t="s">
        <v>13373</v>
      </c>
      <c r="C66" s="106"/>
      <c r="D66" s="106"/>
      <c r="E66" s="106"/>
      <c r="F66" s="106"/>
    </row>
    <row r="67" customFormat="false" ht="10.5" hidden="false" customHeight="true" outlineLevel="0" collapsed="false">
      <c r="B67" s="106"/>
      <c r="C67" s="106"/>
      <c r="D67" s="106"/>
      <c r="E67" s="106"/>
      <c r="F67" s="106"/>
    </row>
    <row r="68" customFormat="false" ht="10.5" hidden="false" customHeight="true" outlineLevel="0" collapsed="false">
      <c r="B68" s="106"/>
      <c r="C68" s="106"/>
      <c r="D68" s="106"/>
      <c r="E68" s="106"/>
      <c r="F68" s="106"/>
    </row>
    <row r="69" customFormat="false" ht="15" hidden="false" customHeight="true" outlineLevel="0" collapsed="false">
      <c r="B69" s="112" t="s">
        <v>85</v>
      </c>
      <c r="C69" s="154" t="s">
        <v>86</v>
      </c>
    </row>
    <row r="71" customFormat="false" ht="17.25" hidden="false" customHeight="true" outlineLevel="0" collapsed="false">
      <c r="B71" s="107" t="s">
        <v>13374</v>
      </c>
      <c r="C71" s="107"/>
      <c r="D71" s="107"/>
      <c r="E71" s="107"/>
      <c r="F71" s="107"/>
    </row>
    <row r="72" customFormat="false" ht="30.75" hidden="false" customHeight="true" outlineLevel="0" collapsed="false">
      <c r="B72" s="152" t="s">
        <v>10048</v>
      </c>
      <c r="C72" s="152" t="s">
        <v>5198</v>
      </c>
      <c r="D72" s="152" t="s">
        <v>13375</v>
      </c>
      <c r="E72" s="152" t="s">
        <v>13376</v>
      </c>
      <c r="F72" s="152" t="s">
        <v>13377</v>
      </c>
      <c r="G72" s="152"/>
      <c r="H72" s="152"/>
    </row>
    <row r="73" customFormat="false" ht="30.75" hidden="false" customHeight="true" outlineLevel="0" collapsed="false">
      <c r="B73" s="15" t="s">
        <v>13378</v>
      </c>
      <c r="C73" s="15" t="s">
        <v>13379</v>
      </c>
      <c r="D73" s="15" t="s">
        <v>13380</v>
      </c>
      <c r="E73" s="15" t="s">
        <v>9254</v>
      </c>
      <c r="F73" s="15" t="s">
        <v>13381</v>
      </c>
      <c r="G73" s="15"/>
      <c r="H73" s="15"/>
    </row>
    <row r="74" customFormat="false" ht="30.75" hidden="false" customHeight="true" outlineLevel="0" collapsed="false">
      <c r="B74" s="15" t="s">
        <v>13382</v>
      </c>
      <c r="C74" s="15" t="s">
        <v>13383</v>
      </c>
      <c r="D74" s="15" t="s">
        <v>13384</v>
      </c>
      <c r="E74" s="15" t="s">
        <v>13385</v>
      </c>
      <c r="F74" s="15" t="s">
        <v>13386</v>
      </c>
      <c r="G74" s="15"/>
      <c r="H74" s="15"/>
    </row>
    <row r="75" customFormat="false" ht="30.75" hidden="false" customHeight="true" outlineLevel="0" collapsed="false">
      <c r="B75" s="15" t="s">
        <v>13387</v>
      </c>
      <c r="C75" s="15" t="s">
        <v>13388</v>
      </c>
      <c r="D75" s="15" t="s">
        <v>13389</v>
      </c>
      <c r="E75" s="15" t="s">
        <v>13390</v>
      </c>
      <c r="F75" s="15" t="s">
        <v>13391</v>
      </c>
      <c r="G75" s="15"/>
      <c r="H75" s="15"/>
    </row>
    <row r="76" customFormat="false" ht="28.5" hidden="false" customHeight="true" outlineLevel="0" collapsed="false">
      <c r="B76" s="182" t="s">
        <v>13392</v>
      </c>
      <c r="C76" s="182"/>
      <c r="D76" s="182"/>
      <c r="E76" s="182"/>
      <c r="F76" s="182"/>
    </row>
    <row r="78" customFormat="false" ht="17.25" hidden="false" customHeight="true" outlineLevel="0" collapsed="false">
      <c r="B78" s="107" t="s">
        <v>13393</v>
      </c>
      <c r="C78" s="107"/>
      <c r="D78" s="107"/>
      <c r="E78" s="107"/>
      <c r="F78" s="107"/>
    </row>
    <row r="79" customFormat="false" ht="30.75" hidden="false" customHeight="true" outlineLevel="0" collapsed="false">
      <c r="B79" s="152" t="s">
        <v>13394</v>
      </c>
      <c r="C79" s="152" t="s">
        <v>7841</v>
      </c>
      <c r="D79" s="152" t="s">
        <v>13395</v>
      </c>
      <c r="E79" s="152" t="s">
        <v>13396</v>
      </c>
      <c r="F79" s="152" t="s">
        <v>13397</v>
      </c>
      <c r="G79" s="152" t="s">
        <v>10067</v>
      </c>
      <c r="H79" s="152" t="s">
        <v>13398</v>
      </c>
      <c r="I79" s="152" t="s">
        <v>13399</v>
      </c>
      <c r="J79" s="152" t="s">
        <v>13400</v>
      </c>
      <c r="K79" s="152"/>
    </row>
    <row r="80" customFormat="false" ht="44.25" hidden="false" customHeight="true" outlineLevel="0" collapsed="false">
      <c r="B80" s="177" t="s">
        <v>13401</v>
      </c>
      <c r="C80" s="177" t="s">
        <v>13378</v>
      </c>
      <c r="D80" s="177" t="s">
        <v>13402</v>
      </c>
      <c r="E80" s="173" t="n">
        <v>128000</v>
      </c>
      <c r="F80" s="155" t="n">
        <v>1</v>
      </c>
      <c r="G80" s="177" t="s">
        <v>13403</v>
      </c>
      <c r="H80" s="155" t="n">
        <v>1</v>
      </c>
      <c r="I80" s="159" t="n">
        <f aca="false">IF(F80=1,E80,0)</f>
        <v>128000</v>
      </c>
      <c r="J80" s="167" t="str">
        <f aca="false">IF(AND(F80=1,H80=0),"NOT VALIDATED — cannot be claimed",IF(H80=0,"Evidence missing","Validated"))</f>
        <v>Validated</v>
      </c>
      <c r="K80" s="167"/>
    </row>
    <row r="81" customFormat="false" ht="44.25" hidden="false" customHeight="true" outlineLevel="0" collapsed="false">
      <c r="B81" s="177" t="s">
        <v>13404</v>
      </c>
      <c r="C81" s="177" t="s">
        <v>13378</v>
      </c>
      <c r="D81" s="177" t="s">
        <v>13405</v>
      </c>
      <c r="E81" s="173" t="n">
        <v>34000</v>
      </c>
      <c r="F81" s="155" t="n">
        <v>1</v>
      </c>
      <c r="G81" s="177" t="s">
        <v>13406</v>
      </c>
      <c r="H81" s="155" t="n">
        <v>1</v>
      </c>
      <c r="I81" s="159" t="n">
        <f aca="false">IF(F81=1,E81,0)</f>
        <v>34000</v>
      </c>
      <c r="J81" s="167" t="str">
        <f aca="false">IF(AND(F81=1,H81=0),"NOT VALIDATED — cannot be claimed",IF(H81=0,"Evidence missing","Validated"))</f>
        <v>Validated</v>
      </c>
      <c r="K81" s="167"/>
    </row>
    <row r="82" customFormat="false" ht="30.75" hidden="false" customHeight="true" outlineLevel="0" collapsed="false">
      <c r="B82" s="177" t="s">
        <v>13407</v>
      </c>
      <c r="C82" s="177" t="s">
        <v>13378</v>
      </c>
      <c r="D82" s="177" t="s">
        <v>13408</v>
      </c>
      <c r="E82" s="173" t="n">
        <v>21000</v>
      </c>
      <c r="F82" s="155" t="n">
        <v>1</v>
      </c>
      <c r="G82" s="177" t="s">
        <v>13409</v>
      </c>
      <c r="H82" s="155" t="n">
        <v>1</v>
      </c>
      <c r="I82" s="159" t="n">
        <f aca="false">IF(F82=1,E82,0)</f>
        <v>21000</v>
      </c>
      <c r="J82" s="167" t="str">
        <f aca="false">IF(AND(F82=1,H82=0),"NOT VALIDATED — cannot be claimed",IF(H82=0,"Evidence missing","Validated"))</f>
        <v>Validated</v>
      </c>
      <c r="K82" s="167"/>
    </row>
    <row r="83" customFormat="false" ht="44.25" hidden="false" customHeight="true" outlineLevel="0" collapsed="false">
      <c r="B83" s="177" t="s">
        <v>13410</v>
      </c>
      <c r="C83" s="177" t="s">
        <v>13382</v>
      </c>
      <c r="D83" s="177" t="s">
        <v>13411</v>
      </c>
      <c r="E83" s="173" t="n">
        <v>46000</v>
      </c>
      <c r="F83" s="155" t="n">
        <v>0</v>
      </c>
      <c r="G83" s="177" t="s">
        <v>13412</v>
      </c>
      <c r="H83" s="155" t="n">
        <v>1</v>
      </c>
      <c r="I83" s="159" t="n">
        <f aca="false">IF(F83=1,E83,0)</f>
        <v>0</v>
      </c>
      <c r="J83" s="167" t="str">
        <f aca="false">IF(AND(F83=1,H83=0),"NOT VALIDATED — cannot be claimed",IF(H83=0,"Evidence missing","Validated"))</f>
        <v>Validated</v>
      </c>
      <c r="K83" s="167"/>
    </row>
    <row r="84" customFormat="false" ht="30.75" hidden="false" customHeight="true" outlineLevel="0" collapsed="false">
      <c r="B84" s="177" t="s">
        <v>13413</v>
      </c>
      <c r="C84" s="177" t="s">
        <v>13382</v>
      </c>
      <c r="D84" s="177" t="s">
        <v>13414</v>
      </c>
      <c r="E84" s="173" t="n">
        <v>12000</v>
      </c>
      <c r="F84" s="155" t="n">
        <v>0</v>
      </c>
      <c r="G84" s="177" t="s">
        <v>13415</v>
      </c>
      <c r="H84" s="155" t="n">
        <v>0</v>
      </c>
      <c r="I84" s="159" t="n">
        <f aca="false">IF(F84=1,E84,0)</f>
        <v>0</v>
      </c>
      <c r="J84" s="167" t="str">
        <f aca="false">IF(AND(F84=1,H84=0),"NOT VALIDATED — cannot be claimed",IF(H84=0,"Evidence missing","Validated"))</f>
        <v>Evidence missing</v>
      </c>
      <c r="K84" s="167"/>
    </row>
    <row r="85" customFormat="false" ht="44.25" hidden="false" customHeight="true" outlineLevel="0" collapsed="false">
      <c r="B85" s="177" t="s">
        <v>13416</v>
      </c>
      <c r="C85" s="177" t="s">
        <v>13387</v>
      </c>
      <c r="D85" s="177" t="s">
        <v>13417</v>
      </c>
      <c r="E85" s="173" t="n">
        <v>9000</v>
      </c>
      <c r="F85" s="155" t="n">
        <v>0</v>
      </c>
      <c r="G85" s="177" t="s">
        <v>13418</v>
      </c>
      <c r="H85" s="155" t="n">
        <v>0</v>
      </c>
      <c r="I85" s="159" t="n">
        <f aca="false">IF(F85=1,E85,0)</f>
        <v>0</v>
      </c>
      <c r="J85" s="167" t="str">
        <f aca="false">IF(AND(F85=1,H85=0),"NOT VALIDATED — cannot be claimed",IF(H85=0,"Evidence missing","Validated"))</f>
        <v>Evidence missing</v>
      </c>
      <c r="K85" s="167"/>
    </row>
    <row r="86" customFormat="false" ht="58.5" hidden="false" customHeight="true" outlineLevel="0" collapsed="false">
      <c r="B86" s="177" t="s">
        <v>13419</v>
      </c>
      <c r="C86" s="177" t="s">
        <v>13387</v>
      </c>
      <c r="D86" s="177" t="s">
        <v>13420</v>
      </c>
      <c r="E86" s="173" t="n">
        <v>40000</v>
      </c>
      <c r="F86" s="155" t="n">
        <v>0</v>
      </c>
      <c r="G86" s="177" t="s">
        <v>13421</v>
      </c>
      <c r="H86" s="155" t="n">
        <v>0</v>
      </c>
      <c r="I86" s="159" t="n">
        <f aca="false">IF(F86=1,E86,0)</f>
        <v>0</v>
      </c>
      <c r="J86" s="167" t="str">
        <f aca="false">IF(AND(F86=1,H86=0),"NOT VALIDATED — cannot be claimed",IF(H86=0,"Evidence missing","Validated"))</f>
        <v>Evidence missing</v>
      </c>
      <c r="K86" s="167"/>
    </row>
    <row r="88" customFormat="false" ht="17.25" hidden="false" customHeight="true" outlineLevel="0" collapsed="false">
      <c r="B88" s="107" t="s">
        <v>13422</v>
      </c>
      <c r="C88" s="107"/>
      <c r="D88" s="107"/>
      <c r="E88" s="107"/>
      <c r="F88" s="107"/>
    </row>
    <row r="89" customFormat="false" ht="16.5" hidden="false" customHeight="true" outlineLevel="0" collapsed="false">
      <c r="B89" s="152" t="s">
        <v>12407</v>
      </c>
      <c r="C89" s="152" t="s">
        <v>6654</v>
      </c>
      <c r="D89" s="152" t="s">
        <v>6575</v>
      </c>
      <c r="E89" s="152" t="s">
        <v>13423</v>
      </c>
    </row>
    <row r="90" customFormat="false" ht="16.5" hidden="false" customHeight="true" outlineLevel="0" collapsed="false">
      <c r="B90" s="15" t="s">
        <v>13424</v>
      </c>
      <c r="C90" s="159" t="n">
        <f aca="false">SUMIF(C80:C86,"HARD",E80:E86)</f>
        <v>183000</v>
      </c>
      <c r="D90" s="15" t="s">
        <v>12408</v>
      </c>
      <c r="E90" s="15" t="s">
        <v>13425</v>
      </c>
    </row>
    <row r="91" customFormat="false" ht="30.75" hidden="false" customHeight="true" outlineLevel="0" collapsed="false">
      <c r="B91" s="15" t="s">
        <v>13426</v>
      </c>
      <c r="C91" s="159" t="n">
        <f aca="false">SUMIFS(E80:E86,C80:C86,"HARD",H80:H86,1)</f>
        <v>183000</v>
      </c>
      <c r="D91" s="15" t="s">
        <v>12408</v>
      </c>
      <c r="E91" s="15" t="s">
        <v>13427</v>
      </c>
    </row>
    <row r="92" customFormat="false" ht="16.5" hidden="false" customHeight="true" outlineLevel="0" collapsed="false">
      <c r="B92" s="15" t="s">
        <v>13428</v>
      </c>
      <c r="C92" s="159" t="n">
        <f aca="false">SUMIF(C80:C86,"SOFT",E80:E86)</f>
        <v>58000</v>
      </c>
      <c r="D92" s="15" t="s">
        <v>12408</v>
      </c>
      <c r="E92" s="15" t="s">
        <v>13429</v>
      </c>
    </row>
    <row r="93" customFormat="false" ht="16.5" hidden="false" customHeight="true" outlineLevel="0" collapsed="false">
      <c r="B93" s="15" t="s">
        <v>13387</v>
      </c>
      <c r="C93" s="159" t="n">
        <f aca="false">SUMIF(C80:C86,"COST AVOIDANCE",E80:E86)</f>
        <v>49000</v>
      </c>
      <c r="D93" s="15" t="s">
        <v>12408</v>
      </c>
      <c r="E93" s="15" t="s">
        <v>13430</v>
      </c>
    </row>
    <row r="94" customFormat="false" ht="16.5" hidden="false" customHeight="true" outlineLevel="0" collapsed="false">
      <c r="B94" s="15" t="s">
        <v>13431</v>
      </c>
      <c r="C94" s="159" t="n">
        <f aca="false">C90+C92+C93</f>
        <v>290000</v>
      </c>
      <c r="D94" s="15" t="s">
        <v>12408</v>
      </c>
      <c r="E94" s="15" t="s">
        <v>13432</v>
      </c>
    </row>
    <row r="95" customFormat="false" ht="16.5" hidden="false" customHeight="true" outlineLevel="0" collapsed="false">
      <c r="B95" s="15" t="s">
        <v>13433</v>
      </c>
      <c r="C95" s="159" t="n">
        <f aca="false">C90-C91</f>
        <v>0</v>
      </c>
      <c r="D95" s="15" t="s">
        <v>12408</v>
      </c>
      <c r="E95" s="15" t="s">
        <v>13434</v>
      </c>
    </row>
    <row r="96" customFormat="false" ht="30.75" hidden="false" customHeight="true" outlineLevel="0" collapsed="false">
      <c r="B96" s="15" t="s">
        <v>13435</v>
      </c>
      <c r="C96" s="160" t="n">
        <f aca="false">IFERROR(C91/C90,0)</f>
        <v>1</v>
      </c>
      <c r="D96" s="15"/>
      <c r="E96" s="15" t="s">
        <v>13436</v>
      </c>
    </row>
    <row r="98" customFormat="false" ht="17.25" hidden="false" customHeight="true" outlineLevel="0" collapsed="false">
      <c r="B98" s="107" t="s">
        <v>13437</v>
      </c>
      <c r="C98" s="107"/>
      <c r="D98" s="107"/>
      <c r="E98" s="107"/>
      <c r="F98" s="107"/>
    </row>
    <row r="99" customFormat="false" ht="30.75" hidden="false" customHeight="true" outlineLevel="0" collapsed="false">
      <c r="B99" s="152" t="s">
        <v>13438</v>
      </c>
      <c r="C99" s="152" t="s">
        <v>51</v>
      </c>
      <c r="D99" s="152" t="s">
        <v>13439</v>
      </c>
      <c r="E99" s="152" t="s">
        <v>8819</v>
      </c>
      <c r="F99" s="152" t="s">
        <v>13440</v>
      </c>
      <c r="G99" s="152" t="s">
        <v>13441</v>
      </c>
      <c r="H99" s="152"/>
    </row>
    <row r="100" customFormat="false" ht="17.25" hidden="false" customHeight="true" outlineLevel="0" collapsed="false">
      <c r="B100" s="15" t="s">
        <v>8042</v>
      </c>
      <c r="C100" s="180" t="n">
        <v>46234</v>
      </c>
      <c r="D100" s="157" t="n">
        <v>503.1</v>
      </c>
      <c r="E100" s="157" t="n">
        <v>500.8</v>
      </c>
      <c r="F100" s="155" t="n">
        <v>0</v>
      </c>
      <c r="G100" s="177" t="s">
        <v>13442</v>
      </c>
      <c r="H100" s="177"/>
    </row>
    <row r="101" customFormat="false" ht="17.25" hidden="false" customHeight="true" outlineLevel="0" collapsed="false">
      <c r="B101" s="15" t="s">
        <v>12815</v>
      </c>
      <c r="C101" s="180" t="n">
        <v>46374</v>
      </c>
      <c r="D101" s="157" t="n">
        <v>500.6</v>
      </c>
      <c r="E101" s="157" t="n">
        <v>500.8</v>
      </c>
      <c r="F101" s="155" t="n">
        <v>1</v>
      </c>
      <c r="G101" s="177" t="s">
        <v>13443</v>
      </c>
      <c r="H101" s="177"/>
    </row>
    <row r="102" customFormat="false" ht="17.25" hidden="false" customHeight="true" outlineLevel="0" collapsed="false">
      <c r="B102" s="15" t="s">
        <v>13444</v>
      </c>
      <c r="C102" s="180" t="n">
        <v>46405</v>
      </c>
      <c r="D102" s="157" t="n">
        <v>500.7</v>
      </c>
      <c r="E102" s="157" t="n">
        <v>500.8</v>
      </c>
      <c r="F102" s="155" t="n">
        <v>1</v>
      </c>
      <c r="G102" s="177" t="s">
        <v>13445</v>
      </c>
      <c r="H102" s="177"/>
    </row>
    <row r="103" customFormat="false" ht="17.25" hidden="false" customHeight="true" outlineLevel="0" collapsed="false">
      <c r="B103" s="15" t="s">
        <v>13446</v>
      </c>
      <c r="C103" s="180" t="n">
        <v>46464</v>
      </c>
      <c r="D103" s="157" t="n">
        <v>500.9</v>
      </c>
      <c r="E103" s="157" t="n">
        <v>500.8</v>
      </c>
      <c r="F103" s="155" t="n">
        <v>0</v>
      </c>
      <c r="G103" s="177" t="s">
        <v>13447</v>
      </c>
      <c r="H103" s="177"/>
    </row>
    <row r="104" customFormat="false" ht="17.25" hidden="false" customHeight="true" outlineLevel="0" collapsed="false">
      <c r="B104" s="15" t="s">
        <v>13448</v>
      </c>
      <c r="C104" s="180" t="n">
        <v>46556</v>
      </c>
      <c r="D104" s="157"/>
      <c r="E104" s="157" t="n">
        <v>500.8</v>
      </c>
      <c r="F104" s="155"/>
      <c r="G104" s="177" t="s">
        <v>13449</v>
      </c>
      <c r="H104" s="177"/>
    </row>
    <row r="106" customFormat="false" ht="17.25" hidden="false" customHeight="true" outlineLevel="0" collapsed="false">
      <c r="B106" s="152" t="s">
        <v>6689</v>
      </c>
      <c r="C106" s="152" t="s">
        <v>6654</v>
      </c>
      <c r="D106" s="152" t="s">
        <v>88</v>
      </c>
      <c r="E106" s="152"/>
    </row>
    <row r="107" customFormat="false" ht="17.25" hidden="false" customHeight="true" outlineLevel="0" collapsed="false">
      <c r="B107" s="15" t="s">
        <v>13450</v>
      </c>
      <c r="C107" s="161" t="n">
        <f aca="false">COUNTA(B80:B86)</f>
        <v>7</v>
      </c>
      <c r="D107" s="15"/>
      <c r="E107" s="15"/>
    </row>
    <row r="108" customFormat="false" ht="17.25" hidden="false" customHeight="true" outlineLevel="0" collapsed="false">
      <c r="B108" s="15" t="s">
        <v>13451</v>
      </c>
      <c r="C108" s="161" t="n">
        <f aca="false">COUNTIF(J80:J86,"NOT VALIDATED*")+COUNTIF(J80:J86,"Evidence missing")</f>
        <v>3</v>
      </c>
      <c r="D108" s="15" t="s">
        <v>13452</v>
      </c>
      <c r="E108" s="15"/>
    </row>
    <row r="109" customFormat="false" ht="17.25" hidden="false" customHeight="true" outlineLevel="0" collapsed="false">
      <c r="B109" s="15" t="s">
        <v>13453</v>
      </c>
      <c r="C109" s="161" t="n">
        <f aca="false">SUM(F101:F103)</f>
        <v>2</v>
      </c>
      <c r="D109" s="15" t="s">
        <v>13454</v>
      </c>
      <c r="E109" s="15"/>
    </row>
    <row r="110" customFormat="false" ht="17.25" hidden="false" customHeight="true" outlineLevel="0" collapsed="false">
      <c r="B110" s="15" t="s">
        <v>13455</v>
      </c>
      <c r="C110" s="167" t="str">
        <f aca="false">IF(SUM(F101:F103)&gt;=3,"YES — held at every checkpoint","NO — drift detected at a checkpoint")</f>
        <v>NO — drift detected at a checkpoint</v>
      </c>
      <c r="D110" s="15" t="s">
        <v>13456</v>
      </c>
      <c r="E110" s="15"/>
    </row>
    <row r="112" customFormat="false" ht="15.75" hidden="false" customHeight="true" outlineLevel="0" collapsed="false">
      <c r="B112" s="103" t="s">
        <v>1493</v>
      </c>
      <c r="C112" s="8"/>
      <c r="D112" s="8"/>
      <c r="E112" s="8"/>
      <c r="F112" s="8"/>
      <c r="G112" s="8"/>
      <c r="H112" s="8"/>
      <c r="I112" s="8"/>
      <c r="J112" s="8"/>
      <c r="K112" s="8"/>
    </row>
    <row r="113" customFormat="false" ht="49.5" hidden="false" customHeight="true" outlineLevel="0" collapsed="false">
      <c r="B113" s="105" t="s">
        <v>1494</v>
      </c>
      <c r="C113" s="168" t="str">
        <f aca="false">"Hard benefit claimed is "&amp;TEXT(C90,"#,##0")&amp;" USD/year, of which "&amp;TEXT(C91,"#,##0")&amp;" ("&amp;TEXT(C96,"0.0%")&amp;") is signed by Controlling. Soft benefit "&amp;TEXT(C92,"#,##0")&amp;" and cost avoidance "&amp;TEXT(C93,"#,##0")&amp;" are reported separately. "&amp;IF(C95&gt;0,"WARNING: "&amp;TEXT(C95,"#,##0")&amp;" USD of hard benefit is not yet validated and cannot be claimed at closure. Get it signed or remove it from the claim — an unvalidated benefit that collapses later damages every project that follows. ","All hard benefit is validated. ")&amp;IF(C109&lt;3,"Sustainment has NOT held at every checkpoint: the drift at 90 days means the control plan needs review before the benefit can be considered permanent.","The benefit has held at every checkpoint measured so far.")</f>
        <v>Hard benefit claimed is 183,000 USD/year, of which 183,000 (100.0%) is signed by Controlling. Soft benefit 58,000 and cost avoidance 49,000 are reported separately. All hard benefit is validated. Sustainment has NOT held at every checkpoint: the drift at 90 days means the control plan needs review before the benefit can be considered permanent.</v>
      </c>
      <c r="D113" s="168"/>
      <c r="E113" s="168"/>
      <c r="F113" s="168"/>
    </row>
    <row r="115" customFormat="false" ht="17.25" hidden="false" customHeight="true" outlineLevel="0" collapsed="false">
      <c r="B115" s="152" t="s">
        <v>1495</v>
      </c>
      <c r="C115" s="152" t="s">
        <v>1496</v>
      </c>
      <c r="D115" s="152" t="s">
        <v>1497</v>
      </c>
      <c r="E115" s="152"/>
    </row>
    <row r="116" customFormat="false" ht="17.25" hidden="false" customHeight="true" outlineLevel="0" collapsed="false">
      <c r="B116" s="15" t="s">
        <v>13457</v>
      </c>
      <c r="C116" s="15" t="s">
        <v>13458</v>
      </c>
      <c r="D116" s="15" t="s">
        <v>13459</v>
      </c>
      <c r="E116" s="15"/>
    </row>
    <row r="117" customFormat="false" ht="17.25" hidden="false" customHeight="true" outlineLevel="0" collapsed="false">
      <c r="B117" s="15" t="s">
        <v>13460</v>
      </c>
      <c r="C117" s="15" t="s">
        <v>13461</v>
      </c>
      <c r="D117" s="15" t="s">
        <v>13462</v>
      </c>
      <c r="E117" s="15"/>
    </row>
    <row r="118" customFormat="false" ht="17.25" hidden="false" customHeight="true" outlineLevel="0" collapsed="false">
      <c r="B118" s="15" t="s">
        <v>13463</v>
      </c>
      <c r="C118" s="15" t="s">
        <v>13464</v>
      </c>
      <c r="D118" s="15" t="s">
        <v>13465</v>
      </c>
      <c r="E118" s="15"/>
    </row>
    <row r="119" customFormat="false" ht="17.25" hidden="false" customHeight="true" outlineLevel="0" collapsed="false">
      <c r="B119" s="15" t="s">
        <v>13466</v>
      </c>
      <c r="C119" s="15" t="s">
        <v>13467</v>
      </c>
      <c r="D119" s="15" t="s">
        <v>13468</v>
      </c>
      <c r="E119" s="15"/>
    </row>
    <row r="120" customFormat="false" ht="17.25" hidden="false" customHeight="true" outlineLevel="0" collapsed="false">
      <c r="B120" s="15" t="s">
        <v>13469</v>
      </c>
      <c r="C120" s="15" t="s">
        <v>13470</v>
      </c>
      <c r="D120" s="15" t="s">
        <v>13471</v>
      </c>
      <c r="E120" s="15"/>
    </row>
    <row r="122" customFormat="false" ht="15" hidden="false" customHeight="true" outlineLevel="0" collapsed="false">
      <c r="B122" s="105" t="s">
        <v>1507</v>
      </c>
    </row>
    <row r="123" customFormat="false" ht="17.25" hidden="false" customHeight="true" outlineLevel="0" collapsed="false">
      <c r="B123" s="106" t="s">
        <v>13472</v>
      </c>
      <c r="C123" s="106"/>
      <c r="D123" s="106"/>
      <c r="E123" s="106"/>
      <c r="F123" s="106"/>
    </row>
    <row r="124" customFormat="false" ht="17.25" hidden="false" customHeight="true" outlineLevel="0" collapsed="false">
      <c r="B124" s="106" t="s">
        <v>13473</v>
      </c>
      <c r="C124" s="106"/>
      <c r="D124" s="106"/>
      <c r="E124" s="106"/>
      <c r="F124" s="106"/>
    </row>
    <row r="125" customFormat="false" ht="17.25" hidden="false" customHeight="true" outlineLevel="0" collapsed="false">
      <c r="B125" s="106" t="s">
        <v>13474</v>
      </c>
      <c r="C125" s="106"/>
      <c r="D125" s="106"/>
      <c r="E125" s="106"/>
      <c r="F125" s="106"/>
    </row>
    <row r="126" customFormat="false" ht="17.25" hidden="false" customHeight="true" outlineLevel="0" collapsed="false">
      <c r="B126" s="106" t="s">
        <v>13475</v>
      </c>
      <c r="C126" s="106"/>
      <c r="D126" s="106"/>
      <c r="E126" s="106"/>
      <c r="F126" s="106"/>
    </row>
    <row r="127" customFormat="false" ht="17.25" hidden="false" customHeight="true" outlineLevel="0" collapsed="false">
      <c r="B127" s="106" t="s">
        <v>13476</v>
      </c>
      <c r="C127" s="106"/>
      <c r="D127" s="106"/>
      <c r="E127" s="106"/>
      <c r="F127" s="106"/>
    </row>
    <row r="129" customFormat="false" ht="15.75" hidden="false" customHeight="true" outlineLevel="0" collapsed="false">
      <c r="B129" s="103" t="s">
        <v>1513</v>
      </c>
      <c r="C129" s="8"/>
      <c r="D129" s="8"/>
      <c r="E129" s="8"/>
      <c r="F129" s="8"/>
      <c r="G129" s="8"/>
      <c r="H129" s="8"/>
      <c r="I129" s="8"/>
      <c r="J129" s="8"/>
      <c r="K129" s="8"/>
    </row>
    <row r="130" customFormat="false" ht="17.25" hidden="false" customHeight="true" outlineLevel="0" collapsed="false">
      <c r="B130" s="106" t="s">
        <v>6712</v>
      </c>
      <c r="C130" s="106"/>
      <c r="D130" s="106"/>
      <c r="E130" s="106"/>
      <c r="N130" s="169" t="s">
        <v>1515</v>
      </c>
    </row>
    <row r="131" customFormat="false" ht="58.5" hidden="false" customHeight="true" outlineLevel="0" collapsed="false">
      <c r="B131" s="106" t="s">
        <v>13477</v>
      </c>
      <c r="C131" s="106"/>
      <c r="D131" s="106"/>
      <c r="E131" s="106"/>
      <c r="N131" s="120" t="s">
        <v>13478</v>
      </c>
    </row>
    <row r="132" customFormat="false" ht="58.5" hidden="false" customHeight="true" outlineLevel="0" collapsed="false">
      <c r="B132" s="106" t="s">
        <v>13479</v>
      </c>
      <c r="C132" s="106"/>
      <c r="D132" s="106"/>
      <c r="E132" s="106"/>
      <c r="N132" s="120" t="s">
        <v>13480</v>
      </c>
    </row>
    <row r="133" customFormat="false" ht="44.25" hidden="false" customHeight="true" outlineLevel="0" collapsed="false">
      <c r="B133" s="106" t="s">
        <v>13481</v>
      </c>
      <c r="C133" s="106"/>
      <c r="D133" s="106"/>
      <c r="E133" s="106"/>
      <c r="N133" s="120" t="s">
        <v>13482</v>
      </c>
    </row>
    <row r="135" customFormat="false" ht="15.75" hidden="false" customHeight="true" outlineLevel="0" collapsed="false">
      <c r="B135" s="103" t="s">
        <v>1522</v>
      </c>
      <c r="C135" s="8"/>
      <c r="D135" s="8"/>
      <c r="E135" s="8"/>
      <c r="F135" s="8"/>
      <c r="G135" s="8"/>
      <c r="H135" s="8"/>
      <c r="I135" s="8"/>
      <c r="J135" s="8"/>
      <c r="K135" s="8"/>
    </row>
    <row r="136" customFormat="false" ht="17.25" hidden="false" customHeight="true" outlineLevel="0" collapsed="false">
      <c r="B136" s="152" t="s">
        <v>1523</v>
      </c>
      <c r="C136" s="152" t="s">
        <v>1524</v>
      </c>
      <c r="D136" s="152" t="s">
        <v>6719</v>
      </c>
      <c r="E136" s="152"/>
    </row>
    <row r="137" customFormat="false" ht="17.25" hidden="false" customHeight="true" outlineLevel="0" collapsed="false">
      <c r="B137" s="170" t="s">
        <v>6628</v>
      </c>
      <c r="C137" s="170" t="s">
        <v>8094</v>
      </c>
      <c r="D137" s="171" t="s">
        <v>12709</v>
      </c>
      <c r="E137" s="171"/>
    </row>
  </sheetData>
  <mergeCells count="71">
    <mergeCell ref="B2:J2"/>
    <mergeCell ref="D3:F3"/>
    <mergeCell ref="B11:F13"/>
    <mergeCell ref="B14:F17"/>
    <mergeCell ref="B18:F20"/>
    <mergeCell ref="B21:F23"/>
    <mergeCell ref="B24:F26"/>
    <mergeCell ref="B27:F28"/>
    <mergeCell ref="B31:D31"/>
    <mergeCell ref="B32:D32"/>
    <mergeCell ref="B33:D33"/>
    <mergeCell ref="B34:D34"/>
    <mergeCell ref="B35:F35"/>
    <mergeCell ref="B44:F44"/>
    <mergeCell ref="B45:F47"/>
    <mergeCell ref="B49:F50"/>
    <mergeCell ref="B52:F52"/>
    <mergeCell ref="B53:F53"/>
    <mergeCell ref="B55:F56"/>
    <mergeCell ref="D59:E59"/>
    <mergeCell ref="D60:E60"/>
    <mergeCell ref="D61:E61"/>
    <mergeCell ref="D62:E62"/>
    <mergeCell ref="D63:E63"/>
    <mergeCell ref="B66:F68"/>
    <mergeCell ref="B71:F71"/>
    <mergeCell ref="F72:H72"/>
    <mergeCell ref="F73:H73"/>
    <mergeCell ref="F74:H74"/>
    <mergeCell ref="F75:H75"/>
    <mergeCell ref="B76:F76"/>
    <mergeCell ref="B78:F78"/>
    <mergeCell ref="J79:K79"/>
    <mergeCell ref="J80:K80"/>
    <mergeCell ref="J81:K81"/>
    <mergeCell ref="J82:K82"/>
    <mergeCell ref="J83:K83"/>
    <mergeCell ref="J84:K84"/>
    <mergeCell ref="J85:K85"/>
    <mergeCell ref="J86:K86"/>
    <mergeCell ref="B88:F88"/>
    <mergeCell ref="B98:F98"/>
    <mergeCell ref="G99:H99"/>
    <mergeCell ref="G100:H100"/>
    <mergeCell ref="G101:H101"/>
    <mergeCell ref="G102:H102"/>
    <mergeCell ref="G103:H103"/>
    <mergeCell ref="G104:H104"/>
    <mergeCell ref="D106:E106"/>
    <mergeCell ref="D107:E107"/>
    <mergeCell ref="D108:E108"/>
    <mergeCell ref="D109:E109"/>
    <mergeCell ref="D110:E110"/>
    <mergeCell ref="C113:F113"/>
    <mergeCell ref="D115:E115"/>
    <mergeCell ref="D116:E116"/>
    <mergeCell ref="D117:E117"/>
    <mergeCell ref="D118:E118"/>
    <mergeCell ref="D119:E119"/>
    <mergeCell ref="D120:E120"/>
    <mergeCell ref="B123:F123"/>
    <mergeCell ref="B124:F124"/>
    <mergeCell ref="B125:F125"/>
    <mergeCell ref="B126:F126"/>
    <mergeCell ref="B127:F127"/>
    <mergeCell ref="B130:E130"/>
    <mergeCell ref="B131:E131"/>
    <mergeCell ref="B132:E132"/>
    <mergeCell ref="B133:E133"/>
    <mergeCell ref="D136:E136"/>
    <mergeCell ref="D137:E137"/>
  </mergeCells>
  <hyperlinks>
    <hyperlink ref="B3" location="'N-03 Index DMAIC'!A1" display="← Back to Index"/>
    <hyperlink ref="E38" location="'L-26 Pilot and Confirmation'!A1" display="L-26  Pilot and Confirmation Run"/>
    <hyperlink ref="E39" location="'G-02 Business Case COPQ'!A1" display="G-02  Business Case and COPQ"/>
    <hyperlink ref="E40" location="'L-09 Theory of Constraints'!A1" display="L-09  Theory of Constraints"/>
    <hyperlink ref="E41" location="'H-16 Control and Reaction'!A1" display="H-16  Control Plan and Reaction Plan"/>
    <hyperlink ref="B137" location="'G-02 Business Case COPQ'!A1" display="G-02  Business Case and COPQ"/>
    <hyperlink ref="C137" location="'H-16 Control and Reaction'!A1" display="H-16  Control Plan and Reaction Plan"/>
    <hyperlink ref="D137" location="'G-10 Closure Replication'!A1" display="G-10  Closure and Replic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N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54"/>
    <col collapsed="false" customWidth="true" hidden="false" outlineLevel="0" max="4" min="4" style="1" width="16"/>
    <col collapsed="false" customWidth="true" hidden="false" outlineLevel="0" max="5" min="5" style="1" width="50"/>
    <col collapsed="false" customWidth="true" hidden="false" outlineLevel="0" max="6" min="6" style="1" width="22"/>
    <col collapsed="false" customWidth="true" hidden="false" outlineLevel="0" max="7" min="7" style="1" width="24"/>
    <col collapsed="false" customWidth="true" hidden="false" outlineLevel="0" max="8" min="8" style="1" width="20"/>
    <col collapsed="false" customWidth="true" hidden="false" outlineLevel="0" max="9" min="9" style="1" width="14"/>
    <col collapsed="false" customWidth="true" hidden="false" outlineLevel="0" max="10" min="10" style="1" width="20"/>
    <col collapsed="false" customWidth="true" hidden="false" outlineLevel="0" max="11" min="11" style="1" width="34"/>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13483</v>
      </c>
      <c r="C2" s="148"/>
      <c r="D2" s="148"/>
      <c r="E2" s="148"/>
      <c r="F2" s="148"/>
      <c r="G2" s="148"/>
      <c r="H2" s="148"/>
      <c r="I2" s="148"/>
      <c r="J2" s="148"/>
      <c r="K2" s="189" t="s">
        <v>5631</v>
      </c>
    </row>
    <row r="3" customFormat="false" ht="42" hidden="false" customHeight="true" outlineLevel="0" collapsed="false">
      <c r="B3" s="150" t="s">
        <v>3</v>
      </c>
      <c r="D3" s="151" t="s">
        <v>13484</v>
      </c>
      <c r="E3" s="151"/>
    </row>
    <row r="5" customFormat="false" ht="15.75" hidden="false" customHeight="true" outlineLevel="0" collapsed="false">
      <c r="B5" s="103" t="s">
        <v>1391</v>
      </c>
      <c r="C5" s="8"/>
      <c r="D5" s="8"/>
      <c r="E5" s="8"/>
      <c r="F5" s="8"/>
      <c r="G5" s="8"/>
      <c r="H5" s="8"/>
      <c r="I5" s="8"/>
      <c r="J5" s="8"/>
      <c r="K5" s="8"/>
    </row>
    <row r="6" customFormat="false" ht="31.5" hidden="false" customHeight="true" outlineLevel="0" collapsed="false">
      <c r="B6" s="105" t="s">
        <v>1392</v>
      </c>
      <c r="C6" s="106" t="s">
        <v>13485</v>
      </c>
      <c r="D6" s="106"/>
    </row>
    <row r="7" customFormat="false" ht="31.5" hidden="false" customHeight="true" outlineLevel="0" collapsed="false">
      <c r="B7" s="105" t="s">
        <v>1394</v>
      </c>
      <c r="C7" s="106" t="s">
        <v>13486</v>
      </c>
      <c r="D7" s="106"/>
    </row>
    <row r="8" customFormat="false" ht="31.5" hidden="false" customHeight="true" outlineLevel="0" collapsed="false">
      <c r="B8" s="105" t="s">
        <v>1396</v>
      </c>
      <c r="C8" s="106" t="s">
        <v>13487</v>
      </c>
      <c r="D8" s="106"/>
    </row>
    <row r="10" customFormat="false" ht="15.75" hidden="false" customHeight="true" outlineLevel="0" collapsed="false">
      <c r="B10" s="103" t="s">
        <v>1398</v>
      </c>
      <c r="C10" s="8"/>
      <c r="D10" s="8"/>
      <c r="E10" s="8"/>
      <c r="F10" s="8"/>
      <c r="G10" s="8"/>
      <c r="H10" s="8"/>
      <c r="I10" s="8"/>
      <c r="J10" s="8"/>
      <c r="K10" s="8"/>
    </row>
    <row r="11" customFormat="false" ht="7.5" hidden="false" customHeight="true" outlineLevel="0" collapsed="false">
      <c r="B11" s="106" t="s">
        <v>13488</v>
      </c>
      <c r="C11" s="106"/>
      <c r="D11" s="106"/>
      <c r="E11" s="106"/>
    </row>
    <row r="12" customFormat="false" ht="7.5" hidden="false" customHeight="true" outlineLevel="0" collapsed="false">
      <c r="B12" s="106"/>
      <c r="C12" s="106"/>
      <c r="D12" s="106"/>
      <c r="E12" s="106"/>
    </row>
    <row r="13" customFormat="false" ht="7.5" hidden="false" customHeight="true" outlineLevel="0" collapsed="false">
      <c r="B13" s="106"/>
      <c r="C13" s="106"/>
      <c r="D13" s="106"/>
      <c r="E13" s="106"/>
    </row>
    <row r="14" customFormat="false" ht="7.5" hidden="false" customHeight="true" outlineLevel="0" collapsed="false">
      <c r="B14" s="106"/>
      <c r="C14" s="106"/>
      <c r="D14" s="106"/>
      <c r="E14" s="106"/>
    </row>
    <row r="15" customFormat="false" ht="10.5" hidden="false" customHeight="true" outlineLevel="0" collapsed="false">
      <c r="B15" s="106" t="s">
        <v>13489</v>
      </c>
      <c r="C15" s="106"/>
      <c r="D15" s="106"/>
      <c r="E15" s="106"/>
    </row>
    <row r="16" customFormat="false" ht="10.5" hidden="false" customHeight="true" outlineLevel="0" collapsed="false">
      <c r="B16" s="106"/>
      <c r="C16" s="106"/>
      <c r="D16" s="106"/>
      <c r="E16" s="106"/>
    </row>
    <row r="17" customFormat="false" ht="10.5" hidden="false" customHeight="true" outlineLevel="0" collapsed="false">
      <c r="B17" s="106"/>
      <c r="C17" s="106"/>
      <c r="D17" s="106"/>
      <c r="E17" s="106"/>
    </row>
    <row r="18" customFormat="false" ht="7.5" hidden="false" customHeight="true" outlineLevel="0" collapsed="false">
      <c r="B18" s="106" t="s">
        <v>13490</v>
      </c>
      <c r="C18" s="106"/>
      <c r="D18" s="106"/>
      <c r="E18" s="106"/>
    </row>
    <row r="19" customFormat="false" ht="7.5" hidden="false" customHeight="true" outlineLevel="0" collapsed="false">
      <c r="B19" s="106"/>
      <c r="C19" s="106"/>
      <c r="D19" s="106"/>
      <c r="E19" s="106"/>
    </row>
    <row r="20" customFormat="false" ht="7.5" hidden="false" customHeight="true" outlineLevel="0" collapsed="false">
      <c r="B20" s="106"/>
      <c r="C20" s="106"/>
      <c r="D20" s="106"/>
      <c r="E20" s="106"/>
    </row>
    <row r="21" customFormat="false" ht="7.5" hidden="false" customHeight="true" outlineLevel="0" collapsed="false">
      <c r="B21" s="106"/>
      <c r="C21" s="106"/>
      <c r="D21" s="106"/>
      <c r="E21" s="106"/>
    </row>
    <row r="22" customFormat="false" ht="11.25" hidden="false" customHeight="true" outlineLevel="0" collapsed="false">
      <c r="B22" s="106" t="s">
        <v>13491</v>
      </c>
      <c r="C22" s="106"/>
      <c r="D22" s="106"/>
      <c r="E22" s="106"/>
    </row>
    <row r="23" customFormat="false" ht="11.25" hidden="false" customHeight="true" outlineLevel="0" collapsed="false">
      <c r="B23" s="106"/>
      <c r="C23" s="106"/>
      <c r="D23" s="106"/>
      <c r="E23" s="106"/>
    </row>
    <row r="24" customFormat="false" ht="11.25" hidden="false" customHeight="true" outlineLevel="0" collapsed="false">
      <c r="B24" s="106"/>
      <c r="C24" s="106"/>
      <c r="D24" s="106"/>
      <c r="E24" s="106"/>
    </row>
    <row r="25" customFormat="false" ht="11.25" hidden="false" customHeight="true" outlineLevel="0" collapsed="false">
      <c r="B25" s="106"/>
      <c r="C25" s="106"/>
      <c r="D25" s="106"/>
      <c r="E25" s="106"/>
    </row>
    <row r="26" customFormat="false" ht="10.5" hidden="false" customHeight="true" outlineLevel="0" collapsed="false">
      <c r="B26" s="106" t="s">
        <v>13492</v>
      </c>
      <c r="C26" s="106"/>
      <c r="D26" s="106"/>
      <c r="E26" s="106"/>
    </row>
    <row r="27" customFormat="false" ht="10.5" hidden="false" customHeight="true" outlineLevel="0" collapsed="false">
      <c r="B27" s="106"/>
      <c r="C27" s="106"/>
      <c r="D27" s="106"/>
      <c r="E27" s="106"/>
    </row>
    <row r="28" customFormat="false" ht="10.5" hidden="false" customHeight="true" outlineLevel="0" collapsed="false">
      <c r="B28" s="106"/>
      <c r="C28" s="106"/>
      <c r="D28" s="106"/>
      <c r="E28" s="106"/>
    </row>
    <row r="29" customFormat="false" ht="15.75" hidden="false" customHeight="true" outlineLevel="0" collapsed="false">
      <c r="B29" s="106" t="s">
        <v>13493</v>
      </c>
      <c r="C29" s="106"/>
      <c r="D29" s="106"/>
      <c r="E29" s="106"/>
    </row>
    <row r="30" customFormat="false" ht="15.75" hidden="false" customHeight="true" outlineLevel="0" collapsed="false">
      <c r="B30" s="106"/>
      <c r="C30" s="106"/>
      <c r="D30" s="106"/>
      <c r="E30" s="106"/>
    </row>
    <row r="32" customFormat="false" ht="15.75" hidden="false" customHeight="true" outlineLevel="0" collapsed="false">
      <c r="B32" s="103" t="s">
        <v>1406</v>
      </c>
      <c r="C32" s="8"/>
      <c r="D32" s="8"/>
      <c r="E32" s="8"/>
      <c r="F32" s="8"/>
      <c r="G32" s="8"/>
      <c r="H32" s="8"/>
      <c r="I32" s="8"/>
      <c r="J32" s="8"/>
      <c r="K32" s="8"/>
    </row>
    <row r="33" customFormat="false" ht="17.25" hidden="false" customHeight="true" outlineLevel="0" collapsed="false">
      <c r="B33" s="107" t="s">
        <v>1407</v>
      </c>
      <c r="C33" s="107"/>
      <c r="E33" s="105" t="s">
        <v>1408</v>
      </c>
    </row>
    <row r="34" customFormat="false" ht="17.25" hidden="false" customHeight="true" outlineLevel="0" collapsed="false">
      <c r="B34" s="106" t="s">
        <v>13494</v>
      </c>
      <c r="C34" s="106"/>
      <c r="E34" s="122" t="s">
        <v>13495</v>
      </c>
    </row>
    <row r="35" customFormat="false" ht="30.75" hidden="false" customHeight="true" outlineLevel="0" collapsed="false">
      <c r="B35" s="106" t="s">
        <v>13496</v>
      </c>
      <c r="C35" s="106"/>
      <c r="E35" s="122" t="s">
        <v>13497</v>
      </c>
    </row>
    <row r="36" customFormat="false" ht="30.75" hidden="false" customHeight="true" outlineLevel="0" collapsed="false">
      <c r="B36" s="106" t="s">
        <v>13498</v>
      </c>
      <c r="C36" s="106"/>
      <c r="E36" s="122" t="s">
        <v>13499</v>
      </c>
    </row>
    <row r="37" customFormat="false" ht="17.25" hidden="false" customHeight="true" outlineLevel="0" collapsed="false">
      <c r="B37" s="106" t="s">
        <v>13500</v>
      </c>
      <c r="C37" s="106"/>
      <c r="D37" s="106"/>
      <c r="E37" s="106"/>
    </row>
    <row r="39" customFormat="false" ht="30.75" hidden="false" customHeight="true" outlineLevel="0" collapsed="false">
      <c r="B39" s="152" t="s">
        <v>6621</v>
      </c>
      <c r="C39" s="152" t="s">
        <v>1417</v>
      </c>
      <c r="D39" s="152" t="s">
        <v>1418</v>
      </c>
      <c r="E39" s="152" t="s">
        <v>1419</v>
      </c>
    </row>
    <row r="40" customFormat="false" ht="72" hidden="false" customHeight="true" outlineLevel="0" collapsed="false">
      <c r="B40" s="15" t="s">
        <v>13501</v>
      </c>
      <c r="C40" s="15" t="s">
        <v>13502</v>
      </c>
      <c r="D40" s="15" t="s">
        <v>13503</v>
      </c>
      <c r="E40" s="153" t="s">
        <v>8365</v>
      </c>
    </row>
    <row r="41" customFormat="false" ht="58.5" hidden="false" customHeight="true" outlineLevel="0" collapsed="false">
      <c r="B41" s="15" t="s">
        <v>13504</v>
      </c>
      <c r="C41" s="15" t="s">
        <v>13505</v>
      </c>
      <c r="D41" s="15" t="s">
        <v>13506</v>
      </c>
      <c r="E41" s="153" t="s">
        <v>8094</v>
      </c>
    </row>
    <row r="42" customFormat="false" ht="58.5" hidden="false" customHeight="true" outlineLevel="0" collapsed="false">
      <c r="B42" s="15" t="s">
        <v>13507</v>
      </c>
      <c r="C42" s="15" t="s">
        <v>13508</v>
      </c>
      <c r="D42" s="15" t="s">
        <v>13509</v>
      </c>
      <c r="E42" s="153" t="s">
        <v>1262</v>
      </c>
    </row>
    <row r="43" customFormat="false" ht="86.25" hidden="false" customHeight="true" outlineLevel="0" collapsed="false">
      <c r="B43" s="15" t="s">
        <v>13510</v>
      </c>
      <c r="C43" s="15" t="s">
        <v>13511</v>
      </c>
      <c r="D43" s="15" t="s">
        <v>13512</v>
      </c>
      <c r="E43" s="153" t="s">
        <v>12468</v>
      </c>
    </row>
    <row r="45" customFormat="false" ht="15.75" hidden="false" customHeight="true" outlineLevel="0" collapsed="false">
      <c r="B45" s="103" t="s">
        <v>1429</v>
      </c>
      <c r="C45" s="8"/>
      <c r="D45" s="8"/>
      <c r="E45" s="8"/>
      <c r="F45" s="8"/>
      <c r="G45" s="8"/>
      <c r="H45" s="8"/>
      <c r="I45" s="8"/>
      <c r="J45" s="8"/>
      <c r="K45" s="8"/>
    </row>
    <row r="46" customFormat="false" ht="17.25" hidden="false" customHeight="true" outlineLevel="0" collapsed="false">
      <c r="B46" s="106" t="s">
        <v>13513</v>
      </c>
      <c r="C46" s="106"/>
      <c r="D46" s="106"/>
      <c r="E46" s="106"/>
    </row>
    <row r="47" customFormat="false" ht="15" hidden="false" customHeight="true" outlineLevel="0" collapsed="false">
      <c r="B47" s="122"/>
    </row>
    <row r="48" customFormat="false" ht="17.25" hidden="false" customHeight="true" outlineLevel="0" collapsed="false">
      <c r="B48" s="106" t="s">
        <v>13514</v>
      </c>
      <c r="C48" s="106"/>
      <c r="D48" s="106"/>
      <c r="E48" s="106"/>
    </row>
    <row r="49" customFormat="false" ht="17.25" hidden="false" customHeight="true" outlineLevel="0" collapsed="false">
      <c r="B49" s="106" t="s">
        <v>13515</v>
      </c>
      <c r="C49" s="106"/>
      <c r="D49" s="106"/>
      <c r="E49" s="106"/>
    </row>
    <row r="50" customFormat="false" ht="17.25" hidden="false" customHeight="true" outlineLevel="0" collapsed="false">
      <c r="B50" s="106" t="s">
        <v>13516</v>
      </c>
      <c r="C50" s="106"/>
      <c r="D50" s="106"/>
      <c r="E50" s="106"/>
    </row>
    <row r="51" customFormat="false" ht="17.25" hidden="false" customHeight="true" outlineLevel="0" collapsed="false">
      <c r="B51" s="106" t="s">
        <v>13517</v>
      </c>
      <c r="C51" s="106"/>
      <c r="D51" s="106"/>
      <c r="E51" s="106"/>
    </row>
    <row r="52" customFormat="false" ht="17.25" hidden="false" customHeight="true" outlineLevel="0" collapsed="false">
      <c r="B52" s="106" t="s">
        <v>13518</v>
      </c>
      <c r="C52" s="106"/>
      <c r="D52" s="106"/>
      <c r="E52" s="106"/>
    </row>
    <row r="53" customFormat="false" ht="17.25" hidden="false" customHeight="true" outlineLevel="0" collapsed="false">
      <c r="B53" s="106" t="s">
        <v>13519</v>
      </c>
      <c r="C53" s="106"/>
      <c r="D53" s="106"/>
      <c r="E53" s="106"/>
    </row>
    <row r="54" customFormat="false" ht="17.25" hidden="false" customHeight="true" outlineLevel="0" collapsed="false">
      <c r="B54" s="106" t="s">
        <v>13520</v>
      </c>
      <c r="C54" s="106"/>
      <c r="D54" s="106"/>
      <c r="E54" s="106"/>
    </row>
    <row r="55" customFormat="false" ht="17.25" hidden="false" customHeight="true" outlineLevel="0" collapsed="false">
      <c r="B55" s="106" t="s">
        <v>13521</v>
      </c>
      <c r="C55" s="106"/>
      <c r="D55" s="106"/>
      <c r="E55" s="106"/>
    </row>
    <row r="56" customFormat="false" ht="17.25" hidden="false" customHeight="true" outlineLevel="0" collapsed="false">
      <c r="B56" s="106" t="s">
        <v>13522</v>
      </c>
      <c r="C56" s="106"/>
      <c r="D56" s="106"/>
      <c r="E56" s="106"/>
    </row>
    <row r="57" customFormat="false" ht="17.25" hidden="false" customHeight="true" outlineLevel="0" collapsed="false">
      <c r="B57" s="106" t="s">
        <v>13523</v>
      </c>
      <c r="C57" s="106"/>
      <c r="D57" s="106"/>
      <c r="E57" s="106"/>
    </row>
    <row r="58" customFormat="false" ht="15" hidden="false" customHeight="true" outlineLevel="0" collapsed="false">
      <c r="B58" s="122"/>
    </row>
    <row r="59" customFormat="false" ht="15.75" hidden="false" customHeight="true" outlineLevel="0" collapsed="false">
      <c r="B59" s="106" t="s">
        <v>13524</v>
      </c>
      <c r="C59" s="106"/>
      <c r="D59" s="106"/>
      <c r="E59" s="106"/>
    </row>
    <row r="60" customFormat="false" ht="15.75" hidden="false" customHeight="true" outlineLevel="0" collapsed="false">
      <c r="B60" s="106"/>
      <c r="C60" s="106"/>
      <c r="D60" s="106"/>
      <c r="E60" s="106"/>
    </row>
    <row r="62" customFormat="false" ht="15.75" hidden="false" customHeight="true" outlineLevel="0" collapsed="false">
      <c r="B62" s="103" t="s">
        <v>1437</v>
      </c>
      <c r="C62" s="8"/>
      <c r="D62" s="8"/>
      <c r="E62" s="8"/>
      <c r="F62" s="8"/>
      <c r="G62" s="8"/>
      <c r="H62" s="8"/>
      <c r="I62" s="8"/>
      <c r="J62" s="8"/>
      <c r="K62" s="8"/>
    </row>
    <row r="63" customFormat="false" ht="17.25" hidden="false" customHeight="true" outlineLevel="0" collapsed="false">
      <c r="B63" s="152" t="s">
        <v>1438</v>
      </c>
      <c r="C63" s="152" t="s">
        <v>1439</v>
      </c>
      <c r="D63" s="152" t="s">
        <v>1440</v>
      </c>
      <c r="E63" s="152"/>
    </row>
    <row r="64" customFormat="false" ht="17.25" hidden="false" customHeight="true" outlineLevel="0" collapsed="false">
      <c r="B64" s="15" t="s">
        <v>11336</v>
      </c>
      <c r="C64" s="15" t="s">
        <v>13525</v>
      </c>
      <c r="D64" s="15" t="s">
        <v>13526</v>
      </c>
      <c r="E64" s="15"/>
    </row>
    <row r="65" customFormat="false" ht="17.25" hidden="false" customHeight="true" outlineLevel="0" collapsed="false">
      <c r="B65" s="15" t="s">
        <v>9464</v>
      </c>
      <c r="C65" s="15" t="s">
        <v>13527</v>
      </c>
      <c r="D65" s="15" t="s">
        <v>13528</v>
      </c>
      <c r="E65" s="15"/>
    </row>
    <row r="66" customFormat="false" ht="17.25" hidden="false" customHeight="true" outlineLevel="0" collapsed="false">
      <c r="B66" s="15" t="s">
        <v>2496</v>
      </c>
      <c r="C66" s="15" t="s">
        <v>13529</v>
      </c>
      <c r="D66" s="15" t="s">
        <v>13530</v>
      </c>
      <c r="E66" s="15"/>
    </row>
    <row r="67" customFormat="false" ht="17.25" hidden="false" customHeight="true" outlineLevel="0" collapsed="false">
      <c r="B67" s="15" t="s">
        <v>7487</v>
      </c>
      <c r="C67" s="15" t="s">
        <v>13531</v>
      </c>
      <c r="D67" s="15" t="s">
        <v>13532</v>
      </c>
      <c r="E67" s="15"/>
    </row>
    <row r="68" customFormat="false" ht="17.25" hidden="false" customHeight="true" outlineLevel="0" collapsed="false">
      <c r="B68" s="15" t="s">
        <v>10303</v>
      </c>
      <c r="C68" s="15" t="s">
        <v>13533</v>
      </c>
      <c r="D68" s="15" t="s">
        <v>13534</v>
      </c>
      <c r="E68" s="15"/>
    </row>
    <row r="70" customFormat="false" ht="15.75" hidden="false" customHeight="true" outlineLevel="0" collapsed="false">
      <c r="B70" s="103" t="s">
        <v>1454</v>
      </c>
      <c r="C70" s="8"/>
      <c r="D70" s="8"/>
      <c r="E70" s="8"/>
      <c r="F70" s="8"/>
      <c r="G70" s="8"/>
      <c r="H70" s="8"/>
      <c r="I70" s="8"/>
      <c r="J70" s="8"/>
      <c r="K70" s="8"/>
    </row>
    <row r="71" customFormat="false" ht="10.5" hidden="false" customHeight="true" outlineLevel="0" collapsed="false">
      <c r="B71" s="106" t="s">
        <v>13535</v>
      </c>
      <c r="C71" s="106"/>
      <c r="D71" s="106"/>
      <c r="E71" s="106"/>
    </row>
    <row r="72" customFormat="false" ht="10.5" hidden="false" customHeight="true" outlineLevel="0" collapsed="false">
      <c r="B72" s="106"/>
      <c r="C72" s="106"/>
      <c r="D72" s="106"/>
      <c r="E72" s="106"/>
    </row>
    <row r="73" customFormat="false" ht="10.5" hidden="false" customHeight="true" outlineLevel="0" collapsed="false">
      <c r="B73" s="106"/>
      <c r="C73" s="106"/>
      <c r="D73" s="106"/>
      <c r="E73" s="106"/>
    </row>
    <row r="74" customFormat="false" ht="15" hidden="false" customHeight="true" outlineLevel="0" collapsed="false">
      <c r="B74" s="112" t="s">
        <v>85</v>
      </c>
      <c r="C74" s="154" t="s">
        <v>86</v>
      </c>
    </row>
    <row r="76" customFormat="false" ht="17.25" hidden="false" customHeight="true" outlineLevel="0" collapsed="false">
      <c r="B76" s="107" t="s">
        <v>13536</v>
      </c>
      <c r="C76" s="107"/>
      <c r="D76" s="107"/>
      <c r="E76" s="107"/>
    </row>
    <row r="77" customFormat="false" ht="16.5" hidden="false" customHeight="true" outlineLevel="0" collapsed="false">
      <c r="B77" s="152" t="s">
        <v>13537</v>
      </c>
      <c r="C77" s="152" t="s">
        <v>8586</v>
      </c>
      <c r="D77" s="152" t="s">
        <v>10067</v>
      </c>
      <c r="E77" s="152" t="s">
        <v>15</v>
      </c>
      <c r="F77" s="152" t="s">
        <v>6916</v>
      </c>
    </row>
    <row r="78" customFormat="false" ht="44.25" hidden="false" customHeight="true" outlineLevel="0" collapsed="false">
      <c r="B78" s="15" t="s">
        <v>13538</v>
      </c>
      <c r="C78" s="155" t="n">
        <v>1</v>
      </c>
      <c r="D78" s="177" t="s">
        <v>13539</v>
      </c>
      <c r="E78" s="177" t="s">
        <v>10001</v>
      </c>
      <c r="F78" s="167" t="str">
        <f aca="false">IF(C78=1,"Closed","OPEN — blocks closure")</f>
        <v>Closed</v>
      </c>
    </row>
    <row r="79" customFormat="false" ht="44.25" hidden="false" customHeight="true" outlineLevel="0" collapsed="false">
      <c r="B79" s="15" t="s">
        <v>13540</v>
      </c>
      <c r="C79" s="155" t="n">
        <v>1</v>
      </c>
      <c r="D79" s="177" t="s">
        <v>13541</v>
      </c>
      <c r="E79" s="177" t="s">
        <v>7029</v>
      </c>
      <c r="F79" s="167" t="str">
        <f aca="false">IF(C79=1,"Closed","OPEN — blocks closure")</f>
        <v>Closed</v>
      </c>
    </row>
    <row r="80" customFormat="false" ht="44.25" hidden="false" customHeight="true" outlineLevel="0" collapsed="false">
      <c r="B80" s="15" t="s">
        <v>13542</v>
      </c>
      <c r="C80" s="155" t="n">
        <v>1</v>
      </c>
      <c r="D80" s="177" t="s">
        <v>13543</v>
      </c>
      <c r="E80" s="177" t="s">
        <v>10003</v>
      </c>
      <c r="F80" s="167" t="str">
        <f aca="false">IF(C80=1,"Closed","OPEN — blocks closure")</f>
        <v>Closed</v>
      </c>
    </row>
    <row r="81" customFormat="false" ht="58.5" hidden="false" customHeight="true" outlineLevel="0" collapsed="false">
      <c r="B81" s="15" t="s">
        <v>13544</v>
      </c>
      <c r="C81" s="155" t="n">
        <v>1</v>
      </c>
      <c r="D81" s="177" t="s">
        <v>13545</v>
      </c>
      <c r="E81" s="177" t="s">
        <v>11842</v>
      </c>
      <c r="F81" s="167" t="str">
        <f aca="false">IF(C81=1,"Closed","OPEN — blocks closure")</f>
        <v>Closed</v>
      </c>
    </row>
    <row r="82" customFormat="false" ht="44.25" hidden="false" customHeight="true" outlineLevel="0" collapsed="false">
      <c r="B82" s="15" t="s">
        <v>13546</v>
      </c>
      <c r="C82" s="155" t="n">
        <v>1</v>
      </c>
      <c r="D82" s="177" t="s">
        <v>13547</v>
      </c>
      <c r="E82" s="177" t="s">
        <v>6920</v>
      </c>
      <c r="F82" s="167" t="str">
        <f aca="false">IF(C82=1,"Closed","OPEN — blocks closure")</f>
        <v>Closed</v>
      </c>
    </row>
    <row r="83" customFormat="false" ht="44.25" hidden="false" customHeight="true" outlineLevel="0" collapsed="false">
      <c r="B83" s="15" t="s">
        <v>13548</v>
      </c>
      <c r="C83" s="155" t="n">
        <v>0</v>
      </c>
      <c r="D83" s="177" t="s">
        <v>13549</v>
      </c>
      <c r="E83" s="177" t="s">
        <v>9254</v>
      </c>
      <c r="F83" s="167" t="str">
        <f aca="false">IF(C83=1,"Closed","OPEN — blocks closure")</f>
        <v>OPEN — blocks closure</v>
      </c>
    </row>
    <row r="84" customFormat="false" ht="44.25" hidden="false" customHeight="true" outlineLevel="0" collapsed="false">
      <c r="B84" s="15" t="s">
        <v>13550</v>
      </c>
      <c r="C84" s="155" t="n">
        <v>1</v>
      </c>
      <c r="D84" s="177" t="s">
        <v>13551</v>
      </c>
      <c r="E84" s="177" t="s">
        <v>6925</v>
      </c>
      <c r="F84" s="167" t="str">
        <f aca="false">IF(C84=1,"Closed","OPEN — blocks closure")</f>
        <v>Closed</v>
      </c>
    </row>
    <row r="85" customFormat="false" ht="58.5" hidden="false" customHeight="true" outlineLevel="0" collapsed="false">
      <c r="B85" s="15" t="s">
        <v>13552</v>
      </c>
      <c r="C85" s="155" t="n">
        <v>0</v>
      </c>
      <c r="D85" s="177" t="s">
        <v>13553</v>
      </c>
      <c r="E85" s="177" t="s">
        <v>10001</v>
      </c>
      <c r="F85" s="167" t="str">
        <f aca="false">IF(C85=1,"Closed","OPEN — blocks closure")</f>
        <v>OPEN — blocks closure</v>
      </c>
    </row>
    <row r="86" customFormat="false" ht="30.75" hidden="false" customHeight="true" outlineLevel="0" collapsed="false">
      <c r="B86" s="15" t="s">
        <v>13554</v>
      </c>
      <c r="C86" s="155" t="n">
        <v>1</v>
      </c>
      <c r="D86" s="177" t="s">
        <v>13555</v>
      </c>
      <c r="E86" s="177" t="s">
        <v>10001</v>
      </c>
      <c r="F86" s="167" t="str">
        <f aca="false">IF(C86=1,"Closed","OPEN — blocks closure")</f>
        <v>Closed</v>
      </c>
    </row>
    <row r="87" customFormat="false" ht="44.25" hidden="false" customHeight="true" outlineLevel="0" collapsed="false">
      <c r="B87" s="15" t="s">
        <v>13556</v>
      </c>
      <c r="C87" s="155" t="n">
        <v>0</v>
      </c>
      <c r="D87" s="177" t="s">
        <v>13557</v>
      </c>
      <c r="E87" s="177" t="s">
        <v>6925</v>
      </c>
      <c r="F87" s="167" t="str">
        <f aca="false">IF(C87=1,"Closed","OPEN — blocks closure")</f>
        <v>OPEN — blocks closure</v>
      </c>
    </row>
    <row r="89" customFormat="false" ht="17.25" hidden="false" customHeight="true" outlineLevel="0" collapsed="false">
      <c r="B89" s="107" t="s">
        <v>13558</v>
      </c>
      <c r="C89" s="107"/>
      <c r="D89" s="107"/>
      <c r="E89" s="107"/>
    </row>
    <row r="90" customFormat="false" ht="30.75" hidden="false" customHeight="true" outlineLevel="0" collapsed="false">
      <c r="B90" s="152" t="s">
        <v>13559</v>
      </c>
      <c r="C90" s="152" t="s">
        <v>13560</v>
      </c>
      <c r="D90" s="152" t="s">
        <v>13561</v>
      </c>
      <c r="E90" s="152" t="s">
        <v>13562</v>
      </c>
    </row>
    <row r="91" customFormat="false" ht="58.5" hidden="false" customHeight="true" outlineLevel="0" collapsed="false">
      <c r="B91" s="177" t="s">
        <v>13563</v>
      </c>
      <c r="C91" s="177" t="s">
        <v>13564</v>
      </c>
      <c r="D91" s="177" t="s">
        <v>13565</v>
      </c>
      <c r="E91" s="177" t="s">
        <v>13566</v>
      </c>
    </row>
    <row r="92" customFormat="false" ht="44.25" hidden="false" customHeight="true" outlineLevel="0" collapsed="false">
      <c r="B92" s="177" t="s">
        <v>13567</v>
      </c>
      <c r="C92" s="177" t="s">
        <v>13568</v>
      </c>
      <c r="D92" s="177" t="s">
        <v>13569</v>
      </c>
      <c r="E92" s="177" t="s">
        <v>13570</v>
      </c>
    </row>
    <row r="93" customFormat="false" ht="58.5" hidden="false" customHeight="true" outlineLevel="0" collapsed="false">
      <c r="B93" s="177" t="s">
        <v>13571</v>
      </c>
      <c r="C93" s="177" t="s">
        <v>13572</v>
      </c>
      <c r="D93" s="177" t="s">
        <v>13573</v>
      </c>
      <c r="E93" s="177" t="s">
        <v>13574</v>
      </c>
    </row>
    <row r="94" customFormat="false" ht="72" hidden="false" customHeight="true" outlineLevel="0" collapsed="false">
      <c r="B94" s="177" t="s">
        <v>13575</v>
      </c>
      <c r="C94" s="177" t="s">
        <v>13576</v>
      </c>
      <c r="D94" s="177" t="s">
        <v>13577</v>
      </c>
      <c r="E94" s="177" t="s">
        <v>13578</v>
      </c>
    </row>
    <row r="96" customFormat="false" ht="17.25" hidden="false" customHeight="true" outlineLevel="0" collapsed="false">
      <c r="B96" s="107" t="s">
        <v>13579</v>
      </c>
      <c r="C96" s="107"/>
      <c r="D96" s="107"/>
      <c r="E96" s="107"/>
    </row>
    <row r="97" customFormat="false" ht="30.75" hidden="false" customHeight="true" outlineLevel="0" collapsed="false">
      <c r="B97" s="152" t="s">
        <v>13580</v>
      </c>
      <c r="C97" s="152" t="s">
        <v>13581</v>
      </c>
      <c r="D97" s="152" t="s">
        <v>13582</v>
      </c>
      <c r="E97" s="152" t="s">
        <v>13583</v>
      </c>
      <c r="F97" s="152" t="s">
        <v>12278</v>
      </c>
      <c r="G97" s="152" t="s">
        <v>13584</v>
      </c>
      <c r="H97" s="152" t="s">
        <v>13585</v>
      </c>
      <c r="I97" s="152" t="s">
        <v>15</v>
      </c>
      <c r="J97" s="152" t="s">
        <v>6915</v>
      </c>
    </row>
    <row r="98" customFormat="false" ht="44.25" hidden="false" customHeight="true" outlineLevel="0" collapsed="false">
      <c r="B98" s="177" t="s">
        <v>13586</v>
      </c>
      <c r="C98" s="177" t="s">
        <v>13587</v>
      </c>
      <c r="D98" s="177" t="s">
        <v>13588</v>
      </c>
      <c r="E98" s="155" t="n">
        <v>12</v>
      </c>
      <c r="F98" s="173" t="n">
        <v>64000</v>
      </c>
      <c r="G98" s="159" t="n">
        <f aca="false">IFERROR(F98/E98,0)</f>
        <v>5333.33333333333</v>
      </c>
      <c r="H98" s="161" t="n">
        <f aca="false">RANK(G98,$G$98:$G$101,0)</f>
        <v>3</v>
      </c>
      <c r="I98" s="177" t="s">
        <v>6925</v>
      </c>
      <c r="J98" s="180" t="n">
        <v>46477</v>
      </c>
    </row>
    <row r="99" customFormat="false" ht="30.75" hidden="false" customHeight="true" outlineLevel="0" collapsed="false">
      <c r="B99" s="177" t="s">
        <v>13589</v>
      </c>
      <c r="C99" s="177" t="s">
        <v>13590</v>
      </c>
      <c r="D99" s="177" t="s">
        <v>13591</v>
      </c>
      <c r="E99" s="155" t="n">
        <v>4</v>
      </c>
      <c r="F99" s="173" t="n">
        <v>58000</v>
      </c>
      <c r="G99" s="159" t="n">
        <f aca="false">IFERROR(F99/E99,0)</f>
        <v>14500</v>
      </c>
      <c r="H99" s="161" t="n">
        <f aca="false">RANK(G99,$G$98:$G$101,0)</f>
        <v>1</v>
      </c>
      <c r="I99" s="177" t="s">
        <v>6920</v>
      </c>
      <c r="J99" s="180" t="n">
        <v>46418</v>
      </c>
    </row>
    <row r="100" customFormat="false" ht="30.75" hidden="false" customHeight="true" outlineLevel="0" collapsed="false">
      <c r="B100" s="177" t="s">
        <v>13592</v>
      </c>
      <c r="C100" s="177" t="s">
        <v>13593</v>
      </c>
      <c r="D100" s="177" t="s">
        <v>13594</v>
      </c>
      <c r="E100" s="155" t="n">
        <v>20</v>
      </c>
      <c r="F100" s="173" t="n">
        <v>140000</v>
      </c>
      <c r="G100" s="159" t="n">
        <f aca="false">IFERROR(F100/E100,0)</f>
        <v>7000</v>
      </c>
      <c r="H100" s="161" t="n">
        <f aca="false">RANK(G100,$G$98:$G$101,0)</f>
        <v>2</v>
      </c>
      <c r="I100" s="177" t="s">
        <v>12555</v>
      </c>
      <c r="J100" s="180" t="n">
        <v>46568</v>
      </c>
    </row>
    <row r="101" customFormat="false" ht="16.5" hidden="false" customHeight="true" outlineLevel="0" collapsed="false">
      <c r="B101" s="177" t="s">
        <v>13595</v>
      </c>
      <c r="C101" s="177" t="s">
        <v>13596</v>
      </c>
      <c r="D101" s="177" t="s">
        <v>98</v>
      </c>
      <c r="E101" s="155" t="n">
        <v>0</v>
      </c>
      <c r="F101" s="173" t="n">
        <v>0</v>
      </c>
      <c r="G101" s="159" t="n">
        <f aca="false">IFERROR(F101/E101,0)</f>
        <v>0</v>
      </c>
      <c r="H101" s="161" t="n">
        <f aca="false">RANK(G101,$G$98:$G$101,0)</f>
        <v>4</v>
      </c>
      <c r="I101" s="177" t="s">
        <v>6909</v>
      </c>
      <c r="J101" s="177"/>
    </row>
    <row r="103" customFormat="false" ht="17.25" hidden="false" customHeight="true" outlineLevel="0" collapsed="false">
      <c r="B103" s="107" t="s">
        <v>13597</v>
      </c>
      <c r="C103" s="107"/>
      <c r="D103" s="107"/>
      <c r="E103" s="107"/>
    </row>
    <row r="104" customFormat="false" ht="17.25" hidden="false" customHeight="true" outlineLevel="0" collapsed="false">
      <c r="B104" s="152" t="s">
        <v>10205</v>
      </c>
      <c r="C104" s="152" t="s">
        <v>13598</v>
      </c>
      <c r="D104" s="152" t="s">
        <v>13599</v>
      </c>
      <c r="E104" s="152"/>
    </row>
    <row r="105" customFormat="false" ht="30.75" hidden="false" customHeight="true" outlineLevel="0" collapsed="false">
      <c r="B105" s="15" t="s">
        <v>13600</v>
      </c>
      <c r="C105" s="15" t="s">
        <v>13601</v>
      </c>
      <c r="D105" s="153" t="s">
        <v>1250</v>
      </c>
      <c r="E105" s="153"/>
    </row>
    <row r="106" customFormat="false" ht="30.75" hidden="false" customHeight="true" outlineLevel="0" collapsed="false">
      <c r="B106" s="15" t="s">
        <v>13602</v>
      </c>
      <c r="C106" s="15" t="s">
        <v>13603</v>
      </c>
      <c r="D106" s="153" t="s">
        <v>9701</v>
      </c>
      <c r="E106" s="153"/>
    </row>
    <row r="107" customFormat="false" ht="30.75" hidden="false" customHeight="true" outlineLevel="0" collapsed="false">
      <c r="B107" s="15" t="s">
        <v>13604</v>
      </c>
      <c r="C107" s="15" t="s">
        <v>13605</v>
      </c>
      <c r="D107" s="153" t="s">
        <v>6744</v>
      </c>
      <c r="E107" s="153"/>
    </row>
    <row r="108" customFormat="false" ht="17.25" hidden="false" customHeight="true" outlineLevel="0" collapsed="false">
      <c r="B108" s="15" t="s">
        <v>13606</v>
      </c>
      <c r="C108" s="15" t="s">
        <v>13607</v>
      </c>
      <c r="D108" s="153" t="s">
        <v>8094</v>
      </c>
      <c r="E108" s="153"/>
    </row>
    <row r="109" customFormat="false" ht="17.25" hidden="false" customHeight="true" outlineLevel="0" collapsed="false">
      <c r="B109" s="15" t="s">
        <v>13608</v>
      </c>
      <c r="C109" s="15" t="s">
        <v>13609</v>
      </c>
      <c r="D109" s="153" t="s">
        <v>8637</v>
      </c>
      <c r="E109" s="153"/>
    </row>
    <row r="110" customFormat="false" ht="30.75" hidden="false" customHeight="true" outlineLevel="0" collapsed="false">
      <c r="B110" s="15" t="s">
        <v>13610</v>
      </c>
      <c r="C110" s="15" t="s">
        <v>13611</v>
      </c>
      <c r="D110" s="153" t="s">
        <v>7979</v>
      </c>
      <c r="E110" s="153"/>
    </row>
    <row r="111" customFormat="false" ht="30.75" hidden="false" customHeight="true" outlineLevel="0" collapsed="false">
      <c r="B111" s="15" t="s">
        <v>13612</v>
      </c>
      <c r="C111" s="15" t="s">
        <v>13613</v>
      </c>
      <c r="D111" s="153" t="s">
        <v>12494</v>
      </c>
      <c r="E111" s="153"/>
    </row>
    <row r="113" customFormat="false" ht="17.25" hidden="false" customHeight="true" outlineLevel="0" collapsed="false">
      <c r="B113" s="152" t="s">
        <v>6689</v>
      </c>
      <c r="C113" s="152" t="s">
        <v>6654</v>
      </c>
      <c r="D113" s="152" t="s">
        <v>88</v>
      </c>
      <c r="E113" s="152"/>
    </row>
    <row r="114" customFormat="false" ht="17.25" hidden="false" customHeight="true" outlineLevel="0" collapsed="false">
      <c r="B114" s="15" t="s">
        <v>13614</v>
      </c>
      <c r="C114" s="161" t="n">
        <f aca="false">COUNTA(B78:B87)</f>
        <v>10</v>
      </c>
      <c r="D114" s="15"/>
      <c r="E114" s="15"/>
    </row>
    <row r="115" customFormat="false" ht="17.25" hidden="false" customHeight="true" outlineLevel="0" collapsed="false">
      <c r="B115" s="15" t="s">
        <v>13615</v>
      </c>
      <c r="C115" s="161" t="n">
        <f aca="false">SUM(C78:C87)</f>
        <v>7</v>
      </c>
      <c r="D115" s="15"/>
      <c r="E115" s="15"/>
    </row>
    <row r="116" customFormat="false" ht="17.25" hidden="false" customHeight="true" outlineLevel="0" collapsed="false">
      <c r="B116" s="15" t="s">
        <v>13616</v>
      </c>
      <c r="C116" s="184" t="n">
        <f aca="false">IFERROR(SUM(C78:C87)/COUNTA(B78:B87),0)</f>
        <v>0.7</v>
      </c>
      <c r="D116" s="15" t="s">
        <v>13617</v>
      </c>
      <c r="E116" s="15"/>
    </row>
    <row r="117" customFormat="false" ht="17.25" hidden="false" customHeight="true" outlineLevel="0" collapsed="false">
      <c r="B117" s="15" t="s">
        <v>13528</v>
      </c>
      <c r="C117" s="161" t="n">
        <f aca="false">COUNTIF(F78:F87,"OPEN*")</f>
        <v>3</v>
      </c>
      <c r="D117" s="15" t="s">
        <v>13618</v>
      </c>
      <c r="E117" s="15"/>
    </row>
    <row r="118" customFormat="false" ht="17.25" hidden="false" customHeight="true" outlineLevel="0" collapsed="false">
      <c r="B118" s="15" t="s">
        <v>13619</v>
      </c>
      <c r="C118" s="161" t="n">
        <f aca="false">COUNTA(B91:B94)+COUNTA(D91:D94)</f>
        <v>8</v>
      </c>
      <c r="D118" s="15" t="s">
        <v>13620</v>
      </c>
      <c r="E118" s="15"/>
    </row>
    <row r="119" customFormat="false" ht="30.75" hidden="false" customHeight="true" outlineLevel="0" collapsed="false">
      <c r="B119" s="15" t="s">
        <v>13621</v>
      </c>
      <c r="C119" s="161" t="n">
        <f aca="false">COUNTIF(F98:F101,"&gt;0")</f>
        <v>3</v>
      </c>
      <c r="D119" s="15" t="s">
        <v>13622</v>
      </c>
      <c r="E119" s="15"/>
    </row>
    <row r="120" customFormat="false" ht="17.25" hidden="false" customHeight="true" outlineLevel="0" collapsed="false">
      <c r="B120" s="15" t="s">
        <v>13623</v>
      </c>
      <c r="C120" s="167" t="str">
        <f aca="false">INDEX(B98:B101,MATCH(MAX(G98:G101),G98:G101,0))</f>
        <v>PET line, 1.5 L format</v>
      </c>
      <c r="D120" s="15" t="s">
        <v>13624</v>
      </c>
      <c r="E120" s="15"/>
    </row>
    <row r="121" customFormat="false" ht="17.25" hidden="false" customHeight="true" outlineLevel="0" collapsed="false">
      <c r="B121" s="15" t="s">
        <v>13625</v>
      </c>
      <c r="C121" s="159" t="n">
        <f aca="false">SUM(F98:F101)</f>
        <v>262000</v>
      </c>
      <c r="D121" s="15" t="s">
        <v>13626</v>
      </c>
      <c r="E121" s="15"/>
    </row>
    <row r="123" customFormat="false" ht="15.75" hidden="false" customHeight="true" outlineLevel="0" collapsed="false">
      <c r="B123" s="103" t="s">
        <v>1493</v>
      </c>
      <c r="C123" s="8"/>
      <c r="D123" s="8"/>
      <c r="E123" s="8"/>
      <c r="F123" s="8"/>
      <c r="G123" s="8"/>
      <c r="H123" s="8"/>
      <c r="I123" s="8"/>
      <c r="J123" s="8"/>
      <c r="K123" s="8"/>
    </row>
    <row r="124" customFormat="false" ht="96" hidden="false" customHeight="true" outlineLevel="0" collapsed="false">
      <c r="B124" s="105" t="s">
        <v>1494</v>
      </c>
      <c r="C124" s="168" t="str">
        <f aca="false">"Closure is "&amp;TEXT(C116,"0%")&amp;" complete with "&amp;TEXT(C117,"0")&amp;" item(s) still open. Replication could add "&amp;TEXT(C121,"#,##0")&amp;" USD/year across the candidate lines, and the best return per person-day is "&amp;C120&amp;". "&amp;IF(C117&gt;0,"The project CANNOT be closed while items remain open — most commonly the benefit signature and the replication assessment. Close them or transfer them formally to a named owner with a date. ","Every closure requirement is met. ")&amp;"Note that the replication benefit is of the same order as the original project benefit and costs a fraction of the effort — which is why closure without a replication assessment is where most of the value of an improvement programme is quietly lost."</f>
        <v>Closure is 70% complete with 3 item(s) still open. Replication could add 262,000 USD/year across the candidate lines, and the best return per person-day is PET line, 1.5 L format. The project CANNOT be closed while items remain open — most commonly the benefit signature and the replication assessment. Close them or transfer them formally to a named owner with a date. Note that the replication benefit is of the same order as the original project benefit and costs a fraction of the effort — which is why closure without a replication assessment is where most of the value of an improvement programme is quietly lost.</v>
      </c>
      <c r="D124" s="168"/>
      <c r="E124" s="168"/>
    </row>
    <row r="126" customFormat="false" ht="17.25" hidden="false" customHeight="true" outlineLevel="0" collapsed="false">
      <c r="B126" s="152" t="s">
        <v>1495</v>
      </c>
      <c r="C126" s="152" t="s">
        <v>1496</v>
      </c>
      <c r="D126" s="152" t="s">
        <v>1497</v>
      </c>
      <c r="E126" s="152"/>
    </row>
    <row r="127" customFormat="false" ht="17.25" hidden="false" customHeight="true" outlineLevel="0" collapsed="false">
      <c r="B127" s="15" t="s">
        <v>13616</v>
      </c>
      <c r="C127" s="15" t="s">
        <v>13627</v>
      </c>
      <c r="D127" s="15" t="s">
        <v>13628</v>
      </c>
      <c r="E127" s="15"/>
    </row>
    <row r="128" customFormat="false" ht="17.25" hidden="false" customHeight="true" outlineLevel="0" collapsed="false">
      <c r="B128" s="15" t="s">
        <v>13629</v>
      </c>
      <c r="C128" s="15" t="s">
        <v>13630</v>
      </c>
      <c r="D128" s="15" t="s">
        <v>13631</v>
      </c>
      <c r="E128" s="15"/>
    </row>
    <row r="129" customFormat="false" ht="17.25" hidden="false" customHeight="true" outlineLevel="0" collapsed="false">
      <c r="B129" s="15" t="s">
        <v>13632</v>
      </c>
      <c r="C129" s="15" t="s">
        <v>13633</v>
      </c>
      <c r="D129" s="15" t="s">
        <v>13634</v>
      </c>
      <c r="E129" s="15"/>
    </row>
    <row r="130" customFormat="false" ht="17.25" hidden="false" customHeight="true" outlineLevel="0" collapsed="false">
      <c r="B130" s="15" t="s">
        <v>13635</v>
      </c>
      <c r="C130" s="15" t="s">
        <v>13636</v>
      </c>
      <c r="D130" s="15" t="s">
        <v>13637</v>
      </c>
      <c r="E130" s="15"/>
    </row>
    <row r="131" customFormat="false" ht="17.25" hidden="false" customHeight="true" outlineLevel="0" collapsed="false">
      <c r="B131" s="15" t="s">
        <v>12814</v>
      </c>
      <c r="C131" s="15" t="s">
        <v>13638</v>
      </c>
      <c r="D131" s="15" t="s">
        <v>13639</v>
      </c>
      <c r="E131" s="15"/>
    </row>
    <row r="133" customFormat="false" ht="15" hidden="false" customHeight="true" outlineLevel="0" collapsed="false">
      <c r="B133" s="105" t="s">
        <v>1507</v>
      </c>
    </row>
    <row r="134" customFormat="false" ht="17.25" hidden="false" customHeight="true" outlineLevel="0" collapsed="false">
      <c r="B134" s="106" t="s">
        <v>13640</v>
      </c>
      <c r="C134" s="106"/>
      <c r="D134" s="106"/>
      <c r="E134" s="106"/>
    </row>
    <row r="135" customFormat="false" ht="17.25" hidden="false" customHeight="true" outlineLevel="0" collapsed="false">
      <c r="B135" s="106" t="s">
        <v>13641</v>
      </c>
      <c r="C135" s="106"/>
      <c r="D135" s="106"/>
      <c r="E135" s="106"/>
    </row>
    <row r="136" customFormat="false" ht="17.25" hidden="false" customHeight="true" outlineLevel="0" collapsed="false">
      <c r="B136" s="106" t="s">
        <v>13642</v>
      </c>
      <c r="C136" s="106"/>
      <c r="D136" s="106"/>
      <c r="E136" s="106"/>
    </row>
    <row r="137" customFormat="false" ht="17.25" hidden="false" customHeight="true" outlineLevel="0" collapsed="false">
      <c r="B137" s="106" t="s">
        <v>13643</v>
      </c>
      <c r="C137" s="106"/>
      <c r="D137" s="106"/>
      <c r="E137" s="106"/>
    </row>
    <row r="138" customFormat="false" ht="17.25" hidden="false" customHeight="true" outlineLevel="0" collapsed="false">
      <c r="B138" s="106" t="s">
        <v>13644</v>
      </c>
      <c r="C138" s="106"/>
      <c r="D138" s="106"/>
      <c r="E138" s="106"/>
    </row>
    <row r="139" customFormat="false" ht="17.25" hidden="false" customHeight="true" outlineLevel="0" collapsed="false">
      <c r="B139" s="106" t="s">
        <v>13645</v>
      </c>
      <c r="C139" s="106"/>
      <c r="D139" s="106"/>
      <c r="E139" s="106"/>
    </row>
    <row r="141" customFormat="false" ht="15.75" hidden="false" customHeight="true" outlineLevel="0" collapsed="false">
      <c r="B141" s="103" t="s">
        <v>1513</v>
      </c>
      <c r="C141" s="8"/>
      <c r="D141" s="8"/>
      <c r="E141" s="8"/>
      <c r="F141" s="8"/>
      <c r="G141" s="8"/>
      <c r="H141" s="8"/>
      <c r="I141" s="8"/>
      <c r="J141" s="8"/>
      <c r="K141" s="8"/>
    </row>
    <row r="142" customFormat="false" ht="17.25" hidden="false" customHeight="true" outlineLevel="0" collapsed="false">
      <c r="B142" s="106" t="s">
        <v>6712</v>
      </c>
      <c r="C142" s="106"/>
      <c r="D142" s="106"/>
      <c r="E142" s="106"/>
      <c r="N142" s="169" t="s">
        <v>1515</v>
      </c>
    </row>
    <row r="143" customFormat="false" ht="58.5" hidden="false" customHeight="true" outlineLevel="0" collapsed="false">
      <c r="B143" s="106" t="s">
        <v>13646</v>
      </c>
      <c r="C143" s="106"/>
      <c r="D143" s="106"/>
      <c r="E143" s="106"/>
      <c r="N143" s="120" t="s">
        <v>13647</v>
      </c>
    </row>
    <row r="144" customFormat="false" ht="44.25" hidden="false" customHeight="true" outlineLevel="0" collapsed="false">
      <c r="B144" s="106" t="s">
        <v>13648</v>
      </c>
      <c r="C144" s="106"/>
      <c r="D144" s="106"/>
      <c r="E144" s="106"/>
      <c r="N144" s="120" t="s">
        <v>13649</v>
      </c>
    </row>
    <row r="145" customFormat="false" ht="44.25" hidden="false" customHeight="true" outlineLevel="0" collapsed="false">
      <c r="B145" s="106" t="s">
        <v>13650</v>
      </c>
      <c r="C145" s="106"/>
      <c r="D145" s="106"/>
      <c r="E145" s="106"/>
      <c r="N145" s="120" t="s">
        <v>13651</v>
      </c>
    </row>
    <row r="147" customFormat="false" ht="15.75" hidden="false" customHeight="true" outlineLevel="0" collapsed="false">
      <c r="B147" s="103" t="s">
        <v>1522</v>
      </c>
      <c r="C147" s="8"/>
      <c r="D147" s="8"/>
      <c r="E147" s="8"/>
      <c r="F147" s="8"/>
      <c r="G147" s="8"/>
      <c r="H147" s="8"/>
      <c r="I147" s="8"/>
      <c r="J147" s="8"/>
      <c r="K147" s="8"/>
    </row>
    <row r="148" customFormat="false" ht="17.25" hidden="false" customHeight="true" outlineLevel="0" collapsed="false">
      <c r="B148" s="152" t="s">
        <v>1523</v>
      </c>
      <c r="C148" s="152" t="s">
        <v>1524</v>
      </c>
      <c r="D148" s="152" t="s">
        <v>6719</v>
      </c>
      <c r="E148" s="152"/>
    </row>
    <row r="149" customFormat="false" ht="17.25" hidden="false" customHeight="true" outlineLevel="0" collapsed="false">
      <c r="B149" s="170" t="s">
        <v>8365</v>
      </c>
      <c r="C149" s="170" t="s">
        <v>8094</v>
      </c>
      <c r="D149" s="171" t="s">
        <v>12468</v>
      </c>
      <c r="E149" s="171"/>
    </row>
  </sheetData>
  <mergeCells count="75">
    <mergeCell ref="B2:J2"/>
    <mergeCell ref="D3:E3"/>
    <mergeCell ref="C6:D6"/>
    <mergeCell ref="C7:D7"/>
    <mergeCell ref="C8:D8"/>
    <mergeCell ref="B11:E14"/>
    <mergeCell ref="B15:E17"/>
    <mergeCell ref="B18:E21"/>
    <mergeCell ref="B22:E25"/>
    <mergeCell ref="B26:E28"/>
    <mergeCell ref="B29:E30"/>
    <mergeCell ref="B33:C33"/>
    <mergeCell ref="B34:C34"/>
    <mergeCell ref="B35:C35"/>
    <mergeCell ref="B36:C36"/>
    <mergeCell ref="B37:E37"/>
    <mergeCell ref="B46:E46"/>
    <mergeCell ref="B48:E48"/>
    <mergeCell ref="B49:E49"/>
    <mergeCell ref="B50:E50"/>
    <mergeCell ref="B51:E51"/>
    <mergeCell ref="B52:E52"/>
    <mergeCell ref="B53:E53"/>
    <mergeCell ref="B54:E54"/>
    <mergeCell ref="B55:E55"/>
    <mergeCell ref="B56:E56"/>
    <mergeCell ref="B57:E57"/>
    <mergeCell ref="B59:E60"/>
    <mergeCell ref="D63:E63"/>
    <mergeCell ref="D64:E64"/>
    <mergeCell ref="D65:E65"/>
    <mergeCell ref="D66:E66"/>
    <mergeCell ref="D67:E67"/>
    <mergeCell ref="D68:E68"/>
    <mergeCell ref="B71:E73"/>
    <mergeCell ref="B76:E76"/>
    <mergeCell ref="B89:E89"/>
    <mergeCell ref="B96:E96"/>
    <mergeCell ref="B103:E103"/>
    <mergeCell ref="D104:E104"/>
    <mergeCell ref="D105:E105"/>
    <mergeCell ref="D106:E106"/>
    <mergeCell ref="D107:E107"/>
    <mergeCell ref="D108:E108"/>
    <mergeCell ref="D109:E109"/>
    <mergeCell ref="D110:E110"/>
    <mergeCell ref="D111:E111"/>
    <mergeCell ref="D113:E113"/>
    <mergeCell ref="D114:E114"/>
    <mergeCell ref="D115:E115"/>
    <mergeCell ref="D116:E116"/>
    <mergeCell ref="D117:E117"/>
    <mergeCell ref="D118:E118"/>
    <mergeCell ref="D119:E119"/>
    <mergeCell ref="D120:E120"/>
    <mergeCell ref="D121:E121"/>
    <mergeCell ref="C124:E124"/>
    <mergeCell ref="D126:E126"/>
    <mergeCell ref="D127:E127"/>
    <mergeCell ref="D128:E128"/>
    <mergeCell ref="D129:E129"/>
    <mergeCell ref="D130:E130"/>
    <mergeCell ref="D131:E131"/>
    <mergeCell ref="B134:E134"/>
    <mergeCell ref="B135:E135"/>
    <mergeCell ref="B136:E136"/>
    <mergeCell ref="B137:E137"/>
    <mergeCell ref="B138:E138"/>
    <mergeCell ref="B139:E139"/>
    <mergeCell ref="B142:E142"/>
    <mergeCell ref="B143:E143"/>
    <mergeCell ref="B144:E144"/>
    <mergeCell ref="B145:E145"/>
    <mergeCell ref="D148:E148"/>
    <mergeCell ref="D149:E149"/>
  </mergeCells>
  <hyperlinks>
    <hyperlink ref="B3" location="'N-03 Index DMAIC'!A1" display="← Back to Index"/>
    <hyperlink ref="E40" location="'G-09 Benefit Validation'!A1" display="G-09  Benefit Validation"/>
    <hyperlink ref="E41" location="'H-16 Control and Reaction'!A1" display="H-16  Control Plan and Reaction Plan"/>
    <hyperlink ref="E42" location="'G-04 RACI Matrix'!A1" display="G-04  RACI Matrix"/>
    <hyperlink ref="E43" location="'G-01 Project Selection'!A1" display="G-01  Project Selection"/>
    <hyperlink ref="D105" location="'H-01 Project Charter'!A1" display="H-01  Project Charter"/>
    <hyperlink ref="D106" location="'H-10 Ishikawa'!A1" display="H-10  Ishikawa / Fishbone"/>
    <hyperlink ref="D107" location="'L-14 Standard Work'!A1" display="L-14  Standard Work"/>
    <hyperlink ref="D108" location="'H-16 Control and Reaction'!A1" display="H-16  Control Plan and Reaction Plan"/>
    <hyperlink ref="D109" location="'H-13 FMEA AIAG-VDA'!A1" display="H-13  FMEA (AIAG-VDA)"/>
    <hyperlink ref="D110" location="'L-23 PDCA'!A1" display="L-23  PDCA / PDSA Cycle"/>
    <hyperlink ref="D111" location="'G-05 Communication Plan'!A1" display="G-05  Communication Plan"/>
    <hyperlink ref="B149" location="'G-09 Benefit Validation'!A1" display="G-09  Benefit Validation"/>
    <hyperlink ref="C149" location="'H-16 Control and Reaction'!A1" display="H-16  Control Plan and Reaction Plan"/>
    <hyperlink ref="D149" location="'G-01 Project Selection'!A1" display="G-01  Project Selec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P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7" min="3" style="1" width="11"/>
  </cols>
  <sheetData>
    <row r="1" customFormat="false" ht="15" hidden="false" customHeight="true" outlineLevel="0" collapsed="false">
      <c r="A1" s="147" t="s">
        <v>0</v>
      </c>
    </row>
    <row r="2" customFormat="false" ht="22.5" hidden="false" customHeight="true" outlineLevel="0" collapsed="false">
      <c r="B2" s="148" t="s">
        <v>13652</v>
      </c>
      <c r="C2" s="148"/>
      <c r="D2" s="148"/>
      <c r="E2" s="148"/>
      <c r="F2" s="148"/>
      <c r="G2" s="148"/>
      <c r="H2" s="148"/>
      <c r="I2" s="148"/>
      <c r="J2" s="148"/>
      <c r="K2" s="202" t="s">
        <v>2</v>
      </c>
    </row>
    <row r="3" customFormat="false" ht="28.5" hidden="false" customHeight="true" outlineLevel="0" collapsed="false">
      <c r="B3" s="150" t="s">
        <v>3</v>
      </c>
      <c r="D3" s="151" t="s">
        <v>13653</v>
      </c>
      <c r="E3" s="151"/>
    </row>
    <row r="5" customFormat="false" ht="15.75" hidden="false" customHeight="true" outlineLevel="0" collapsed="false">
      <c r="B5" s="103" t="s">
        <v>5</v>
      </c>
      <c r="C5" s="8"/>
      <c r="D5" s="8"/>
      <c r="E5" s="8"/>
      <c r="F5" s="8"/>
      <c r="G5" s="8"/>
      <c r="H5" s="8"/>
      <c r="I5" s="8"/>
      <c r="J5" s="8"/>
      <c r="K5" s="8"/>
    </row>
    <row r="6" customFormat="false" ht="15.75" hidden="false" customHeight="true" outlineLevel="0" collapsed="false">
      <c r="B6" s="106" t="s">
        <v>13654</v>
      </c>
      <c r="C6" s="106"/>
      <c r="D6" s="106"/>
      <c r="E6" s="106"/>
      <c r="F6" s="106"/>
      <c r="G6" s="106"/>
      <c r="H6" s="106"/>
      <c r="I6" s="106"/>
      <c r="J6" s="106"/>
    </row>
    <row r="7" customFormat="false" ht="15.75" hidden="false" customHeight="true" outlineLevel="0" collapsed="false">
      <c r="B7" s="106"/>
      <c r="C7" s="106"/>
      <c r="D7" s="106"/>
      <c r="E7" s="106"/>
      <c r="F7" s="106"/>
      <c r="G7" s="106"/>
      <c r="H7" s="106"/>
      <c r="I7" s="106"/>
      <c r="J7" s="106"/>
    </row>
    <row r="8" customFormat="false" ht="15.75" hidden="false" customHeight="true" outlineLevel="0" collapsed="false">
      <c r="B8" s="106" t="s">
        <v>13655</v>
      </c>
      <c r="C8" s="106"/>
      <c r="D8" s="106"/>
      <c r="E8" s="106"/>
      <c r="F8" s="106"/>
      <c r="G8" s="106"/>
      <c r="H8" s="106"/>
      <c r="I8" s="106"/>
      <c r="J8" s="106"/>
    </row>
    <row r="9" customFormat="false" ht="15.75" hidden="false" customHeight="true" outlineLevel="0" collapsed="false">
      <c r="B9" s="106"/>
      <c r="C9" s="106"/>
      <c r="D9" s="106"/>
      <c r="E9" s="106"/>
      <c r="F9" s="106"/>
      <c r="G9" s="106"/>
      <c r="H9" s="106"/>
      <c r="I9" s="106"/>
      <c r="J9" s="106"/>
    </row>
    <row r="10" customFormat="false" ht="10.5" hidden="false" customHeight="true" outlineLevel="0" collapsed="false">
      <c r="B10" s="106" t="s">
        <v>13656</v>
      </c>
      <c r="C10" s="106"/>
      <c r="D10" s="106"/>
      <c r="E10" s="106"/>
      <c r="F10" s="106"/>
      <c r="G10" s="106"/>
      <c r="H10" s="106"/>
      <c r="I10" s="106"/>
      <c r="J10" s="106"/>
    </row>
    <row r="11" customFormat="false" ht="10.5" hidden="false" customHeight="true" outlineLevel="0" collapsed="false">
      <c r="B11" s="106"/>
      <c r="C11" s="106"/>
      <c r="D11" s="106"/>
      <c r="E11" s="106"/>
      <c r="F11" s="106"/>
      <c r="G11" s="106"/>
      <c r="H11" s="106"/>
      <c r="I11" s="106"/>
      <c r="J11" s="106"/>
    </row>
    <row r="12" customFormat="false" ht="10.5" hidden="false" customHeight="true" outlineLevel="0" collapsed="false">
      <c r="B12" s="106"/>
      <c r="C12" s="106"/>
      <c r="D12" s="106"/>
      <c r="E12" s="106"/>
      <c r="F12" s="106"/>
      <c r="G12" s="106"/>
      <c r="H12" s="106"/>
      <c r="I12" s="106"/>
      <c r="J12" s="106"/>
    </row>
    <row r="14" customFormat="false" ht="17.25" hidden="false" customHeight="true" outlineLevel="0" collapsed="false">
      <c r="B14" s="107" t="s">
        <v>13657</v>
      </c>
      <c r="C14" s="107"/>
      <c r="D14" s="107"/>
      <c r="E14" s="107"/>
      <c r="F14" s="107"/>
      <c r="G14" s="107"/>
      <c r="H14" s="107"/>
      <c r="I14" s="107"/>
      <c r="J14" s="107"/>
    </row>
    <row r="15" customFormat="false" ht="28.5" hidden="false" customHeight="true" outlineLevel="0" collapsed="false">
      <c r="B15" s="182" t="s">
        <v>13658</v>
      </c>
      <c r="C15" s="182"/>
      <c r="D15" s="182"/>
      <c r="E15" s="182"/>
      <c r="F15" s="182"/>
      <c r="G15" s="182"/>
      <c r="H15" s="182"/>
      <c r="I15" s="182"/>
      <c r="J15" s="182"/>
    </row>
    <row r="17" customFormat="false" ht="16.5" hidden="false" customHeight="true" outlineLevel="0" collapsed="false">
      <c r="B17" s="152" t="s">
        <v>13659</v>
      </c>
      <c r="C17" s="152" t="s">
        <v>13660</v>
      </c>
      <c r="D17" s="152" t="s">
        <v>13661</v>
      </c>
      <c r="E17" s="152" t="s">
        <v>13662</v>
      </c>
      <c r="F17" s="152" t="s">
        <v>13663</v>
      </c>
      <c r="G17" s="152" t="s">
        <v>13664</v>
      </c>
      <c r="H17" s="152" t="s">
        <v>13665</v>
      </c>
      <c r="I17" s="152" t="s">
        <v>13666</v>
      </c>
      <c r="J17" s="152" t="s">
        <v>13667</v>
      </c>
      <c r="K17" s="152" t="s">
        <v>13668</v>
      </c>
      <c r="L17" s="152" t="s">
        <v>13669</v>
      </c>
    </row>
    <row r="18" customFormat="false" ht="16.5" hidden="false" customHeight="true" outlineLevel="0" collapsed="false">
      <c r="B18" s="15" t="s">
        <v>13670</v>
      </c>
      <c r="C18" s="15" t="n">
        <v>0.5</v>
      </c>
      <c r="D18" s="15" t="n">
        <v>0.504</v>
      </c>
      <c r="E18" s="15" t="n">
        <v>0.508</v>
      </c>
      <c r="F18" s="15" t="n">
        <v>0.512</v>
      </c>
      <c r="G18" s="15" t="n">
        <v>0.516</v>
      </c>
      <c r="H18" s="15" t="n">
        <v>0.5199</v>
      </c>
      <c r="I18" s="15" t="n">
        <v>0.5239</v>
      </c>
      <c r="J18" s="15" t="n">
        <v>0.5279</v>
      </c>
      <c r="K18" s="15" t="n">
        <v>0.5319</v>
      </c>
      <c r="L18" s="15" t="n">
        <v>0.5359</v>
      </c>
    </row>
    <row r="19" customFormat="false" ht="16.5" hidden="false" customHeight="true" outlineLevel="0" collapsed="false">
      <c r="B19" s="15" t="s">
        <v>13671</v>
      </c>
      <c r="C19" s="15" t="n">
        <v>0.5398</v>
      </c>
      <c r="D19" s="15" t="n">
        <v>0.5438</v>
      </c>
      <c r="E19" s="15" t="n">
        <v>0.5478</v>
      </c>
      <c r="F19" s="15" t="n">
        <v>0.5517</v>
      </c>
      <c r="G19" s="15" t="n">
        <v>0.5557</v>
      </c>
      <c r="H19" s="15" t="n">
        <v>0.5596</v>
      </c>
      <c r="I19" s="15" t="n">
        <v>0.5636</v>
      </c>
      <c r="J19" s="15" t="n">
        <v>0.5675</v>
      </c>
      <c r="K19" s="15" t="n">
        <v>0.5714</v>
      </c>
      <c r="L19" s="15" t="n">
        <v>0.5753</v>
      </c>
    </row>
    <row r="20" customFormat="false" ht="16.5" hidden="false" customHeight="true" outlineLevel="0" collapsed="false">
      <c r="B20" s="15" t="s">
        <v>13672</v>
      </c>
      <c r="C20" s="15" t="n">
        <v>0.5793</v>
      </c>
      <c r="D20" s="15" t="n">
        <v>0.5832</v>
      </c>
      <c r="E20" s="15" t="n">
        <v>0.5871</v>
      </c>
      <c r="F20" s="15" t="n">
        <v>0.591</v>
      </c>
      <c r="G20" s="15" t="n">
        <v>0.5948</v>
      </c>
      <c r="H20" s="15" t="n">
        <v>0.5987</v>
      </c>
      <c r="I20" s="15" t="n">
        <v>0.6026</v>
      </c>
      <c r="J20" s="15" t="n">
        <v>0.6064</v>
      </c>
      <c r="K20" s="15" t="n">
        <v>0.6103</v>
      </c>
      <c r="L20" s="15" t="n">
        <v>0.6141</v>
      </c>
    </row>
    <row r="21" customFormat="false" ht="16.5" hidden="false" customHeight="true" outlineLevel="0" collapsed="false">
      <c r="B21" s="15" t="s">
        <v>13673</v>
      </c>
      <c r="C21" s="15" t="n">
        <v>0.6179</v>
      </c>
      <c r="D21" s="15" t="n">
        <v>0.6217</v>
      </c>
      <c r="E21" s="15" t="n">
        <v>0.6255</v>
      </c>
      <c r="F21" s="15" t="n">
        <v>0.6293</v>
      </c>
      <c r="G21" s="15" t="n">
        <v>0.6331</v>
      </c>
      <c r="H21" s="15" t="n">
        <v>0.6368</v>
      </c>
      <c r="I21" s="15" t="n">
        <v>0.6406</v>
      </c>
      <c r="J21" s="15" t="n">
        <v>0.6443</v>
      </c>
      <c r="K21" s="15" t="n">
        <v>0.648</v>
      </c>
      <c r="L21" s="15" t="n">
        <v>0.6517</v>
      </c>
    </row>
    <row r="22" customFormat="false" ht="16.5" hidden="false" customHeight="true" outlineLevel="0" collapsed="false">
      <c r="B22" s="15" t="s">
        <v>13674</v>
      </c>
      <c r="C22" s="15" t="n">
        <v>0.6554</v>
      </c>
      <c r="D22" s="15" t="n">
        <v>0.6591</v>
      </c>
      <c r="E22" s="15" t="n">
        <v>0.6628</v>
      </c>
      <c r="F22" s="15" t="n">
        <v>0.6664</v>
      </c>
      <c r="G22" s="15" t="n">
        <v>0.67</v>
      </c>
      <c r="H22" s="15" t="n">
        <v>0.6736</v>
      </c>
      <c r="I22" s="15" t="n">
        <v>0.6772</v>
      </c>
      <c r="J22" s="15" t="n">
        <v>0.6808</v>
      </c>
      <c r="K22" s="15" t="n">
        <v>0.6844</v>
      </c>
      <c r="L22" s="15" t="n">
        <v>0.6879</v>
      </c>
    </row>
    <row r="23" customFormat="false" ht="16.5" hidden="false" customHeight="true" outlineLevel="0" collapsed="false">
      <c r="B23" s="15" t="s">
        <v>13675</v>
      </c>
      <c r="C23" s="15" t="n">
        <v>0.6915</v>
      </c>
      <c r="D23" s="15" t="n">
        <v>0.695</v>
      </c>
      <c r="E23" s="15" t="n">
        <v>0.6985</v>
      </c>
      <c r="F23" s="15" t="n">
        <v>0.7019</v>
      </c>
      <c r="G23" s="15" t="n">
        <v>0.7054</v>
      </c>
      <c r="H23" s="15" t="n">
        <v>0.7088</v>
      </c>
      <c r="I23" s="15" t="n">
        <v>0.7123</v>
      </c>
      <c r="J23" s="15" t="n">
        <v>0.7157</v>
      </c>
      <c r="K23" s="15" t="n">
        <v>0.719</v>
      </c>
      <c r="L23" s="15" t="n">
        <v>0.7224</v>
      </c>
    </row>
    <row r="24" customFormat="false" ht="16.5" hidden="false" customHeight="true" outlineLevel="0" collapsed="false">
      <c r="B24" s="15" t="s">
        <v>13676</v>
      </c>
      <c r="C24" s="15" t="n">
        <v>0.7257</v>
      </c>
      <c r="D24" s="15" t="n">
        <v>0.7291</v>
      </c>
      <c r="E24" s="15" t="n">
        <v>0.7324</v>
      </c>
      <c r="F24" s="15" t="n">
        <v>0.7357</v>
      </c>
      <c r="G24" s="15" t="n">
        <v>0.7389</v>
      </c>
      <c r="H24" s="15" t="n">
        <v>0.7422</v>
      </c>
      <c r="I24" s="15" t="n">
        <v>0.7454</v>
      </c>
      <c r="J24" s="15" t="n">
        <v>0.7486</v>
      </c>
      <c r="K24" s="15" t="n">
        <v>0.7517</v>
      </c>
      <c r="L24" s="15" t="n">
        <v>0.7549</v>
      </c>
    </row>
    <row r="25" customFormat="false" ht="16.5" hidden="false" customHeight="true" outlineLevel="0" collapsed="false">
      <c r="B25" s="15" t="s">
        <v>13677</v>
      </c>
      <c r="C25" s="15" t="n">
        <v>0.758</v>
      </c>
      <c r="D25" s="15" t="n">
        <v>0.7611</v>
      </c>
      <c r="E25" s="15" t="n">
        <v>0.7642</v>
      </c>
      <c r="F25" s="15" t="n">
        <v>0.7673</v>
      </c>
      <c r="G25" s="15" t="n">
        <v>0.7704</v>
      </c>
      <c r="H25" s="15" t="n">
        <v>0.7734</v>
      </c>
      <c r="I25" s="15" t="n">
        <v>0.7764</v>
      </c>
      <c r="J25" s="15" t="n">
        <v>0.7794</v>
      </c>
      <c r="K25" s="15" t="n">
        <v>0.7823</v>
      </c>
      <c r="L25" s="15" t="n">
        <v>0.7852</v>
      </c>
    </row>
    <row r="26" customFormat="false" ht="16.5" hidden="false" customHeight="true" outlineLevel="0" collapsed="false">
      <c r="B26" s="15" t="s">
        <v>13678</v>
      </c>
      <c r="C26" s="15" t="n">
        <v>0.7881</v>
      </c>
      <c r="D26" s="15" t="n">
        <v>0.791</v>
      </c>
      <c r="E26" s="15" t="n">
        <v>0.7939</v>
      </c>
      <c r="F26" s="15" t="n">
        <v>0.7967</v>
      </c>
      <c r="G26" s="15" t="n">
        <v>0.7995</v>
      </c>
      <c r="H26" s="15" t="n">
        <v>0.8023</v>
      </c>
      <c r="I26" s="15" t="n">
        <v>0.8051</v>
      </c>
      <c r="J26" s="15" t="n">
        <v>0.8078</v>
      </c>
      <c r="K26" s="15" t="n">
        <v>0.8106</v>
      </c>
      <c r="L26" s="15" t="n">
        <v>0.8133</v>
      </c>
    </row>
    <row r="27" customFormat="false" ht="16.5" hidden="false" customHeight="true" outlineLevel="0" collapsed="false">
      <c r="B27" s="15" t="s">
        <v>13679</v>
      </c>
      <c r="C27" s="15" t="n">
        <v>0.8159</v>
      </c>
      <c r="D27" s="15" t="n">
        <v>0.8186</v>
      </c>
      <c r="E27" s="15" t="n">
        <v>0.8212</v>
      </c>
      <c r="F27" s="15" t="n">
        <v>0.8238</v>
      </c>
      <c r="G27" s="15" t="n">
        <v>0.8264</v>
      </c>
      <c r="H27" s="15" t="n">
        <v>0.8289</v>
      </c>
      <c r="I27" s="15" t="n">
        <v>0.8315</v>
      </c>
      <c r="J27" s="15" t="n">
        <v>0.834</v>
      </c>
      <c r="K27" s="15" t="n">
        <v>0.8365</v>
      </c>
      <c r="L27" s="15" t="n">
        <v>0.8389</v>
      </c>
    </row>
    <row r="28" customFormat="false" ht="16.5" hidden="false" customHeight="true" outlineLevel="0" collapsed="false">
      <c r="B28" s="15" t="s">
        <v>13680</v>
      </c>
      <c r="C28" s="15" t="n">
        <v>0.8413</v>
      </c>
      <c r="D28" s="15" t="n">
        <v>0.8438</v>
      </c>
      <c r="E28" s="15" t="n">
        <v>0.8461</v>
      </c>
      <c r="F28" s="15" t="n">
        <v>0.8485</v>
      </c>
      <c r="G28" s="15" t="n">
        <v>0.8508</v>
      </c>
      <c r="H28" s="15" t="n">
        <v>0.8531</v>
      </c>
      <c r="I28" s="15" t="n">
        <v>0.8554</v>
      </c>
      <c r="J28" s="15" t="n">
        <v>0.8577</v>
      </c>
      <c r="K28" s="15" t="n">
        <v>0.8599</v>
      </c>
      <c r="L28" s="15" t="n">
        <v>0.8621</v>
      </c>
    </row>
    <row r="29" customFormat="false" ht="16.5" hidden="false" customHeight="true" outlineLevel="0" collapsed="false">
      <c r="B29" s="15" t="s">
        <v>13681</v>
      </c>
      <c r="C29" s="15" t="n">
        <v>0.8643</v>
      </c>
      <c r="D29" s="15" t="n">
        <v>0.8665</v>
      </c>
      <c r="E29" s="15" t="n">
        <v>0.8686</v>
      </c>
      <c r="F29" s="15" t="n">
        <v>0.8708</v>
      </c>
      <c r="G29" s="15" t="n">
        <v>0.8729</v>
      </c>
      <c r="H29" s="15" t="n">
        <v>0.8749</v>
      </c>
      <c r="I29" s="15" t="n">
        <v>0.877</v>
      </c>
      <c r="J29" s="15" t="n">
        <v>0.879</v>
      </c>
      <c r="K29" s="15" t="n">
        <v>0.881</v>
      </c>
      <c r="L29" s="15" t="n">
        <v>0.883</v>
      </c>
    </row>
    <row r="30" customFormat="false" ht="16.5" hidden="false" customHeight="true" outlineLevel="0" collapsed="false">
      <c r="B30" s="15" t="s">
        <v>13682</v>
      </c>
      <c r="C30" s="15" t="n">
        <v>0.8849</v>
      </c>
      <c r="D30" s="15" t="n">
        <v>0.8869</v>
      </c>
      <c r="E30" s="15" t="n">
        <v>0.8888</v>
      </c>
      <c r="F30" s="15" t="n">
        <v>0.8907</v>
      </c>
      <c r="G30" s="15" t="n">
        <v>0.8925</v>
      </c>
      <c r="H30" s="15" t="n">
        <v>0.8944</v>
      </c>
      <c r="I30" s="15" t="n">
        <v>0.8962</v>
      </c>
      <c r="J30" s="15" t="n">
        <v>0.898</v>
      </c>
      <c r="K30" s="15" t="n">
        <v>0.8997</v>
      </c>
      <c r="L30" s="15" t="n">
        <v>0.9015</v>
      </c>
    </row>
    <row r="31" customFormat="false" ht="16.5" hidden="false" customHeight="true" outlineLevel="0" collapsed="false">
      <c r="B31" s="15" t="s">
        <v>13683</v>
      </c>
      <c r="C31" s="15" t="n">
        <v>0.9032</v>
      </c>
      <c r="D31" s="15" t="n">
        <v>0.9049</v>
      </c>
      <c r="E31" s="15" t="n">
        <v>0.9066</v>
      </c>
      <c r="F31" s="15" t="n">
        <v>0.9082</v>
      </c>
      <c r="G31" s="15" t="n">
        <v>0.9099</v>
      </c>
      <c r="H31" s="15" t="n">
        <v>0.9115</v>
      </c>
      <c r="I31" s="15" t="n">
        <v>0.9131</v>
      </c>
      <c r="J31" s="15" t="n">
        <v>0.9147</v>
      </c>
      <c r="K31" s="15" t="n">
        <v>0.9162</v>
      </c>
      <c r="L31" s="15" t="n">
        <v>0.9177</v>
      </c>
    </row>
    <row r="32" customFormat="false" ht="16.5" hidden="false" customHeight="true" outlineLevel="0" collapsed="false">
      <c r="B32" s="15" t="s">
        <v>13684</v>
      </c>
      <c r="C32" s="15" t="n">
        <v>0.9192</v>
      </c>
      <c r="D32" s="15" t="n">
        <v>0.9207</v>
      </c>
      <c r="E32" s="15" t="n">
        <v>0.9222</v>
      </c>
      <c r="F32" s="15" t="n">
        <v>0.9236</v>
      </c>
      <c r="G32" s="15" t="n">
        <v>0.9251</v>
      </c>
      <c r="H32" s="15" t="n">
        <v>0.9265</v>
      </c>
      <c r="I32" s="15" t="n">
        <v>0.9279</v>
      </c>
      <c r="J32" s="15" t="n">
        <v>0.9292</v>
      </c>
      <c r="K32" s="15" t="n">
        <v>0.9306</v>
      </c>
      <c r="L32" s="15" t="n">
        <v>0.9319</v>
      </c>
    </row>
    <row r="33" customFormat="false" ht="16.5" hidden="false" customHeight="true" outlineLevel="0" collapsed="false">
      <c r="B33" s="15" t="s">
        <v>13685</v>
      </c>
      <c r="C33" s="15" t="n">
        <v>0.9332</v>
      </c>
      <c r="D33" s="15" t="n">
        <v>0.9345</v>
      </c>
      <c r="E33" s="15" t="n">
        <v>0.9357</v>
      </c>
      <c r="F33" s="15" t="n">
        <v>0.937</v>
      </c>
      <c r="G33" s="15" t="n">
        <v>0.9382</v>
      </c>
      <c r="H33" s="15" t="n">
        <v>0.9394</v>
      </c>
      <c r="I33" s="15" t="n">
        <v>0.9406</v>
      </c>
      <c r="J33" s="15" t="n">
        <v>0.9418</v>
      </c>
      <c r="K33" s="15" t="n">
        <v>0.9429</v>
      </c>
      <c r="L33" s="15" t="n">
        <v>0.9441</v>
      </c>
    </row>
    <row r="34" customFormat="false" ht="16.5" hidden="false" customHeight="true" outlineLevel="0" collapsed="false">
      <c r="B34" s="15" t="s">
        <v>13686</v>
      </c>
      <c r="C34" s="15" t="n">
        <v>0.9452</v>
      </c>
      <c r="D34" s="15" t="n">
        <v>0.9463</v>
      </c>
      <c r="E34" s="15" t="n">
        <v>0.9474</v>
      </c>
      <c r="F34" s="15" t="n">
        <v>0.9484</v>
      </c>
      <c r="G34" s="15" t="n">
        <v>0.9495</v>
      </c>
      <c r="H34" s="15" t="n">
        <v>0.9505</v>
      </c>
      <c r="I34" s="15" t="n">
        <v>0.9515</v>
      </c>
      <c r="J34" s="15" t="n">
        <v>0.9525</v>
      </c>
      <c r="K34" s="15" t="n">
        <v>0.9535</v>
      </c>
      <c r="L34" s="15" t="n">
        <v>0.9545</v>
      </c>
    </row>
    <row r="35" customFormat="false" ht="16.5" hidden="false" customHeight="true" outlineLevel="0" collapsed="false">
      <c r="B35" s="15" t="s">
        <v>13687</v>
      </c>
      <c r="C35" s="15" t="n">
        <v>0.9554</v>
      </c>
      <c r="D35" s="15" t="n">
        <v>0.9564</v>
      </c>
      <c r="E35" s="15" t="n">
        <v>0.9573</v>
      </c>
      <c r="F35" s="15" t="n">
        <v>0.9582</v>
      </c>
      <c r="G35" s="15" t="n">
        <v>0.9591</v>
      </c>
      <c r="H35" s="15" t="n">
        <v>0.9599</v>
      </c>
      <c r="I35" s="15" t="n">
        <v>0.9608</v>
      </c>
      <c r="J35" s="15" t="n">
        <v>0.9616</v>
      </c>
      <c r="K35" s="15" t="n">
        <v>0.9625</v>
      </c>
      <c r="L35" s="15" t="n">
        <v>0.9633</v>
      </c>
    </row>
    <row r="36" customFormat="false" ht="16.5" hidden="false" customHeight="true" outlineLevel="0" collapsed="false">
      <c r="B36" s="15" t="s">
        <v>13688</v>
      </c>
      <c r="C36" s="15" t="n">
        <v>0.9641</v>
      </c>
      <c r="D36" s="15" t="n">
        <v>0.9649</v>
      </c>
      <c r="E36" s="15" t="n">
        <v>0.9656</v>
      </c>
      <c r="F36" s="15" t="n">
        <v>0.9664</v>
      </c>
      <c r="G36" s="15" t="n">
        <v>0.9671</v>
      </c>
      <c r="H36" s="15" t="n">
        <v>0.9678</v>
      </c>
      <c r="I36" s="15" t="n">
        <v>0.9686</v>
      </c>
      <c r="J36" s="15" t="n">
        <v>0.9693</v>
      </c>
      <c r="K36" s="15" t="n">
        <v>0.9699</v>
      </c>
      <c r="L36" s="15" t="n">
        <v>0.9706</v>
      </c>
    </row>
    <row r="37" customFormat="false" ht="16.5" hidden="false" customHeight="true" outlineLevel="0" collapsed="false">
      <c r="B37" s="15" t="s">
        <v>13689</v>
      </c>
      <c r="C37" s="15" t="n">
        <v>0.9713</v>
      </c>
      <c r="D37" s="15" t="n">
        <v>0.9719</v>
      </c>
      <c r="E37" s="15" t="n">
        <v>0.9726</v>
      </c>
      <c r="F37" s="15" t="n">
        <v>0.9732</v>
      </c>
      <c r="G37" s="15" t="n">
        <v>0.9738</v>
      </c>
      <c r="H37" s="15" t="n">
        <v>0.9744</v>
      </c>
      <c r="I37" s="15" t="n">
        <v>0.975</v>
      </c>
      <c r="J37" s="15" t="n">
        <v>0.9756</v>
      </c>
      <c r="K37" s="15" t="n">
        <v>0.9761</v>
      </c>
      <c r="L37" s="15" t="n">
        <v>0.9767</v>
      </c>
    </row>
    <row r="38" customFormat="false" ht="16.5" hidden="false" customHeight="true" outlineLevel="0" collapsed="false">
      <c r="B38" s="15" t="s">
        <v>13690</v>
      </c>
      <c r="C38" s="15" t="n">
        <v>0.9772</v>
      </c>
      <c r="D38" s="15" t="n">
        <v>0.9778</v>
      </c>
      <c r="E38" s="15" t="n">
        <v>0.9783</v>
      </c>
      <c r="F38" s="15" t="n">
        <v>0.9788</v>
      </c>
      <c r="G38" s="15" t="n">
        <v>0.9793</v>
      </c>
      <c r="H38" s="15" t="n">
        <v>0.9798</v>
      </c>
      <c r="I38" s="15" t="n">
        <v>0.9803</v>
      </c>
      <c r="J38" s="15" t="n">
        <v>0.9808</v>
      </c>
      <c r="K38" s="15" t="n">
        <v>0.9812</v>
      </c>
      <c r="L38" s="15" t="n">
        <v>0.9817</v>
      </c>
    </row>
    <row r="39" customFormat="false" ht="16.5" hidden="false" customHeight="true" outlineLevel="0" collapsed="false">
      <c r="B39" s="15" t="s">
        <v>13691</v>
      </c>
      <c r="C39" s="15" t="n">
        <v>0.9821</v>
      </c>
      <c r="D39" s="15" t="n">
        <v>0.9826</v>
      </c>
      <c r="E39" s="15" t="n">
        <v>0.983</v>
      </c>
      <c r="F39" s="15" t="n">
        <v>0.9834</v>
      </c>
      <c r="G39" s="15" t="n">
        <v>0.9838</v>
      </c>
      <c r="H39" s="15" t="n">
        <v>0.9842</v>
      </c>
      <c r="I39" s="15" t="n">
        <v>0.9846</v>
      </c>
      <c r="J39" s="15" t="n">
        <v>0.985</v>
      </c>
      <c r="K39" s="15" t="n">
        <v>0.9854</v>
      </c>
      <c r="L39" s="15" t="n">
        <v>0.9857</v>
      </c>
    </row>
    <row r="40" customFormat="false" ht="16.5" hidden="false" customHeight="true" outlineLevel="0" collapsed="false">
      <c r="B40" s="15" t="s">
        <v>13692</v>
      </c>
      <c r="C40" s="15" t="n">
        <v>0.9861</v>
      </c>
      <c r="D40" s="15" t="n">
        <v>0.9864</v>
      </c>
      <c r="E40" s="15" t="n">
        <v>0.9868</v>
      </c>
      <c r="F40" s="15" t="n">
        <v>0.9871</v>
      </c>
      <c r="G40" s="15" t="n">
        <v>0.9875</v>
      </c>
      <c r="H40" s="15" t="n">
        <v>0.9878</v>
      </c>
      <c r="I40" s="15" t="n">
        <v>0.9881</v>
      </c>
      <c r="J40" s="15" t="n">
        <v>0.9884</v>
      </c>
      <c r="K40" s="15" t="n">
        <v>0.9887</v>
      </c>
      <c r="L40" s="15" t="n">
        <v>0.989</v>
      </c>
    </row>
    <row r="41" customFormat="false" ht="16.5" hidden="false" customHeight="true" outlineLevel="0" collapsed="false">
      <c r="B41" s="15" t="s">
        <v>13693</v>
      </c>
      <c r="C41" s="15" t="n">
        <v>0.9893</v>
      </c>
      <c r="D41" s="15" t="n">
        <v>0.9896</v>
      </c>
      <c r="E41" s="15" t="n">
        <v>0.9898</v>
      </c>
      <c r="F41" s="15" t="n">
        <v>0.9901</v>
      </c>
      <c r="G41" s="15" t="n">
        <v>0.9904</v>
      </c>
      <c r="H41" s="15" t="n">
        <v>0.9906</v>
      </c>
      <c r="I41" s="15" t="n">
        <v>0.9909</v>
      </c>
      <c r="J41" s="15" t="n">
        <v>0.9911</v>
      </c>
      <c r="K41" s="15" t="n">
        <v>0.9913</v>
      </c>
      <c r="L41" s="15" t="n">
        <v>0.9916</v>
      </c>
    </row>
    <row r="42" customFormat="false" ht="16.5" hidden="false" customHeight="true" outlineLevel="0" collapsed="false">
      <c r="B42" s="15" t="s">
        <v>13694</v>
      </c>
      <c r="C42" s="15" t="n">
        <v>0.9918</v>
      </c>
      <c r="D42" s="15" t="n">
        <v>0.992</v>
      </c>
      <c r="E42" s="15" t="n">
        <v>0.9922</v>
      </c>
      <c r="F42" s="15" t="n">
        <v>0.9925</v>
      </c>
      <c r="G42" s="15" t="n">
        <v>0.9927</v>
      </c>
      <c r="H42" s="15" t="n">
        <v>0.9929</v>
      </c>
      <c r="I42" s="15" t="n">
        <v>0.9931</v>
      </c>
      <c r="J42" s="15" t="n">
        <v>0.9932</v>
      </c>
      <c r="K42" s="15" t="n">
        <v>0.9934</v>
      </c>
      <c r="L42" s="15" t="n">
        <v>0.9936</v>
      </c>
    </row>
    <row r="43" customFormat="false" ht="16.5" hidden="false" customHeight="true" outlineLevel="0" collapsed="false">
      <c r="B43" s="15" t="s">
        <v>13695</v>
      </c>
      <c r="C43" s="15" t="n">
        <v>0.9938</v>
      </c>
      <c r="D43" s="15" t="n">
        <v>0.994</v>
      </c>
      <c r="E43" s="15" t="n">
        <v>0.9941</v>
      </c>
      <c r="F43" s="15" t="n">
        <v>0.9943</v>
      </c>
      <c r="G43" s="15" t="n">
        <v>0.9945</v>
      </c>
      <c r="H43" s="15" t="n">
        <v>0.9946</v>
      </c>
      <c r="I43" s="15" t="n">
        <v>0.9948</v>
      </c>
      <c r="J43" s="15" t="n">
        <v>0.9949</v>
      </c>
      <c r="K43" s="15" t="n">
        <v>0.9951</v>
      </c>
      <c r="L43" s="15" t="n">
        <v>0.9952</v>
      </c>
    </row>
    <row r="44" customFormat="false" ht="16.5" hidden="false" customHeight="true" outlineLevel="0" collapsed="false">
      <c r="B44" s="15" t="s">
        <v>13696</v>
      </c>
      <c r="C44" s="15" t="n">
        <v>0.9953</v>
      </c>
      <c r="D44" s="15" t="n">
        <v>0.9955</v>
      </c>
      <c r="E44" s="15" t="n">
        <v>0.9956</v>
      </c>
      <c r="F44" s="15" t="n">
        <v>0.9957</v>
      </c>
      <c r="G44" s="15" t="n">
        <v>0.9959</v>
      </c>
      <c r="H44" s="15" t="n">
        <v>0.996</v>
      </c>
      <c r="I44" s="15" t="n">
        <v>0.9961</v>
      </c>
      <c r="J44" s="15" t="n">
        <v>0.9962</v>
      </c>
      <c r="K44" s="15" t="n">
        <v>0.9963</v>
      </c>
      <c r="L44" s="15" t="n">
        <v>0.9964</v>
      </c>
    </row>
    <row r="45" customFormat="false" ht="16.5" hidden="false" customHeight="true" outlineLevel="0" collapsed="false">
      <c r="B45" s="15" t="s">
        <v>13697</v>
      </c>
      <c r="C45" s="15" t="n">
        <v>0.9965</v>
      </c>
      <c r="D45" s="15" t="n">
        <v>0.9966</v>
      </c>
      <c r="E45" s="15" t="n">
        <v>0.9967</v>
      </c>
      <c r="F45" s="15" t="n">
        <v>0.9968</v>
      </c>
      <c r="G45" s="15" t="n">
        <v>0.9969</v>
      </c>
      <c r="H45" s="15" t="n">
        <v>0.997</v>
      </c>
      <c r="I45" s="15" t="n">
        <v>0.9971</v>
      </c>
      <c r="J45" s="15" t="n">
        <v>0.9972</v>
      </c>
      <c r="K45" s="15" t="n">
        <v>0.9973</v>
      </c>
      <c r="L45" s="15" t="n">
        <v>0.9974</v>
      </c>
    </row>
    <row r="46" customFormat="false" ht="16.5" hidden="false" customHeight="true" outlineLevel="0" collapsed="false">
      <c r="B46" s="15" t="s">
        <v>13698</v>
      </c>
      <c r="C46" s="15" t="n">
        <v>0.9974</v>
      </c>
      <c r="D46" s="15" t="n">
        <v>0.9975</v>
      </c>
      <c r="E46" s="15" t="n">
        <v>0.9976</v>
      </c>
      <c r="F46" s="15" t="n">
        <v>0.9977</v>
      </c>
      <c r="G46" s="15" t="n">
        <v>0.9977</v>
      </c>
      <c r="H46" s="15" t="n">
        <v>0.9978</v>
      </c>
      <c r="I46" s="15" t="n">
        <v>0.9979</v>
      </c>
      <c r="J46" s="15" t="n">
        <v>0.9979</v>
      </c>
      <c r="K46" s="15" t="n">
        <v>0.998</v>
      </c>
      <c r="L46" s="15" t="n">
        <v>0.9981</v>
      </c>
    </row>
    <row r="47" customFormat="false" ht="16.5" hidden="false" customHeight="true" outlineLevel="0" collapsed="false">
      <c r="B47" s="15" t="s">
        <v>13699</v>
      </c>
      <c r="C47" s="15" t="n">
        <v>0.9981</v>
      </c>
      <c r="D47" s="15" t="n">
        <v>0.9982</v>
      </c>
      <c r="E47" s="15" t="n">
        <v>0.9982</v>
      </c>
      <c r="F47" s="15" t="n">
        <v>0.9983</v>
      </c>
      <c r="G47" s="15" t="n">
        <v>0.9984</v>
      </c>
      <c r="H47" s="15" t="n">
        <v>0.9984</v>
      </c>
      <c r="I47" s="15" t="n">
        <v>0.9985</v>
      </c>
      <c r="J47" s="15" t="n">
        <v>0.9985</v>
      </c>
      <c r="K47" s="15" t="n">
        <v>0.9986</v>
      </c>
      <c r="L47" s="15" t="n">
        <v>0.9986</v>
      </c>
    </row>
    <row r="48" customFormat="false" ht="16.5" hidden="false" customHeight="true" outlineLevel="0" collapsed="false">
      <c r="B48" s="15" t="s">
        <v>13700</v>
      </c>
      <c r="C48" s="15" t="n">
        <v>0.9987</v>
      </c>
      <c r="D48" s="15" t="n">
        <v>0.9987</v>
      </c>
      <c r="E48" s="15" t="n">
        <v>0.9987</v>
      </c>
      <c r="F48" s="15" t="n">
        <v>0.9988</v>
      </c>
      <c r="G48" s="15" t="n">
        <v>0.9988</v>
      </c>
      <c r="H48" s="15" t="n">
        <v>0.9989</v>
      </c>
      <c r="I48" s="15" t="n">
        <v>0.9989</v>
      </c>
      <c r="J48" s="15" t="n">
        <v>0.9989</v>
      </c>
      <c r="K48" s="15" t="n">
        <v>0.999</v>
      </c>
      <c r="L48" s="15" t="n">
        <v>0.999</v>
      </c>
    </row>
    <row r="49" customFormat="false" ht="16.5" hidden="false" customHeight="true" outlineLevel="0" collapsed="false">
      <c r="B49" s="15" t="s">
        <v>13701</v>
      </c>
      <c r="C49" s="15" t="n">
        <v>0.999</v>
      </c>
      <c r="D49" s="15" t="n">
        <v>0.9991</v>
      </c>
      <c r="E49" s="15" t="n">
        <v>0.9991</v>
      </c>
      <c r="F49" s="15" t="n">
        <v>0.9991</v>
      </c>
      <c r="G49" s="15" t="n">
        <v>0.9992</v>
      </c>
      <c r="H49" s="15" t="n">
        <v>0.9992</v>
      </c>
      <c r="I49" s="15" t="n">
        <v>0.9992</v>
      </c>
      <c r="J49" s="15" t="n">
        <v>0.9992</v>
      </c>
      <c r="K49" s="15" t="n">
        <v>0.9993</v>
      </c>
      <c r="L49" s="15" t="n">
        <v>0.9993</v>
      </c>
    </row>
    <row r="50" customFormat="false" ht="16.5" hidden="false" customHeight="true" outlineLevel="0" collapsed="false">
      <c r="B50" s="15" t="s">
        <v>13702</v>
      </c>
      <c r="C50" s="15" t="n">
        <v>0.9993</v>
      </c>
      <c r="D50" s="15" t="n">
        <v>0.9993</v>
      </c>
      <c r="E50" s="15" t="n">
        <v>0.9994</v>
      </c>
      <c r="F50" s="15" t="n">
        <v>0.9994</v>
      </c>
      <c r="G50" s="15" t="n">
        <v>0.9994</v>
      </c>
      <c r="H50" s="15" t="n">
        <v>0.9994</v>
      </c>
      <c r="I50" s="15" t="n">
        <v>0.9994</v>
      </c>
      <c r="J50" s="15" t="n">
        <v>0.9995</v>
      </c>
      <c r="K50" s="15" t="n">
        <v>0.9995</v>
      </c>
      <c r="L50" s="15" t="n">
        <v>0.9995</v>
      </c>
    </row>
    <row r="51" customFormat="false" ht="16.5" hidden="false" customHeight="true" outlineLevel="0" collapsed="false">
      <c r="B51" s="15" t="s">
        <v>13703</v>
      </c>
      <c r="C51" s="15" t="n">
        <v>0.9995</v>
      </c>
      <c r="D51" s="15" t="n">
        <v>0.9995</v>
      </c>
      <c r="E51" s="15" t="n">
        <v>0.9995</v>
      </c>
      <c r="F51" s="15" t="n">
        <v>0.9996</v>
      </c>
      <c r="G51" s="15" t="n">
        <v>0.9996</v>
      </c>
      <c r="H51" s="15" t="n">
        <v>0.9996</v>
      </c>
      <c r="I51" s="15" t="n">
        <v>0.9996</v>
      </c>
      <c r="J51" s="15" t="n">
        <v>0.9996</v>
      </c>
      <c r="K51" s="15" t="n">
        <v>0.9996</v>
      </c>
      <c r="L51" s="15" t="n">
        <v>0.9997</v>
      </c>
    </row>
    <row r="52" customFormat="false" ht="16.5" hidden="false" customHeight="true" outlineLevel="0" collapsed="false">
      <c r="B52" s="15" t="s">
        <v>13704</v>
      </c>
      <c r="C52" s="15" t="n">
        <v>0.9997</v>
      </c>
      <c r="D52" s="15" t="n">
        <v>0.9997</v>
      </c>
      <c r="E52" s="15" t="n">
        <v>0.9997</v>
      </c>
      <c r="F52" s="15" t="n">
        <v>0.9997</v>
      </c>
      <c r="G52" s="15" t="n">
        <v>0.9997</v>
      </c>
      <c r="H52" s="15" t="n">
        <v>0.9997</v>
      </c>
      <c r="I52" s="15" t="n">
        <v>0.9997</v>
      </c>
      <c r="J52" s="15" t="n">
        <v>0.9997</v>
      </c>
      <c r="K52" s="15" t="n">
        <v>0.9997</v>
      </c>
      <c r="L52" s="15" t="n">
        <v>0.9998</v>
      </c>
    </row>
    <row r="54" customFormat="false" ht="17.25" hidden="false" customHeight="true" outlineLevel="0" collapsed="false">
      <c r="B54" s="107" t="s">
        <v>13705</v>
      </c>
      <c r="C54" s="107"/>
      <c r="D54" s="107"/>
      <c r="E54" s="107"/>
      <c r="F54" s="107"/>
      <c r="G54" s="107"/>
      <c r="H54" s="107"/>
      <c r="I54" s="107"/>
      <c r="J54" s="107"/>
    </row>
    <row r="55" customFormat="false" ht="30.75" hidden="false" customHeight="true" outlineLevel="0" collapsed="false">
      <c r="B55" s="152" t="s">
        <v>13706</v>
      </c>
      <c r="C55" s="152" t="s">
        <v>13707</v>
      </c>
      <c r="D55" s="152" t="s">
        <v>13708</v>
      </c>
      <c r="E55" s="152" t="s">
        <v>13709</v>
      </c>
    </row>
    <row r="56" customFormat="false" ht="16.5" hidden="false" customHeight="true" outlineLevel="0" collapsed="false">
      <c r="B56" s="15" t="s">
        <v>13710</v>
      </c>
      <c r="C56" s="15" t="n">
        <v>0.1</v>
      </c>
      <c r="D56" s="15" t="n">
        <v>1.6449</v>
      </c>
      <c r="E56" s="15" t="s">
        <v>13711</v>
      </c>
    </row>
    <row r="57" customFormat="false" ht="16.5" hidden="false" customHeight="true" outlineLevel="0" collapsed="false">
      <c r="B57" s="15" t="s">
        <v>13712</v>
      </c>
      <c r="C57" s="15" t="n">
        <v>0.05</v>
      </c>
      <c r="D57" s="15" t="n">
        <v>1.96</v>
      </c>
      <c r="E57" s="15" t="s">
        <v>13713</v>
      </c>
    </row>
    <row r="58" customFormat="false" ht="16.5" hidden="false" customHeight="true" outlineLevel="0" collapsed="false">
      <c r="B58" s="15" t="s">
        <v>13714</v>
      </c>
      <c r="C58" s="15" t="n">
        <v>0.01</v>
      </c>
      <c r="D58" s="15" t="n">
        <v>2.5758</v>
      </c>
      <c r="E58" s="15" t="s">
        <v>291</v>
      </c>
    </row>
    <row r="59" customFormat="false" ht="16.5" hidden="false" customHeight="true" outlineLevel="0" collapsed="false">
      <c r="B59" s="15" t="s">
        <v>13715</v>
      </c>
      <c r="C59" s="15" t="n">
        <v>0.05</v>
      </c>
      <c r="D59" s="15" t="n">
        <v>1.6449</v>
      </c>
      <c r="E59" s="15" t="s">
        <v>13716</v>
      </c>
    </row>
    <row r="60" customFormat="false" ht="30.75" hidden="false" customHeight="true" outlineLevel="0" collapsed="false">
      <c r="B60" s="15" t="s">
        <v>13717</v>
      </c>
      <c r="C60" s="15" t="s">
        <v>6909</v>
      </c>
      <c r="D60" s="15" t="n">
        <v>0.8416</v>
      </c>
      <c r="E60" s="15" t="s">
        <v>13718</v>
      </c>
    </row>
    <row r="61" customFormat="false" ht="30.75" hidden="false" customHeight="true" outlineLevel="0" collapsed="false">
      <c r="B61" s="15" t="s">
        <v>13719</v>
      </c>
      <c r="C61" s="15" t="s">
        <v>6909</v>
      </c>
      <c r="D61" s="15" t="n">
        <v>1.2816</v>
      </c>
      <c r="E61" s="15" t="s">
        <v>13720</v>
      </c>
    </row>
    <row r="62" customFormat="false" ht="16.5" hidden="false" customHeight="true" outlineLevel="0" collapsed="false">
      <c r="B62" s="15" t="s">
        <v>13721</v>
      </c>
      <c r="C62" s="15" t="n">
        <v>0.0027</v>
      </c>
      <c r="D62" s="15" t="n">
        <v>3</v>
      </c>
      <c r="E62" s="15" t="s">
        <v>13722</v>
      </c>
    </row>
    <row r="63" customFormat="false" ht="30.75" hidden="false" customHeight="true" outlineLevel="0" collapsed="false">
      <c r="B63" s="15" t="s">
        <v>13723</v>
      </c>
      <c r="C63" s="15" t="s">
        <v>6909</v>
      </c>
      <c r="D63" s="15" t="n">
        <v>6</v>
      </c>
      <c r="E63" s="15" t="s">
        <v>13724</v>
      </c>
    </row>
    <row r="65" customFormat="false" ht="17.25" hidden="false" customHeight="true" outlineLevel="0" collapsed="false">
      <c r="B65" s="107" t="s">
        <v>13725</v>
      </c>
      <c r="C65" s="107"/>
      <c r="D65" s="107"/>
      <c r="E65" s="107"/>
      <c r="F65" s="107"/>
      <c r="G65" s="107"/>
      <c r="H65" s="107"/>
      <c r="I65" s="107"/>
      <c r="J65" s="107"/>
    </row>
    <row r="66" customFormat="false" ht="15.75" hidden="false" customHeight="true" outlineLevel="0" collapsed="false">
      <c r="B66" s="182" t="s">
        <v>13726</v>
      </c>
      <c r="C66" s="182"/>
      <c r="D66" s="182"/>
      <c r="E66" s="182"/>
      <c r="F66" s="182"/>
      <c r="G66" s="182"/>
      <c r="H66" s="182"/>
      <c r="I66" s="182"/>
      <c r="J66" s="182"/>
    </row>
    <row r="68" customFormat="false" ht="30.75" hidden="false" customHeight="true" outlineLevel="0" collapsed="false">
      <c r="B68" s="152" t="s">
        <v>2244</v>
      </c>
      <c r="C68" s="152" t="s">
        <v>13727</v>
      </c>
      <c r="D68" s="152" t="s">
        <v>13728</v>
      </c>
      <c r="E68" s="152" t="s">
        <v>13729</v>
      </c>
      <c r="F68" s="152" t="s">
        <v>13730</v>
      </c>
      <c r="G68" s="152" t="s">
        <v>13731</v>
      </c>
      <c r="H68" s="152"/>
    </row>
    <row r="69" customFormat="false" ht="17.25" hidden="false" customHeight="true" outlineLevel="0" collapsed="false">
      <c r="B69" s="15" t="n">
        <v>1</v>
      </c>
      <c r="C69" s="15" t="n">
        <v>3.0777</v>
      </c>
      <c r="D69" s="15" t="n">
        <v>6.3138</v>
      </c>
      <c r="E69" s="15" t="n">
        <v>12.7062</v>
      </c>
      <c r="F69" s="15" t="n">
        <v>31.8205</v>
      </c>
      <c r="G69" s="15" t="n">
        <v>63.6567</v>
      </c>
      <c r="H69" s="15"/>
    </row>
    <row r="70" customFormat="false" ht="17.25" hidden="false" customHeight="true" outlineLevel="0" collapsed="false">
      <c r="B70" s="15" t="n">
        <v>2</v>
      </c>
      <c r="C70" s="15" t="n">
        <v>1.8856</v>
      </c>
      <c r="D70" s="15" t="n">
        <v>2.92</v>
      </c>
      <c r="E70" s="15" t="n">
        <v>4.3027</v>
      </c>
      <c r="F70" s="15" t="n">
        <v>6.9646</v>
      </c>
      <c r="G70" s="15" t="n">
        <v>9.9248</v>
      </c>
      <c r="H70" s="15"/>
    </row>
    <row r="71" customFormat="false" ht="17.25" hidden="false" customHeight="true" outlineLevel="0" collapsed="false">
      <c r="B71" s="15" t="n">
        <v>3</v>
      </c>
      <c r="C71" s="15" t="n">
        <v>1.6377</v>
      </c>
      <c r="D71" s="15" t="n">
        <v>2.3534</v>
      </c>
      <c r="E71" s="15" t="n">
        <v>3.1824</v>
      </c>
      <c r="F71" s="15" t="n">
        <v>4.5407</v>
      </c>
      <c r="G71" s="15" t="n">
        <v>5.8409</v>
      </c>
      <c r="H71" s="15"/>
    </row>
    <row r="72" customFormat="false" ht="17.25" hidden="false" customHeight="true" outlineLevel="0" collapsed="false">
      <c r="B72" s="15" t="n">
        <v>4</v>
      </c>
      <c r="C72" s="15" t="n">
        <v>1.5332</v>
      </c>
      <c r="D72" s="15" t="n">
        <v>2.1318</v>
      </c>
      <c r="E72" s="15" t="n">
        <v>2.7764</v>
      </c>
      <c r="F72" s="15" t="n">
        <v>3.7469</v>
      </c>
      <c r="G72" s="15" t="n">
        <v>4.6041</v>
      </c>
      <c r="H72" s="15"/>
    </row>
    <row r="73" customFormat="false" ht="17.25" hidden="false" customHeight="true" outlineLevel="0" collapsed="false">
      <c r="B73" s="15" t="n">
        <v>5</v>
      </c>
      <c r="C73" s="15" t="n">
        <v>1.4759</v>
      </c>
      <c r="D73" s="15" t="n">
        <v>2.015</v>
      </c>
      <c r="E73" s="15" t="n">
        <v>2.5706</v>
      </c>
      <c r="F73" s="15" t="n">
        <v>3.3649</v>
      </c>
      <c r="G73" s="15" t="n">
        <v>4.0321</v>
      </c>
      <c r="H73" s="15"/>
    </row>
    <row r="74" customFormat="false" ht="17.25" hidden="false" customHeight="true" outlineLevel="0" collapsed="false">
      <c r="B74" s="15" t="n">
        <v>6</v>
      </c>
      <c r="C74" s="15" t="n">
        <v>1.4398</v>
      </c>
      <c r="D74" s="15" t="n">
        <v>1.9432</v>
      </c>
      <c r="E74" s="15" t="n">
        <v>2.4469</v>
      </c>
      <c r="F74" s="15" t="n">
        <v>3.1427</v>
      </c>
      <c r="G74" s="15" t="n">
        <v>3.7074</v>
      </c>
      <c r="H74" s="15"/>
    </row>
    <row r="75" customFormat="false" ht="17.25" hidden="false" customHeight="true" outlineLevel="0" collapsed="false">
      <c r="B75" s="15" t="n">
        <v>7</v>
      </c>
      <c r="C75" s="15" t="n">
        <v>1.4149</v>
      </c>
      <c r="D75" s="15" t="n">
        <v>1.8946</v>
      </c>
      <c r="E75" s="15" t="n">
        <v>2.3646</v>
      </c>
      <c r="F75" s="15" t="n">
        <v>2.998</v>
      </c>
      <c r="G75" s="15" t="n">
        <v>3.4995</v>
      </c>
      <c r="H75" s="15"/>
    </row>
    <row r="76" customFormat="false" ht="17.25" hidden="false" customHeight="true" outlineLevel="0" collapsed="false">
      <c r="B76" s="15" t="n">
        <v>8</v>
      </c>
      <c r="C76" s="15" t="n">
        <v>1.3968</v>
      </c>
      <c r="D76" s="15" t="n">
        <v>1.8595</v>
      </c>
      <c r="E76" s="15" t="n">
        <v>2.306</v>
      </c>
      <c r="F76" s="15" t="n">
        <v>2.8965</v>
      </c>
      <c r="G76" s="15" t="n">
        <v>3.3554</v>
      </c>
      <c r="H76" s="15"/>
    </row>
    <row r="77" customFormat="false" ht="17.25" hidden="false" customHeight="true" outlineLevel="0" collapsed="false">
      <c r="B77" s="15" t="n">
        <v>9</v>
      </c>
      <c r="C77" s="15" t="n">
        <v>1.383</v>
      </c>
      <c r="D77" s="15" t="n">
        <v>1.8331</v>
      </c>
      <c r="E77" s="15" t="n">
        <v>2.2622</v>
      </c>
      <c r="F77" s="15" t="n">
        <v>2.8214</v>
      </c>
      <c r="G77" s="15" t="n">
        <v>3.2498</v>
      </c>
      <c r="H77" s="15"/>
    </row>
    <row r="78" customFormat="false" ht="17.25" hidden="false" customHeight="true" outlineLevel="0" collapsed="false">
      <c r="B78" s="15" t="n">
        <v>10</v>
      </c>
      <c r="C78" s="15" t="n">
        <v>1.3722</v>
      </c>
      <c r="D78" s="15" t="n">
        <v>1.8125</v>
      </c>
      <c r="E78" s="15" t="n">
        <v>2.2281</v>
      </c>
      <c r="F78" s="15" t="n">
        <v>2.7638</v>
      </c>
      <c r="G78" s="15" t="n">
        <v>3.1693</v>
      </c>
      <c r="H78" s="15"/>
    </row>
    <row r="79" customFormat="false" ht="17.25" hidden="false" customHeight="true" outlineLevel="0" collapsed="false">
      <c r="B79" s="15" t="n">
        <v>11</v>
      </c>
      <c r="C79" s="15" t="n">
        <v>1.3634</v>
      </c>
      <c r="D79" s="15" t="n">
        <v>1.7959</v>
      </c>
      <c r="E79" s="15" t="n">
        <v>2.201</v>
      </c>
      <c r="F79" s="15" t="n">
        <v>2.7181</v>
      </c>
      <c r="G79" s="15" t="n">
        <v>3.1058</v>
      </c>
      <c r="H79" s="15"/>
    </row>
    <row r="80" customFormat="false" ht="17.25" hidden="false" customHeight="true" outlineLevel="0" collapsed="false">
      <c r="B80" s="15" t="n">
        <v>12</v>
      </c>
      <c r="C80" s="15" t="n">
        <v>1.3562</v>
      </c>
      <c r="D80" s="15" t="n">
        <v>1.7823</v>
      </c>
      <c r="E80" s="15" t="n">
        <v>2.1788</v>
      </c>
      <c r="F80" s="15" t="n">
        <v>2.681</v>
      </c>
      <c r="G80" s="15" t="n">
        <v>3.0545</v>
      </c>
      <c r="H80" s="15"/>
    </row>
    <row r="81" customFormat="false" ht="17.25" hidden="false" customHeight="true" outlineLevel="0" collapsed="false">
      <c r="B81" s="15" t="n">
        <v>13</v>
      </c>
      <c r="C81" s="15" t="n">
        <v>1.3502</v>
      </c>
      <c r="D81" s="15" t="n">
        <v>1.7709</v>
      </c>
      <c r="E81" s="15" t="n">
        <v>2.1604</v>
      </c>
      <c r="F81" s="15" t="n">
        <v>2.6503</v>
      </c>
      <c r="G81" s="15" t="n">
        <v>3.0123</v>
      </c>
      <c r="H81" s="15"/>
    </row>
    <row r="82" customFormat="false" ht="17.25" hidden="false" customHeight="true" outlineLevel="0" collapsed="false">
      <c r="B82" s="15" t="n">
        <v>14</v>
      </c>
      <c r="C82" s="15" t="n">
        <v>1.345</v>
      </c>
      <c r="D82" s="15" t="n">
        <v>1.7613</v>
      </c>
      <c r="E82" s="15" t="n">
        <v>2.1448</v>
      </c>
      <c r="F82" s="15" t="n">
        <v>2.6245</v>
      </c>
      <c r="G82" s="15" t="n">
        <v>2.9768</v>
      </c>
      <c r="H82" s="15"/>
    </row>
    <row r="83" customFormat="false" ht="17.25" hidden="false" customHeight="true" outlineLevel="0" collapsed="false">
      <c r="B83" s="15" t="n">
        <v>15</v>
      </c>
      <c r="C83" s="15" t="n">
        <v>1.3406</v>
      </c>
      <c r="D83" s="15" t="n">
        <v>1.7531</v>
      </c>
      <c r="E83" s="15" t="n">
        <v>2.1314</v>
      </c>
      <c r="F83" s="15" t="n">
        <v>2.6025</v>
      </c>
      <c r="G83" s="15" t="n">
        <v>2.9467</v>
      </c>
      <c r="H83" s="15"/>
    </row>
    <row r="84" customFormat="false" ht="17.25" hidden="false" customHeight="true" outlineLevel="0" collapsed="false">
      <c r="B84" s="15" t="n">
        <v>16</v>
      </c>
      <c r="C84" s="15" t="n">
        <v>1.3368</v>
      </c>
      <c r="D84" s="15" t="n">
        <v>1.7459</v>
      </c>
      <c r="E84" s="15" t="n">
        <v>2.1199</v>
      </c>
      <c r="F84" s="15" t="n">
        <v>2.5835</v>
      </c>
      <c r="G84" s="15" t="n">
        <v>2.9208</v>
      </c>
      <c r="H84" s="15"/>
    </row>
    <row r="85" customFormat="false" ht="17.25" hidden="false" customHeight="true" outlineLevel="0" collapsed="false">
      <c r="B85" s="15" t="n">
        <v>17</v>
      </c>
      <c r="C85" s="15" t="n">
        <v>1.3334</v>
      </c>
      <c r="D85" s="15" t="n">
        <v>1.7396</v>
      </c>
      <c r="E85" s="15" t="n">
        <v>2.1098</v>
      </c>
      <c r="F85" s="15" t="n">
        <v>2.5669</v>
      </c>
      <c r="G85" s="15" t="n">
        <v>2.8982</v>
      </c>
      <c r="H85" s="15"/>
    </row>
    <row r="86" customFormat="false" ht="17.25" hidden="false" customHeight="true" outlineLevel="0" collapsed="false">
      <c r="B86" s="15" t="n">
        <v>18</v>
      </c>
      <c r="C86" s="15" t="n">
        <v>1.3304</v>
      </c>
      <c r="D86" s="15" t="n">
        <v>1.7341</v>
      </c>
      <c r="E86" s="15" t="n">
        <v>2.1009</v>
      </c>
      <c r="F86" s="15" t="n">
        <v>2.5524</v>
      </c>
      <c r="G86" s="15" t="n">
        <v>2.8784</v>
      </c>
      <c r="H86" s="15"/>
    </row>
    <row r="87" customFormat="false" ht="17.25" hidden="false" customHeight="true" outlineLevel="0" collapsed="false">
      <c r="B87" s="15" t="n">
        <v>19</v>
      </c>
      <c r="C87" s="15" t="n">
        <v>1.3277</v>
      </c>
      <c r="D87" s="15" t="n">
        <v>1.7291</v>
      </c>
      <c r="E87" s="15" t="n">
        <v>2.093</v>
      </c>
      <c r="F87" s="15" t="n">
        <v>2.5395</v>
      </c>
      <c r="G87" s="15" t="n">
        <v>2.8609</v>
      </c>
      <c r="H87" s="15"/>
    </row>
    <row r="88" customFormat="false" ht="17.25" hidden="false" customHeight="true" outlineLevel="0" collapsed="false">
      <c r="B88" s="15" t="n">
        <v>20</v>
      </c>
      <c r="C88" s="15" t="n">
        <v>1.3253</v>
      </c>
      <c r="D88" s="15" t="n">
        <v>1.7247</v>
      </c>
      <c r="E88" s="15" t="n">
        <v>2.086</v>
      </c>
      <c r="F88" s="15" t="n">
        <v>2.528</v>
      </c>
      <c r="G88" s="15" t="n">
        <v>2.8453</v>
      </c>
      <c r="H88" s="15"/>
    </row>
    <row r="89" customFormat="false" ht="17.25" hidden="false" customHeight="true" outlineLevel="0" collapsed="false">
      <c r="B89" s="15" t="n">
        <v>21</v>
      </c>
      <c r="C89" s="15" t="n">
        <v>1.3232</v>
      </c>
      <c r="D89" s="15" t="n">
        <v>1.7207</v>
      </c>
      <c r="E89" s="15" t="n">
        <v>2.0796</v>
      </c>
      <c r="F89" s="15" t="n">
        <v>2.5176</v>
      </c>
      <c r="G89" s="15" t="n">
        <v>2.8314</v>
      </c>
      <c r="H89" s="15"/>
    </row>
    <row r="90" customFormat="false" ht="17.25" hidden="false" customHeight="true" outlineLevel="0" collapsed="false">
      <c r="B90" s="15" t="n">
        <v>22</v>
      </c>
      <c r="C90" s="15" t="n">
        <v>1.3212</v>
      </c>
      <c r="D90" s="15" t="n">
        <v>1.7171</v>
      </c>
      <c r="E90" s="15" t="n">
        <v>2.0739</v>
      </c>
      <c r="F90" s="15" t="n">
        <v>2.5083</v>
      </c>
      <c r="G90" s="15" t="n">
        <v>2.8188</v>
      </c>
      <c r="H90" s="15"/>
    </row>
    <row r="91" customFormat="false" ht="17.25" hidden="false" customHeight="true" outlineLevel="0" collapsed="false">
      <c r="B91" s="15" t="n">
        <v>23</v>
      </c>
      <c r="C91" s="15" t="n">
        <v>1.3195</v>
      </c>
      <c r="D91" s="15" t="n">
        <v>1.7139</v>
      </c>
      <c r="E91" s="15" t="n">
        <v>2.0687</v>
      </c>
      <c r="F91" s="15" t="n">
        <v>2.4999</v>
      </c>
      <c r="G91" s="15" t="n">
        <v>2.8073</v>
      </c>
      <c r="H91" s="15"/>
    </row>
    <row r="92" customFormat="false" ht="17.25" hidden="false" customHeight="true" outlineLevel="0" collapsed="false">
      <c r="B92" s="15" t="n">
        <v>24</v>
      </c>
      <c r="C92" s="15" t="n">
        <v>1.3178</v>
      </c>
      <c r="D92" s="15" t="n">
        <v>1.7109</v>
      </c>
      <c r="E92" s="15" t="n">
        <v>2.0639</v>
      </c>
      <c r="F92" s="15" t="n">
        <v>2.4922</v>
      </c>
      <c r="G92" s="15" t="n">
        <v>2.7969</v>
      </c>
      <c r="H92" s="15"/>
    </row>
    <row r="93" customFormat="false" ht="17.25" hidden="false" customHeight="true" outlineLevel="0" collapsed="false">
      <c r="B93" s="15" t="n">
        <v>25</v>
      </c>
      <c r="C93" s="15" t="n">
        <v>1.3163</v>
      </c>
      <c r="D93" s="15" t="n">
        <v>1.7081</v>
      </c>
      <c r="E93" s="15" t="n">
        <v>2.0595</v>
      </c>
      <c r="F93" s="15" t="n">
        <v>2.4851</v>
      </c>
      <c r="G93" s="15" t="n">
        <v>2.7874</v>
      </c>
      <c r="H93" s="15"/>
    </row>
    <row r="94" customFormat="false" ht="17.25" hidden="false" customHeight="true" outlineLevel="0" collapsed="false">
      <c r="B94" s="15" t="n">
        <v>26</v>
      </c>
      <c r="C94" s="15" t="n">
        <v>1.315</v>
      </c>
      <c r="D94" s="15" t="n">
        <v>1.7056</v>
      </c>
      <c r="E94" s="15" t="n">
        <v>2.0555</v>
      </c>
      <c r="F94" s="15" t="n">
        <v>2.4786</v>
      </c>
      <c r="G94" s="15" t="n">
        <v>2.7787</v>
      </c>
      <c r="H94" s="15"/>
    </row>
    <row r="95" customFormat="false" ht="17.25" hidden="false" customHeight="true" outlineLevel="0" collapsed="false">
      <c r="B95" s="15" t="n">
        <v>27</v>
      </c>
      <c r="C95" s="15" t="n">
        <v>1.3137</v>
      </c>
      <c r="D95" s="15" t="n">
        <v>1.7033</v>
      </c>
      <c r="E95" s="15" t="n">
        <v>2.0518</v>
      </c>
      <c r="F95" s="15" t="n">
        <v>2.4727</v>
      </c>
      <c r="G95" s="15" t="n">
        <v>2.7707</v>
      </c>
      <c r="H95" s="15"/>
    </row>
    <row r="96" customFormat="false" ht="17.25" hidden="false" customHeight="true" outlineLevel="0" collapsed="false">
      <c r="B96" s="15" t="n">
        <v>28</v>
      </c>
      <c r="C96" s="15" t="n">
        <v>1.3125</v>
      </c>
      <c r="D96" s="15" t="n">
        <v>1.7011</v>
      </c>
      <c r="E96" s="15" t="n">
        <v>2.0484</v>
      </c>
      <c r="F96" s="15" t="n">
        <v>2.4671</v>
      </c>
      <c r="G96" s="15" t="n">
        <v>2.7633</v>
      </c>
      <c r="H96" s="15"/>
    </row>
    <row r="97" customFormat="false" ht="17.25" hidden="false" customHeight="true" outlineLevel="0" collapsed="false">
      <c r="B97" s="15" t="n">
        <v>29</v>
      </c>
      <c r="C97" s="15" t="n">
        <v>1.3114</v>
      </c>
      <c r="D97" s="15" t="n">
        <v>1.6991</v>
      </c>
      <c r="E97" s="15" t="n">
        <v>2.0452</v>
      </c>
      <c r="F97" s="15" t="n">
        <v>2.462</v>
      </c>
      <c r="G97" s="15" t="n">
        <v>2.7564</v>
      </c>
      <c r="H97" s="15"/>
    </row>
    <row r="98" customFormat="false" ht="17.25" hidden="false" customHeight="true" outlineLevel="0" collapsed="false">
      <c r="B98" s="15" t="n">
        <v>30</v>
      </c>
      <c r="C98" s="15" t="n">
        <v>1.3104</v>
      </c>
      <c r="D98" s="15" t="n">
        <v>1.6973</v>
      </c>
      <c r="E98" s="15" t="n">
        <v>2.0423</v>
      </c>
      <c r="F98" s="15" t="n">
        <v>2.4573</v>
      </c>
      <c r="G98" s="15" t="n">
        <v>2.75</v>
      </c>
      <c r="H98" s="15"/>
    </row>
    <row r="99" customFormat="false" ht="17.25" hidden="false" customHeight="true" outlineLevel="0" collapsed="false">
      <c r="B99" s="15" t="n">
        <v>40</v>
      </c>
      <c r="C99" s="15" t="n">
        <v>1.3031</v>
      </c>
      <c r="D99" s="15" t="n">
        <v>1.6839</v>
      </c>
      <c r="E99" s="15" t="n">
        <v>2.0211</v>
      </c>
      <c r="F99" s="15" t="n">
        <v>2.4233</v>
      </c>
      <c r="G99" s="15" t="n">
        <v>2.7045</v>
      </c>
      <c r="H99" s="15"/>
    </row>
    <row r="100" customFormat="false" ht="17.25" hidden="false" customHeight="true" outlineLevel="0" collapsed="false">
      <c r="B100" s="15" t="n">
        <v>50</v>
      </c>
      <c r="C100" s="15" t="n">
        <v>1.2987</v>
      </c>
      <c r="D100" s="15" t="n">
        <v>1.6759</v>
      </c>
      <c r="E100" s="15" t="n">
        <v>2.0086</v>
      </c>
      <c r="F100" s="15" t="n">
        <v>2.4033</v>
      </c>
      <c r="G100" s="15" t="n">
        <v>2.6778</v>
      </c>
      <c r="H100" s="15"/>
    </row>
    <row r="101" customFormat="false" ht="17.25" hidden="false" customHeight="true" outlineLevel="0" collapsed="false">
      <c r="B101" s="15" t="n">
        <v>60</v>
      </c>
      <c r="C101" s="15" t="n">
        <v>1.2958</v>
      </c>
      <c r="D101" s="15" t="n">
        <v>1.6706</v>
      </c>
      <c r="E101" s="15" t="n">
        <v>2.0003</v>
      </c>
      <c r="F101" s="15" t="n">
        <v>2.3901</v>
      </c>
      <c r="G101" s="15" t="n">
        <v>2.6603</v>
      </c>
      <c r="H101" s="15"/>
    </row>
    <row r="102" customFormat="false" ht="17.25" hidden="false" customHeight="true" outlineLevel="0" collapsed="false">
      <c r="B102" s="15" t="n">
        <v>80</v>
      </c>
      <c r="C102" s="15" t="n">
        <v>1.2922</v>
      </c>
      <c r="D102" s="15" t="n">
        <v>1.6641</v>
      </c>
      <c r="E102" s="15" t="n">
        <v>1.9901</v>
      </c>
      <c r="F102" s="15" t="n">
        <v>2.3739</v>
      </c>
      <c r="G102" s="15" t="n">
        <v>2.6387</v>
      </c>
      <c r="H102" s="15"/>
    </row>
    <row r="103" customFormat="false" ht="17.25" hidden="false" customHeight="true" outlineLevel="0" collapsed="false">
      <c r="B103" s="15" t="n">
        <v>100</v>
      </c>
      <c r="C103" s="15" t="n">
        <v>1.2901</v>
      </c>
      <c r="D103" s="15" t="n">
        <v>1.6602</v>
      </c>
      <c r="E103" s="15" t="n">
        <v>1.984</v>
      </c>
      <c r="F103" s="15" t="n">
        <v>2.3642</v>
      </c>
      <c r="G103" s="15" t="n">
        <v>2.6259</v>
      </c>
      <c r="H103" s="15"/>
    </row>
    <row r="104" customFormat="false" ht="17.25" hidden="false" customHeight="true" outlineLevel="0" collapsed="false">
      <c r="B104" s="15" t="n">
        <v>120</v>
      </c>
      <c r="C104" s="15" t="n">
        <v>1.2886</v>
      </c>
      <c r="D104" s="15" t="n">
        <v>1.6577</v>
      </c>
      <c r="E104" s="15" t="n">
        <v>1.9799</v>
      </c>
      <c r="F104" s="15" t="n">
        <v>2.3578</v>
      </c>
      <c r="G104" s="15" t="n">
        <v>2.6174</v>
      </c>
      <c r="H104" s="15"/>
    </row>
    <row r="105" customFormat="false" ht="17.25" hidden="false" customHeight="true" outlineLevel="0" collapsed="false">
      <c r="B105" s="15" t="s">
        <v>13732</v>
      </c>
      <c r="C105" s="15" t="n">
        <v>1.2816</v>
      </c>
      <c r="D105" s="15" t="n">
        <v>1.6449</v>
      </c>
      <c r="E105" s="15" t="n">
        <v>1.96</v>
      </c>
      <c r="F105" s="15" t="n">
        <v>2.3263</v>
      </c>
      <c r="G105" s="15" t="n">
        <v>2.5758</v>
      </c>
      <c r="H105" s="15"/>
    </row>
    <row r="107" customFormat="false" ht="17.25" hidden="false" customHeight="true" outlineLevel="0" collapsed="false">
      <c r="B107" s="107" t="s">
        <v>13733</v>
      </c>
      <c r="C107" s="107"/>
      <c r="D107" s="107"/>
      <c r="E107" s="107"/>
      <c r="F107" s="107"/>
      <c r="G107" s="107"/>
      <c r="H107" s="107"/>
      <c r="I107" s="107"/>
      <c r="J107" s="107"/>
    </row>
    <row r="108" customFormat="false" ht="28.5" hidden="false" customHeight="true" outlineLevel="0" collapsed="false">
      <c r="B108" s="182" t="s">
        <v>13734</v>
      </c>
      <c r="C108" s="182"/>
      <c r="D108" s="182"/>
      <c r="E108" s="182"/>
      <c r="F108" s="182"/>
      <c r="G108" s="182"/>
      <c r="H108" s="182"/>
      <c r="I108" s="182"/>
      <c r="J108" s="182"/>
    </row>
    <row r="110" customFormat="false" ht="44.25" hidden="false" customHeight="true" outlineLevel="0" collapsed="false">
      <c r="B110" s="152" t="s">
        <v>2244</v>
      </c>
      <c r="C110" s="152" t="s">
        <v>13735</v>
      </c>
      <c r="D110" s="152" t="s">
        <v>13736</v>
      </c>
      <c r="E110" s="152" t="s">
        <v>13737</v>
      </c>
      <c r="F110" s="152" t="s">
        <v>13738</v>
      </c>
      <c r="G110" s="152" t="s">
        <v>13739</v>
      </c>
      <c r="H110" s="152" t="s">
        <v>13740</v>
      </c>
      <c r="I110" s="152" t="s">
        <v>13741</v>
      </c>
      <c r="J110" s="152"/>
    </row>
    <row r="111" customFormat="false" ht="17.25" hidden="false" customHeight="true" outlineLevel="0" collapsed="false">
      <c r="B111" s="15" t="n">
        <v>1</v>
      </c>
      <c r="C111" s="15" t="n">
        <v>0</v>
      </c>
      <c r="D111" s="15" t="n">
        <v>0.001</v>
      </c>
      <c r="E111" s="15" t="n">
        <v>0.0039</v>
      </c>
      <c r="F111" s="15" t="n">
        <v>3.8415</v>
      </c>
      <c r="G111" s="15" t="n">
        <v>5.0239</v>
      </c>
      <c r="H111" s="15" t="n">
        <v>6.6349</v>
      </c>
      <c r="I111" s="15" t="n">
        <v>7.8794</v>
      </c>
      <c r="J111" s="15"/>
    </row>
    <row r="112" customFormat="false" ht="17.25" hidden="false" customHeight="true" outlineLevel="0" collapsed="false">
      <c r="B112" s="15" t="n">
        <v>2</v>
      </c>
      <c r="C112" s="15" t="n">
        <v>0.01</v>
      </c>
      <c r="D112" s="15" t="n">
        <v>0.0506</v>
      </c>
      <c r="E112" s="15" t="n">
        <v>0.1026</v>
      </c>
      <c r="F112" s="15" t="n">
        <v>5.9915</v>
      </c>
      <c r="G112" s="15" t="n">
        <v>7.3778</v>
      </c>
      <c r="H112" s="15" t="n">
        <v>9.2103</v>
      </c>
      <c r="I112" s="15" t="n">
        <v>10.5966</v>
      </c>
      <c r="J112" s="15"/>
    </row>
    <row r="113" customFormat="false" ht="17.25" hidden="false" customHeight="true" outlineLevel="0" collapsed="false">
      <c r="B113" s="15" t="n">
        <v>3</v>
      </c>
      <c r="C113" s="15" t="n">
        <v>0.0717</v>
      </c>
      <c r="D113" s="15" t="n">
        <v>0.2158</v>
      </c>
      <c r="E113" s="15" t="n">
        <v>0.3518</v>
      </c>
      <c r="F113" s="15" t="n">
        <v>7.8147</v>
      </c>
      <c r="G113" s="15" t="n">
        <v>9.3484</v>
      </c>
      <c r="H113" s="15" t="n">
        <v>11.3449</v>
      </c>
      <c r="I113" s="15" t="n">
        <v>12.8382</v>
      </c>
      <c r="J113" s="15"/>
    </row>
    <row r="114" customFormat="false" ht="17.25" hidden="false" customHeight="true" outlineLevel="0" collapsed="false">
      <c r="B114" s="15" t="n">
        <v>4</v>
      </c>
      <c r="C114" s="15" t="n">
        <v>0.207</v>
      </c>
      <c r="D114" s="15" t="n">
        <v>0.4844</v>
      </c>
      <c r="E114" s="15" t="n">
        <v>0.7107</v>
      </c>
      <c r="F114" s="15" t="n">
        <v>9.4877</v>
      </c>
      <c r="G114" s="15" t="n">
        <v>11.1433</v>
      </c>
      <c r="H114" s="15" t="n">
        <v>13.2767</v>
      </c>
      <c r="I114" s="15" t="n">
        <v>14.8603</v>
      </c>
      <c r="J114" s="15"/>
    </row>
    <row r="115" customFormat="false" ht="17.25" hidden="false" customHeight="true" outlineLevel="0" collapsed="false">
      <c r="B115" s="15" t="n">
        <v>5</v>
      </c>
      <c r="C115" s="15" t="n">
        <v>0.4117</v>
      </c>
      <c r="D115" s="15" t="n">
        <v>0.8312</v>
      </c>
      <c r="E115" s="15" t="n">
        <v>1.1455</v>
      </c>
      <c r="F115" s="15" t="n">
        <v>11.0705</v>
      </c>
      <c r="G115" s="15" t="n">
        <v>12.8325</v>
      </c>
      <c r="H115" s="15" t="n">
        <v>15.0863</v>
      </c>
      <c r="I115" s="15" t="n">
        <v>16.7496</v>
      </c>
      <c r="J115" s="15"/>
    </row>
    <row r="116" customFormat="false" ht="17.25" hidden="false" customHeight="true" outlineLevel="0" collapsed="false">
      <c r="B116" s="15" t="n">
        <v>6</v>
      </c>
      <c r="C116" s="15" t="n">
        <v>0.6757</v>
      </c>
      <c r="D116" s="15" t="n">
        <v>1.2373</v>
      </c>
      <c r="E116" s="15" t="n">
        <v>1.6354</v>
      </c>
      <c r="F116" s="15" t="n">
        <v>12.5916</v>
      </c>
      <c r="G116" s="15" t="n">
        <v>14.4494</v>
      </c>
      <c r="H116" s="15" t="n">
        <v>16.8119</v>
      </c>
      <c r="I116" s="15" t="n">
        <v>18.5476</v>
      </c>
      <c r="J116" s="15"/>
    </row>
    <row r="117" customFormat="false" ht="17.25" hidden="false" customHeight="true" outlineLevel="0" collapsed="false">
      <c r="B117" s="15" t="n">
        <v>7</v>
      </c>
      <c r="C117" s="15" t="n">
        <v>0.9893</v>
      </c>
      <c r="D117" s="15" t="n">
        <v>1.6899</v>
      </c>
      <c r="E117" s="15" t="n">
        <v>2.1673</v>
      </c>
      <c r="F117" s="15" t="n">
        <v>14.0671</v>
      </c>
      <c r="G117" s="15" t="n">
        <v>16.0128</v>
      </c>
      <c r="H117" s="15" t="n">
        <v>18.4753</v>
      </c>
      <c r="I117" s="15" t="n">
        <v>20.2777</v>
      </c>
      <c r="J117" s="15"/>
    </row>
    <row r="118" customFormat="false" ht="17.25" hidden="false" customHeight="true" outlineLevel="0" collapsed="false">
      <c r="B118" s="15" t="n">
        <v>8</v>
      </c>
      <c r="C118" s="15" t="n">
        <v>1.3444</v>
      </c>
      <c r="D118" s="15" t="n">
        <v>2.1797</v>
      </c>
      <c r="E118" s="15" t="n">
        <v>2.7326</v>
      </c>
      <c r="F118" s="15" t="n">
        <v>15.5073</v>
      </c>
      <c r="G118" s="15" t="n">
        <v>17.5345</v>
      </c>
      <c r="H118" s="15" t="n">
        <v>20.0902</v>
      </c>
      <c r="I118" s="15" t="n">
        <v>21.955</v>
      </c>
      <c r="J118" s="15"/>
    </row>
    <row r="119" customFormat="false" ht="17.25" hidden="false" customHeight="true" outlineLevel="0" collapsed="false">
      <c r="B119" s="15" t="n">
        <v>9</v>
      </c>
      <c r="C119" s="15" t="n">
        <v>1.7349</v>
      </c>
      <c r="D119" s="15" t="n">
        <v>2.7004</v>
      </c>
      <c r="E119" s="15" t="n">
        <v>3.3251</v>
      </c>
      <c r="F119" s="15" t="n">
        <v>16.919</v>
      </c>
      <c r="G119" s="15" t="n">
        <v>19.0228</v>
      </c>
      <c r="H119" s="15" t="n">
        <v>21.666</v>
      </c>
      <c r="I119" s="15" t="n">
        <v>23.5894</v>
      </c>
      <c r="J119" s="15"/>
    </row>
    <row r="120" customFormat="false" ht="17.25" hidden="false" customHeight="true" outlineLevel="0" collapsed="false">
      <c r="B120" s="15" t="n">
        <v>10</v>
      </c>
      <c r="C120" s="15" t="n">
        <v>2.1559</v>
      </c>
      <c r="D120" s="15" t="n">
        <v>3.247</v>
      </c>
      <c r="E120" s="15" t="n">
        <v>3.9403</v>
      </c>
      <c r="F120" s="15" t="n">
        <v>18.307</v>
      </c>
      <c r="G120" s="15" t="n">
        <v>20.4832</v>
      </c>
      <c r="H120" s="15" t="n">
        <v>23.2093</v>
      </c>
      <c r="I120" s="15" t="n">
        <v>25.1882</v>
      </c>
      <c r="J120" s="15"/>
    </row>
    <row r="121" customFormat="false" ht="17.25" hidden="false" customHeight="true" outlineLevel="0" collapsed="false">
      <c r="B121" s="15" t="n">
        <v>11</v>
      </c>
      <c r="C121" s="15" t="n">
        <v>2.6032</v>
      </c>
      <c r="D121" s="15" t="n">
        <v>3.8157</v>
      </c>
      <c r="E121" s="15" t="n">
        <v>4.5748</v>
      </c>
      <c r="F121" s="15" t="n">
        <v>19.6751</v>
      </c>
      <c r="G121" s="15" t="n">
        <v>21.92</v>
      </c>
      <c r="H121" s="15" t="n">
        <v>24.725</v>
      </c>
      <c r="I121" s="15" t="n">
        <v>26.7568</v>
      </c>
      <c r="J121" s="15"/>
    </row>
    <row r="122" customFormat="false" ht="17.25" hidden="false" customHeight="true" outlineLevel="0" collapsed="false">
      <c r="B122" s="15" t="n">
        <v>12</v>
      </c>
      <c r="C122" s="15" t="n">
        <v>3.0738</v>
      </c>
      <c r="D122" s="15" t="n">
        <v>4.4038</v>
      </c>
      <c r="E122" s="15" t="n">
        <v>5.226</v>
      </c>
      <c r="F122" s="15" t="n">
        <v>21.0261</v>
      </c>
      <c r="G122" s="15" t="n">
        <v>23.3367</v>
      </c>
      <c r="H122" s="15" t="n">
        <v>26.217</v>
      </c>
      <c r="I122" s="15" t="n">
        <v>28.2995</v>
      </c>
      <c r="J122" s="15"/>
    </row>
    <row r="123" customFormat="false" ht="17.25" hidden="false" customHeight="true" outlineLevel="0" collapsed="false">
      <c r="B123" s="15" t="n">
        <v>13</v>
      </c>
      <c r="C123" s="15" t="n">
        <v>3.565</v>
      </c>
      <c r="D123" s="15" t="n">
        <v>5.0088</v>
      </c>
      <c r="E123" s="15" t="n">
        <v>5.8919</v>
      </c>
      <c r="F123" s="15" t="n">
        <v>22.362</v>
      </c>
      <c r="G123" s="15" t="n">
        <v>24.7356</v>
      </c>
      <c r="H123" s="15" t="n">
        <v>27.6882</v>
      </c>
      <c r="I123" s="15" t="n">
        <v>29.8195</v>
      </c>
      <c r="J123" s="15"/>
    </row>
    <row r="124" customFormat="false" ht="17.25" hidden="false" customHeight="true" outlineLevel="0" collapsed="false">
      <c r="B124" s="15" t="n">
        <v>14</v>
      </c>
      <c r="C124" s="15" t="n">
        <v>4.0747</v>
      </c>
      <c r="D124" s="15" t="n">
        <v>5.6287</v>
      </c>
      <c r="E124" s="15" t="n">
        <v>6.5706</v>
      </c>
      <c r="F124" s="15" t="n">
        <v>23.6848</v>
      </c>
      <c r="G124" s="15" t="n">
        <v>26.1189</v>
      </c>
      <c r="H124" s="15" t="n">
        <v>29.1412</v>
      </c>
      <c r="I124" s="15" t="n">
        <v>31.3193</v>
      </c>
      <c r="J124" s="15"/>
    </row>
    <row r="125" customFormat="false" ht="17.25" hidden="false" customHeight="true" outlineLevel="0" collapsed="false">
      <c r="B125" s="15" t="n">
        <v>15</v>
      </c>
      <c r="C125" s="15" t="n">
        <v>4.6009</v>
      </c>
      <c r="D125" s="15" t="n">
        <v>6.2621</v>
      </c>
      <c r="E125" s="15" t="n">
        <v>7.2609</v>
      </c>
      <c r="F125" s="15" t="n">
        <v>24.9958</v>
      </c>
      <c r="G125" s="15" t="n">
        <v>27.4884</v>
      </c>
      <c r="H125" s="15" t="n">
        <v>30.5779</v>
      </c>
      <c r="I125" s="15" t="n">
        <v>32.8013</v>
      </c>
      <c r="J125" s="15"/>
    </row>
    <row r="126" customFormat="false" ht="17.25" hidden="false" customHeight="true" outlineLevel="0" collapsed="false">
      <c r="B126" s="15" t="n">
        <v>16</v>
      </c>
      <c r="C126" s="15" t="n">
        <v>5.1422</v>
      </c>
      <c r="D126" s="15" t="n">
        <v>6.9077</v>
      </c>
      <c r="E126" s="15" t="n">
        <v>7.9616</v>
      </c>
      <c r="F126" s="15" t="n">
        <v>26.2962</v>
      </c>
      <c r="G126" s="15" t="n">
        <v>28.8454</v>
      </c>
      <c r="H126" s="15" t="n">
        <v>31.9999</v>
      </c>
      <c r="I126" s="15" t="n">
        <v>34.2672</v>
      </c>
      <c r="J126" s="15"/>
    </row>
    <row r="127" customFormat="false" ht="17.25" hidden="false" customHeight="true" outlineLevel="0" collapsed="false">
      <c r="B127" s="15" t="n">
        <v>17</v>
      </c>
      <c r="C127" s="15" t="n">
        <v>5.6972</v>
      </c>
      <c r="D127" s="15" t="n">
        <v>7.5642</v>
      </c>
      <c r="E127" s="15" t="n">
        <v>8.6718</v>
      </c>
      <c r="F127" s="15" t="n">
        <v>27.5871</v>
      </c>
      <c r="G127" s="15" t="n">
        <v>30.191</v>
      </c>
      <c r="H127" s="15" t="n">
        <v>33.4087</v>
      </c>
      <c r="I127" s="15" t="n">
        <v>35.7185</v>
      </c>
      <c r="J127" s="15"/>
    </row>
    <row r="128" customFormat="false" ht="17.25" hidden="false" customHeight="true" outlineLevel="0" collapsed="false">
      <c r="B128" s="15" t="n">
        <v>18</v>
      </c>
      <c r="C128" s="15" t="n">
        <v>6.2648</v>
      </c>
      <c r="D128" s="15" t="n">
        <v>8.2307</v>
      </c>
      <c r="E128" s="15" t="n">
        <v>9.3905</v>
      </c>
      <c r="F128" s="15" t="n">
        <v>28.8693</v>
      </c>
      <c r="G128" s="15" t="n">
        <v>31.5264</v>
      </c>
      <c r="H128" s="15" t="n">
        <v>34.8053</v>
      </c>
      <c r="I128" s="15" t="n">
        <v>37.1565</v>
      </c>
      <c r="J128" s="15"/>
    </row>
    <row r="129" customFormat="false" ht="17.25" hidden="false" customHeight="true" outlineLevel="0" collapsed="false">
      <c r="B129" s="15" t="n">
        <v>19</v>
      </c>
      <c r="C129" s="15" t="n">
        <v>6.844</v>
      </c>
      <c r="D129" s="15" t="n">
        <v>8.9065</v>
      </c>
      <c r="E129" s="15" t="n">
        <v>10.117</v>
      </c>
      <c r="F129" s="15" t="n">
        <v>30.1435</v>
      </c>
      <c r="G129" s="15" t="n">
        <v>32.8523</v>
      </c>
      <c r="H129" s="15" t="n">
        <v>36.1909</v>
      </c>
      <c r="I129" s="15" t="n">
        <v>38.5823</v>
      </c>
      <c r="J129" s="15"/>
    </row>
    <row r="130" customFormat="false" ht="17.25" hidden="false" customHeight="true" outlineLevel="0" collapsed="false">
      <c r="B130" s="15" t="n">
        <v>20</v>
      </c>
      <c r="C130" s="15" t="n">
        <v>7.4338</v>
      </c>
      <c r="D130" s="15" t="n">
        <v>9.5908</v>
      </c>
      <c r="E130" s="15" t="n">
        <v>10.8508</v>
      </c>
      <c r="F130" s="15" t="n">
        <v>31.4104</v>
      </c>
      <c r="G130" s="15" t="n">
        <v>34.1696</v>
      </c>
      <c r="H130" s="15" t="n">
        <v>37.5662</v>
      </c>
      <c r="I130" s="15" t="n">
        <v>39.9968</v>
      </c>
      <c r="J130" s="15"/>
    </row>
    <row r="131" customFormat="false" ht="17.25" hidden="false" customHeight="true" outlineLevel="0" collapsed="false">
      <c r="B131" s="15" t="n">
        <v>21</v>
      </c>
      <c r="C131" s="15" t="n">
        <v>8.0337</v>
      </c>
      <c r="D131" s="15" t="n">
        <v>10.2829</v>
      </c>
      <c r="E131" s="15" t="n">
        <v>11.5913</v>
      </c>
      <c r="F131" s="15" t="n">
        <v>32.6706</v>
      </c>
      <c r="G131" s="15" t="n">
        <v>35.4789</v>
      </c>
      <c r="H131" s="15" t="n">
        <v>38.9322</v>
      </c>
      <c r="I131" s="15" t="n">
        <v>41.4011</v>
      </c>
      <c r="J131" s="15"/>
    </row>
    <row r="132" customFormat="false" ht="17.25" hidden="false" customHeight="true" outlineLevel="0" collapsed="false">
      <c r="B132" s="15" t="n">
        <v>22</v>
      </c>
      <c r="C132" s="15" t="n">
        <v>8.6427</v>
      </c>
      <c r="D132" s="15" t="n">
        <v>10.9823</v>
      </c>
      <c r="E132" s="15" t="n">
        <v>12.338</v>
      </c>
      <c r="F132" s="15" t="n">
        <v>33.9244</v>
      </c>
      <c r="G132" s="15" t="n">
        <v>36.7807</v>
      </c>
      <c r="H132" s="15" t="n">
        <v>40.2894</v>
      </c>
      <c r="I132" s="15" t="n">
        <v>42.7957</v>
      </c>
      <c r="J132" s="15"/>
    </row>
    <row r="133" customFormat="false" ht="17.25" hidden="false" customHeight="true" outlineLevel="0" collapsed="false">
      <c r="B133" s="15" t="n">
        <v>23</v>
      </c>
      <c r="C133" s="15" t="n">
        <v>9.2604</v>
      </c>
      <c r="D133" s="15" t="n">
        <v>11.6886</v>
      </c>
      <c r="E133" s="15" t="n">
        <v>13.0905</v>
      </c>
      <c r="F133" s="15" t="n">
        <v>35.1725</v>
      </c>
      <c r="G133" s="15" t="n">
        <v>38.0756</v>
      </c>
      <c r="H133" s="15" t="n">
        <v>41.6384</v>
      </c>
      <c r="I133" s="15" t="n">
        <v>44.1813</v>
      </c>
      <c r="J133" s="15"/>
    </row>
    <row r="134" customFormat="false" ht="17.25" hidden="false" customHeight="true" outlineLevel="0" collapsed="false">
      <c r="B134" s="15" t="n">
        <v>24</v>
      </c>
      <c r="C134" s="15" t="n">
        <v>9.8862</v>
      </c>
      <c r="D134" s="15" t="n">
        <v>12.4012</v>
      </c>
      <c r="E134" s="15" t="n">
        <v>13.8484</v>
      </c>
      <c r="F134" s="15" t="n">
        <v>36.415</v>
      </c>
      <c r="G134" s="15" t="n">
        <v>39.3641</v>
      </c>
      <c r="H134" s="15" t="n">
        <v>42.9798</v>
      </c>
      <c r="I134" s="15" t="n">
        <v>45.5585</v>
      </c>
      <c r="J134" s="15"/>
    </row>
    <row r="135" customFormat="false" ht="17.25" hidden="false" customHeight="true" outlineLevel="0" collapsed="false">
      <c r="B135" s="15" t="n">
        <v>25</v>
      </c>
      <c r="C135" s="15" t="n">
        <v>10.5197</v>
      </c>
      <c r="D135" s="15" t="n">
        <v>13.1197</v>
      </c>
      <c r="E135" s="15" t="n">
        <v>14.6114</v>
      </c>
      <c r="F135" s="15" t="n">
        <v>37.6525</v>
      </c>
      <c r="G135" s="15" t="n">
        <v>40.6465</v>
      </c>
      <c r="H135" s="15" t="n">
        <v>44.3141</v>
      </c>
      <c r="I135" s="15" t="n">
        <v>46.9279</v>
      </c>
      <c r="J135" s="15"/>
    </row>
    <row r="136" customFormat="false" ht="17.25" hidden="false" customHeight="true" outlineLevel="0" collapsed="false">
      <c r="B136" s="15" t="n">
        <v>26</v>
      </c>
      <c r="C136" s="15" t="n">
        <v>11.1602</v>
      </c>
      <c r="D136" s="15" t="n">
        <v>13.8439</v>
      </c>
      <c r="E136" s="15" t="n">
        <v>15.3792</v>
      </c>
      <c r="F136" s="15" t="n">
        <v>38.8851</v>
      </c>
      <c r="G136" s="15" t="n">
        <v>41.9232</v>
      </c>
      <c r="H136" s="15" t="n">
        <v>45.6417</v>
      </c>
      <c r="I136" s="15" t="n">
        <v>48.2899</v>
      </c>
      <c r="J136" s="15"/>
    </row>
    <row r="137" customFormat="false" ht="17.25" hidden="false" customHeight="true" outlineLevel="0" collapsed="false">
      <c r="B137" s="15" t="n">
        <v>27</v>
      </c>
      <c r="C137" s="15" t="n">
        <v>11.8076</v>
      </c>
      <c r="D137" s="15" t="n">
        <v>14.5734</v>
      </c>
      <c r="E137" s="15" t="n">
        <v>16.1514</v>
      </c>
      <c r="F137" s="15" t="n">
        <v>40.1133</v>
      </c>
      <c r="G137" s="15" t="n">
        <v>43.1945</v>
      </c>
      <c r="H137" s="15" t="n">
        <v>46.9629</v>
      </c>
      <c r="I137" s="15" t="n">
        <v>49.6449</v>
      </c>
      <c r="J137" s="15"/>
    </row>
    <row r="138" customFormat="false" ht="17.25" hidden="false" customHeight="true" outlineLevel="0" collapsed="false">
      <c r="B138" s="15" t="n">
        <v>28</v>
      </c>
      <c r="C138" s="15" t="n">
        <v>12.4613</v>
      </c>
      <c r="D138" s="15" t="n">
        <v>15.3079</v>
      </c>
      <c r="E138" s="15" t="n">
        <v>16.9279</v>
      </c>
      <c r="F138" s="15" t="n">
        <v>41.3371</v>
      </c>
      <c r="G138" s="15" t="n">
        <v>44.4608</v>
      </c>
      <c r="H138" s="15" t="n">
        <v>48.2782</v>
      </c>
      <c r="I138" s="15" t="n">
        <v>50.9934</v>
      </c>
      <c r="J138" s="15"/>
    </row>
    <row r="139" customFormat="false" ht="17.25" hidden="false" customHeight="true" outlineLevel="0" collapsed="false">
      <c r="B139" s="15" t="n">
        <v>29</v>
      </c>
      <c r="C139" s="15" t="n">
        <v>13.1211</v>
      </c>
      <c r="D139" s="15" t="n">
        <v>16.0471</v>
      </c>
      <c r="E139" s="15" t="n">
        <v>17.7084</v>
      </c>
      <c r="F139" s="15" t="n">
        <v>42.557</v>
      </c>
      <c r="G139" s="15" t="n">
        <v>45.7223</v>
      </c>
      <c r="H139" s="15" t="n">
        <v>49.5879</v>
      </c>
      <c r="I139" s="15" t="n">
        <v>52.3356</v>
      </c>
      <c r="J139" s="15"/>
    </row>
    <row r="140" customFormat="false" ht="17.25" hidden="false" customHeight="true" outlineLevel="0" collapsed="false">
      <c r="B140" s="15" t="n">
        <v>30</v>
      </c>
      <c r="C140" s="15" t="n">
        <v>13.7867</v>
      </c>
      <c r="D140" s="15" t="n">
        <v>16.7908</v>
      </c>
      <c r="E140" s="15" t="n">
        <v>18.4927</v>
      </c>
      <c r="F140" s="15" t="n">
        <v>43.773</v>
      </c>
      <c r="G140" s="15" t="n">
        <v>46.9792</v>
      </c>
      <c r="H140" s="15" t="n">
        <v>50.8922</v>
      </c>
      <c r="I140" s="15" t="n">
        <v>53.672</v>
      </c>
      <c r="J140" s="15"/>
    </row>
    <row r="141" customFormat="false" ht="17.25" hidden="false" customHeight="true" outlineLevel="0" collapsed="false">
      <c r="B141" s="15" t="n">
        <v>40</v>
      </c>
      <c r="C141" s="15" t="n">
        <v>20.7065</v>
      </c>
      <c r="D141" s="15" t="n">
        <v>24.433</v>
      </c>
      <c r="E141" s="15" t="n">
        <v>26.5093</v>
      </c>
      <c r="F141" s="15" t="n">
        <v>55.7585</v>
      </c>
      <c r="G141" s="15" t="n">
        <v>59.3417</v>
      </c>
      <c r="H141" s="15" t="n">
        <v>63.6907</v>
      </c>
      <c r="I141" s="15" t="n">
        <v>66.766</v>
      </c>
      <c r="J141" s="15"/>
    </row>
    <row r="142" customFormat="false" ht="17.25" hidden="false" customHeight="true" outlineLevel="0" collapsed="false">
      <c r="B142" s="15" t="n">
        <v>50</v>
      </c>
      <c r="C142" s="15" t="n">
        <v>27.9907</v>
      </c>
      <c r="D142" s="15" t="n">
        <v>32.3574</v>
      </c>
      <c r="E142" s="15" t="n">
        <v>34.7643</v>
      </c>
      <c r="F142" s="15" t="n">
        <v>67.5048</v>
      </c>
      <c r="G142" s="15" t="n">
        <v>71.4202</v>
      </c>
      <c r="H142" s="15" t="n">
        <v>76.1539</v>
      </c>
      <c r="I142" s="15" t="n">
        <v>79.49</v>
      </c>
      <c r="J142" s="15"/>
    </row>
    <row r="143" customFormat="false" ht="17.25" hidden="false" customHeight="true" outlineLevel="0" collapsed="false">
      <c r="B143" s="15" t="n">
        <v>60</v>
      </c>
      <c r="C143" s="15" t="n">
        <v>35.5345</v>
      </c>
      <c r="D143" s="15" t="n">
        <v>40.4817</v>
      </c>
      <c r="E143" s="15" t="n">
        <v>43.188</v>
      </c>
      <c r="F143" s="15" t="n">
        <v>79.0819</v>
      </c>
      <c r="G143" s="15" t="n">
        <v>83.2977</v>
      </c>
      <c r="H143" s="15" t="n">
        <v>88.3794</v>
      </c>
      <c r="I143" s="15" t="n">
        <v>91.9517</v>
      </c>
      <c r="J143" s="15"/>
    </row>
    <row r="144" customFormat="false" ht="17.25" hidden="false" customHeight="true" outlineLevel="0" collapsed="false">
      <c r="B144" s="15" t="n">
        <v>80</v>
      </c>
      <c r="C144" s="15" t="n">
        <v>51.1719</v>
      </c>
      <c r="D144" s="15" t="n">
        <v>57.1532</v>
      </c>
      <c r="E144" s="15" t="n">
        <v>60.3915</v>
      </c>
      <c r="F144" s="15" t="n">
        <v>101.8795</v>
      </c>
      <c r="G144" s="15" t="n">
        <v>106.6286</v>
      </c>
      <c r="H144" s="15" t="n">
        <v>112.3288</v>
      </c>
      <c r="I144" s="15" t="n">
        <v>116.3211</v>
      </c>
      <c r="J144" s="15"/>
    </row>
    <row r="145" customFormat="false" ht="17.25" hidden="false" customHeight="true" outlineLevel="0" collapsed="false">
      <c r="B145" s="15" t="n">
        <v>100</v>
      </c>
      <c r="C145" s="15" t="n">
        <v>67.3276</v>
      </c>
      <c r="D145" s="15" t="n">
        <v>74.2219</v>
      </c>
      <c r="E145" s="15" t="n">
        <v>77.9295</v>
      </c>
      <c r="F145" s="15" t="n">
        <v>124.3421</v>
      </c>
      <c r="G145" s="15" t="n">
        <v>129.5612</v>
      </c>
      <c r="H145" s="15" t="n">
        <v>135.8067</v>
      </c>
      <c r="I145" s="15" t="n">
        <v>140.1695</v>
      </c>
      <c r="J145" s="15"/>
    </row>
    <row r="147" customFormat="false" ht="17.25" hidden="false" customHeight="true" outlineLevel="0" collapsed="false">
      <c r="B147" s="107" t="s">
        <v>13742</v>
      </c>
      <c r="C147" s="107"/>
      <c r="D147" s="107"/>
      <c r="E147" s="107"/>
      <c r="F147" s="107"/>
      <c r="G147" s="107"/>
      <c r="H147" s="107"/>
      <c r="I147" s="107"/>
      <c r="J147" s="107"/>
    </row>
    <row r="148" customFormat="false" ht="15.75" hidden="false" customHeight="true" outlineLevel="0" collapsed="false">
      <c r="B148" s="182" t="s">
        <v>13743</v>
      </c>
      <c r="C148" s="182"/>
      <c r="D148" s="182"/>
      <c r="E148" s="182"/>
      <c r="F148" s="182"/>
      <c r="G148" s="182"/>
      <c r="H148" s="182"/>
      <c r="I148" s="182"/>
      <c r="J148" s="182"/>
    </row>
    <row r="150" customFormat="false" ht="16.5" hidden="false" customHeight="true" outlineLevel="0" collapsed="false">
      <c r="B150" s="152" t="s">
        <v>13744</v>
      </c>
      <c r="C150" s="152" t="s">
        <v>34</v>
      </c>
      <c r="D150" s="152" t="s">
        <v>6922</v>
      </c>
      <c r="E150" s="152" t="s">
        <v>6926</v>
      </c>
      <c r="F150" s="152" t="s">
        <v>6931</v>
      </c>
      <c r="G150" s="152" t="s">
        <v>40</v>
      </c>
      <c r="H150" s="152" t="s">
        <v>45</v>
      </c>
      <c r="I150" s="152" t="s">
        <v>13745</v>
      </c>
      <c r="J150" s="152" t="s">
        <v>13746</v>
      </c>
      <c r="K150" s="152" t="s">
        <v>13747</v>
      </c>
      <c r="L150" s="152" t="s">
        <v>13748</v>
      </c>
      <c r="M150" s="152" t="s">
        <v>13749</v>
      </c>
      <c r="N150" s="152" t="s">
        <v>13750</v>
      </c>
      <c r="O150" s="152" t="s">
        <v>13751</v>
      </c>
      <c r="P150" s="152" t="s">
        <v>13752</v>
      </c>
    </row>
    <row r="151" customFormat="false" ht="16.5" hidden="false" customHeight="true" outlineLevel="0" collapsed="false">
      <c r="B151" s="15" t="n">
        <v>1</v>
      </c>
      <c r="C151" s="15" t="n">
        <v>161.448</v>
      </c>
      <c r="D151" s="15" t="n">
        <v>199.5</v>
      </c>
      <c r="E151" s="15" t="n">
        <v>215.707</v>
      </c>
      <c r="F151" s="15" t="n">
        <v>224.583</v>
      </c>
      <c r="G151" s="15" t="n">
        <v>230.162</v>
      </c>
      <c r="H151" s="15" t="n">
        <v>233.986</v>
      </c>
      <c r="I151" s="15" t="n">
        <v>236.768</v>
      </c>
      <c r="J151" s="15" t="n">
        <v>238.883</v>
      </c>
      <c r="K151" s="15" t="n">
        <v>240.543</v>
      </c>
      <c r="L151" s="15" t="n">
        <v>241.882</v>
      </c>
      <c r="M151" s="15" t="n">
        <v>243.906</v>
      </c>
      <c r="N151" s="15" t="n">
        <v>245.95</v>
      </c>
      <c r="O151" s="15" t="n">
        <v>248.013</v>
      </c>
      <c r="P151" s="15" t="n">
        <v>250.095</v>
      </c>
    </row>
    <row r="152" customFormat="false" ht="16.5" hidden="false" customHeight="true" outlineLevel="0" collapsed="false">
      <c r="B152" s="15" t="n">
        <v>2</v>
      </c>
      <c r="C152" s="15" t="n">
        <v>18.513</v>
      </c>
      <c r="D152" s="15" t="n">
        <v>19</v>
      </c>
      <c r="E152" s="15" t="n">
        <v>19.164</v>
      </c>
      <c r="F152" s="15" t="n">
        <v>19.247</v>
      </c>
      <c r="G152" s="15" t="n">
        <v>19.296</v>
      </c>
      <c r="H152" s="15" t="n">
        <v>19.33</v>
      </c>
      <c r="I152" s="15" t="n">
        <v>19.353</v>
      </c>
      <c r="J152" s="15" t="n">
        <v>19.371</v>
      </c>
      <c r="K152" s="15" t="n">
        <v>19.385</v>
      </c>
      <c r="L152" s="15" t="n">
        <v>19.396</v>
      </c>
      <c r="M152" s="15" t="n">
        <v>19.413</v>
      </c>
      <c r="N152" s="15" t="n">
        <v>19.429</v>
      </c>
      <c r="O152" s="15" t="n">
        <v>19.446</v>
      </c>
      <c r="P152" s="15" t="n">
        <v>19.462</v>
      </c>
    </row>
    <row r="153" customFormat="false" ht="16.5" hidden="false" customHeight="true" outlineLevel="0" collapsed="false">
      <c r="B153" s="15" t="n">
        <v>3</v>
      </c>
      <c r="C153" s="15" t="n">
        <v>10.128</v>
      </c>
      <c r="D153" s="15" t="n">
        <v>9.552</v>
      </c>
      <c r="E153" s="15" t="n">
        <v>9.277</v>
      </c>
      <c r="F153" s="15" t="n">
        <v>9.117</v>
      </c>
      <c r="G153" s="15" t="n">
        <v>9.013</v>
      </c>
      <c r="H153" s="15" t="n">
        <v>8.941</v>
      </c>
      <c r="I153" s="15" t="n">
        <v>8.887</v>
      </c>
      <c r="J153" s="15" t="n">
        <v>8.845</v>
      </c>
      <c r="K153" s="15" t="n">
        <v>8.812</v>
      </c>
      <c r="L153" s="15" t="n">
        <v>8.786</v>
      </c>
      <c r="M153" s="15" t="n">
        <v>8.745</v>
      </c>
      <c r="N153" s="15" t="n">
        <v>8.703</v>
      </c>
      <c r="O153" s="15" t="n">
        <v>8.66</v>
      </c>
      <c r="P153" s="15" t="n">
        <v>8.617</v>
      </c>
    </row>
    <row r="154" customFormat="false" ht="16.5" hidden="false" customHeight="true" outlineLevel="0" collapsed="false">
      <c r="B154" s="15" t="n">
        <v>4</v>
      </c>
      <c r="C154" s="15" t="n">
        <v>7.709</v>
      </c>
      <c r="D154" s="15" t="n">
        <v>6.944</v>
      </c>
      <c r="E154" s="15" t="n">
        <v>6.591</v>
      </c>
      <c r="F154" s="15" t="n">
        <v>6.388</v>
      </c>
      <c r="G154" s="15" t="n">
        <v>6.256</v>
      </c>
      <c r="H154" s="15" t="n">
        <v>6.163</v>
      </c>
      <c r="I154" s="15" t="n">
        <v>6.094</v>
      </c>
      <c r="J154" s="15" t="n">
        <v>6.041</v>
      </c>
      <c r="K154" s="15" t="n">
        <v>5.999</v>
      </c>
      <c r="L154" s="15" t="n">
        <v>5.964</v>
      </c>
      <c r="M154" s="15" t="n">
        <v>5.912</v>
      </c>
      <c r="N154" s="15" t="n">
        <v>5.858</v>
      </c>
      <c r="O154" s="15" t="n">
        <v>5.803</v>
      </c>
      <c r="P154" s="15" t="n">
        <v>5.746</v>
      </c>
    </row>
    <row r="155" customFormat="false" ht="16.5" hidden="false" customHeight="true" outlineLevel="0" collapsed="false">
      <c r="B155" s="15" t="n">
        <v>5</v>
      </c>
      <c r="C155" s="15" t="n">
        <v>6.608</v>
      </c>
      <c r="D155" s="15" t="n">
        <v>5.786</v>
      </c>
      <c r="E155" s="15" t="n">
        <v>5.409</v>
      </c>
      <c r="F155" s="15" t="n">
        <v>5.192</v>
      </c>
      <c r="G155" s="15" t="n">
        <v>5.05</v>
      </c>
      <c r="H155" s="15" t="n">
        <v>4.95</v>
      </c>
      <c r="I155" s="15" t="n">
        <v>4.876</v>
      </c>
      <c r="J155" s="15" t="n">
        <v>4.818</v>
      </c>
      <c r="K155" s="15" t="n">
        <v>4.772</v>
      </c>
      <c r="L155" s="15" t="n">
        <v>4.735</v>
      </c>
      <c r="M155" s="15" t="n">
        <v>4.678</v>
      </c>
      <c r="N155" s="15" t="n">
        <v>4.619</v>
      </c>
      <c r="O155" s="15" t="n">
        <v>4.558</v>
      </c>
      <c r="P155" s="15" t="n">
        <v>4.496</v>
      </c>
    </row>
    <row r="156" customFormat="false" ht="16.5" hidden="false" customHeight="true" outlineLevel="0" collapsed="false">
      <c r="B156" s="15" t="n">
        <v>6</v>
      </c>
      <c r="C156" s="15" t="n">
        <v>5.987</v>
      </c>
      <c r="D156" s="15" t="n">
        <v>5.143</v>
      </c>
      <c r="E156" s="15" t="n">
        <v>4.757</v>
      </c>
      <c r="F156" s="15" t="n">
        <v>4.534</v>
      </c>
      <c r="G156" s="15" t="n">
        <v>4.387</v>
      </c>
      <c r="H156" s="15" t="n">
        <v>4.284</v>
      </c>
      <c r="I156" s="15" t="n">
        <v>4.207</v>
      </c>
      <c r="J156" s="15" t="n">
        <v>4.147</v>
      </c>
      <c r="K156" s="15" t="n">
        <v>4.099</v>
      </c>
      <c r="L156" s="15" t="n">
        <v>4.06</v>
      </c>
      <c r="M156" s="15" t="n">
        <v>4</v>
      </c>
      <c r="N156" s="15" t="n">
        <v>3.938</v>
      </c>
      <c r="O156" s="15" t="n">
        <v>3.874</v>
      </c>
      <c r="P156" s="15" t="n">
        <v>3.808</v>
      </c>
    </row>
    <row r="157" customFormat="false" ht="16.5" hidden="false" customHeight="true" outlineLevel="0" collapsed="false">
      <c r="B157" s="15" t="n">
        <v>7</v>
      </c>
      <c r="C157" s="15" t="n">
        <v>5.591</v>
      </c>
      <c r="D157" s="15" t="n">
        <v>4.737</v>
      </c>
      <c r="E157" s="15" t="n">
        <v>4.347</v>
      </c>
      <c r="F157" s="15" t="n">
        <v>4.12</v>
      </c>
      <c r="G157" s="15" t="n">
        <v>3.972</v>
      </c>
      <c r="H157" s="15" t="n">
        <v>3.866</v>
      </c>
      <c r="I157" s="15" t="n">
        <v>3.787</v>
      </c>
      <c r="J157" s="15" t="n">
        <v>3.726</v>
      </c>
      <c r="K157" s="15" t="n">
        <v>3.677</v>
      </c>
      <c r="L157" s="15" t="n">
        <v>3.637</v>
      </c>
      <c r="M157" s="15" t="n">
        <v>3.575</v>
      </c>
      <c r="N157" s="15" t="n">
        <v>3.511</v>
      </c>
      <c r="O157" s="15" t="n">
        <v>3.445</v>
      </c>
      <c r="P157" s="15" t="n">
        <v>3.376</v>
      </c>
    </row>
    <row r="158" customFormat="false" ht="16.5" hidden="false" customHeight="true" outlineLevel="0" collapsed="false">
      <c r="B158" s="15" t="n">
        <v>8</v>
      </c>
      <c r="C158" s="15" t="n">
        <v>5.318</v>
      </c>
      <c r="D158" s="15" t="n">
        <v>4.459</v>
      </c>
      <c r="E158" s="15" t="n">
        <v>4.066</v>
      </c>
      <c r="F158" s="15" t="n">
        <v>3.838</v>
      </c>
      <c r="G158" s="15" t="n">
        <v>3.687</v>
      </c>
      <c r="H158" s="15" t="n">
        <v>3.581</v>
      </c>
      <c r="I158" s="15" t="n">
        <v>3.5</v>
      </c>
      <c r="J158" s="15" t="n">
        <v>3.438</v>
      </c>
      <c r="K158" s="15" t="n">
        <v>3.388</v>
      </c>
      <c r="L158" s="15" t="n">
        <v>3.347</v>
      </c>
      <c r="M158" s="15" t="n">
        <v>3.284</v>
      </c>
      <c r="N158" s="15" t="n">
        <v>3.218</v>
      </c>
      <c r="O158" s="15" t="n">
        <v>3.15</v>
      </c>
      <c r="P158" s="15" t="n">
        <v>3.079</v>
      </c>
    </row>
    <row r="159" customFormat="false" ht="16.5" hidden="false" customHeight="true" outlineLevel="0" collapsed="false">
      <c r="B159" s="15" t="n">
        <v>9</v>
      </c>
      <c r="C159" s="15" t="n">
        <v>5.117</v>
      </c>
      <c r="D159" s="15" t="n">
        <v>4.256</v>
      </c>
      <c r="E159" s="15" t="n">
        <v>3.863</v>
      </c>
      <c r="F159" s="15" t="n">
        <v>3.633</v>
      </c>
      <c r="G159" s="15" t="n">
        <v>3.482</v>
      </c>
      <c r="H159" s="15" t="n">
        <v>3.374</v>
      </c>
      <c r="I159" s="15" t="n">
        <v>3.293</v>
      </c>
      <c r="J159" s="15" t="n">
        <v>3.23</v>
      </c>
      <c r="K159" s="15" t="n">
        <v>3.179</v>
      </c>
      <c r="L159" s="15" t="n">
        <v>3.137</v>
      </c>
      <c r="M159" s="15" t="n">
        <v>3.073</v>
      </c>
      <c r="N159" s="15" t="n">
        <v>3.006</v>
      </c>
      <c r="O159" s="15" t="n">
        <v>2.936</v>
      </c>
      <c r="P159" s="15" t="n">
        <v>2.864</v>
      </c>
    </row>
    <row r="160" customFormat="false" ht="16.5" hidden="false" customHeight="true" outlineLevel="0" collapsed="false">
      <c r="B160" s="15" t="n">
        <v>10</v>
      </c>
      <c r="C160" s="15" t="n">
        <v>4.965</v>
      </c>
      <c r="D160" s="15" t="n">
        <v>4.103</v>
      </c>
      <c r="E160" s="15" t="n">
        <v>3.708</v>
      </c>
      <c r="F160" s="15" t="n">
        <v>3.478</v>
      </c>
      <c r="G160" s="15" t="n">
        <v>3.326</v>
      </c>
      <c r="H160" s="15" t="n">
        <v>3.217</v>
      </c>
      <c r="I160" s="15" t="n">
        <v>3.135</v>
      </c>
      <c r="J160" s="15" t="n">
        <v>3.072</v>
      </c>
      <c r="K160" s="15" t="n">
        <v>3.02</v>
      </c>
      <c r="L160" s="15" t="n">
        <v>2.978</v>
      </c>
      <c r="M160" s="15" t="n">
        <v>2.913</v>
      </c>
      <c r="N160" s="15" t="n">
        <v>2.845</v>
      </c>
      <c r="O160" s="15" t="n">
        <v>2.774</v>
      </c>
      <c r="P160" s="15" t="n">
        <v>2.7</v>
      </c>
    </row>
    <row r="161" customFormat="false" ht="16.5" hidden="false" customHeight="true" outlineLevel="0" collapsed="false">
      <c r="B161" s="15" t="n">
        <v>11</v>
      </c>
      <c r="C161" s="15" t="n">
        <v>4.844</v>
      </c>
      <c r="D161" s="15" t="n">
        <v>3.982</v>
      </c>
      <c r="E161" s="15" t="n">
        <v>3.587</v>
      </c>
      <c r="F161" s="15" t="n">
        <v>3.357</v>
      </c>
      <c r="G161" s="15" t="n">
        <v>3.204</v>
      </c>
      <c r="H161" s="15" t="n">
        <v>3.095</v>
      </c>
      <c r="I161" s="15" t="n">
        <v>3.012</v>
      </c>
      <c r="J161" s="15" t="n">
        <v>2.948</v>
      </c>
      <c r="K161" s="15" t="n">
        <v>2.896</v>
      </c>
      <c r="L161" s="15" t="n">
        <v>2.854</v>
      </c>
      <c r="M161" s="15" t="n">
        <v>2.788</v>
      </c>
      <c r="N161" s="15" t="n">
        <v>2.719</v>
      </c>
      <c r="O161" s="15" t="n">
        <v>2.646</v>
      </c>
      <c r="P161" s="15" t="n">
        <v>2.57</v>
      </c>
    </row>
    <row r="162" customFormat="false" ht="16.5" hidden="false" customHeight="true" outlineLevel="0" collapsed="false">
      <c r="B162" s="15" t="n">
        <v>12</v>
      </c>
      <c r="C162" s="15" t="n">
        <v>4.747</v>
      </c>
      <c r="D162" s="15" t="n">
        <v>3.885</v>
      </c>
      <c r="E162" s="15" t="n">
        <v>3.49</v>
      </c>
      <c r="F162" s="15" t="n">
        <v>3.259</v>
      </c>
      <c r="G162" s="15" t="n">
        <v>3.106</v>
      </c>
      <c r="H162" s="15" t="n">
        <v>2.996</v>
      </c>
      <c r="I162" s="15" t="n">
        <v>2.913</v>
      </c>
      <c r="J162" s="15" t="n">
        <v>2.849</v>
      </c>
      <c r="K162" s="15" t="n">
        <v>2.796</v>
      </c>
      <c r="L162" s="15" t="n">
        <v>2.753</v>
      </c>
      <c r="M162" s="15" t="n">
        <v>2.687</v>
      </c>
      <c r="N162" s="15" t="n">
        <v>2.617</v>
      </c>
      <c r="O162" s="15" t="n">
        <v>2.544</v>
      </c>
      <c r="P162" s="15" t="n">
        <v>2.466</v>
      </c>
    </row>
    <row r="163" customFormat="false" ht="16.5" hidden="false" customHeight="true" outlineLevel="0" collapsed="false">
      <c r="B163" s="15" t="n">
        <v>13</v>
      </c>
      <c r="C163" s="15" t="n">
        <v>4.667</v>
      </c>
      <c r="D163" s="15" t="n">
        <v>3.806</v>
      </c>
      <c r="E163" s="15" t="n">
        <v>3.411</v>
      </c>
      <c r="F163" s="15" t="n">
        <v>3.179</v>
      </c>
      <c r="G163" s="15" t="n">
        <v>3.025</v>
      </c>
      <c r="H163" s="15" t="n">
        <v>2.915</v>
      </c>
      <c r="I163" s="15" t="n">
        <v>2.832</v>
      </c>
      <c r="J163" s="15" t="n">
        <v>2.767</v>
      </c>
      <c r="K163" s="15" t="n">
        <v>2.714</v>
      </c>
      <c r="L163" s="15" t="n">
        <v>2.671</v>
      </c>
      <c r="M163" s="15" t="n">
        <v>2.604</v>
      </c>
      <c r="N163" s="15" t="n">
        <v>2.533</v>
      </c>
      <c r="O163" s="15" t="n">
        <v>2.459</v>
      </c>
      <c r="P163" s="15" t="n">
        <v>2.38</v>
      </c>
    </row>
    <row r="164" customFormat="false" ht="16.5" hidden="false" customHeight="true" outlineLevel="0" collapsed="false">
      <c r="B164" s="15" t="n">
        <v>14</v>
      </c>
      <c r="C164" s="15" t="n">
        <v>4.6</v>
      </c>
      <c r="D164" s="15" t="n">
        <v>3.739</v>
      </c>
      <c r="E164" s="15" t="n">
        <v>3.344</v>
      </c>
      <c r="F164" s="15" t="n">
        <v>3.112</v>
      </c>
      <c r="G164" s="15" t="n">
        <v>2.958</v>
      </c>
      <c r="H164" s="15" t="n">
        <v>2.848</v>
      </c>
      <c r="I164" s="15" t="n">
        <v>2.764</v>
      </c>
      <c r="J164" s="15" t="n">
        <v>2.699</v>
      </c>
      <c r="K164" s="15" t="n">
        <v>2.646</v>
      </c>
      <c r="L164" s="15" t="n">
        <v>2.602</v>
      </c>
      <c r="M164" s="15" t="n">
        <v>2.534</v>
      </c>
      <c r="N164" s="15" t="n">
        <v>2.463</v>
      </c>
      <c r="O164" s="15" t="n">
        <v>2.388</v>
      </c>
      <c r="P164" s="15" t="n">
        <v>2.308</v>
      </c>
    </row>
    <row r="165" customFormat="false" ht="16.5" hidden="false" customHeight="true" outlineLevel="0" collapsed="false">
      <c r="B165" s="15" t="n">
        <v>15</v>
      </c>
      <c r="C165" s="15" t="n">
        <v>4.543</v>
      </c>
      <c r="D165" s="15" t="n">
        <v>3.682</v>
      </c>
      <c r="E165" s="15" t="n">
        <v>3.287</v>
      </c>
      <c r="F165" s="15" t="n">
        <v>3.056</v>
      </c>
      <c r="G165" s="15" t="n">
        <v>2.901</v>
      </c>
      <c r="H165" s="15" t="n">
        <v>2.79</v>
      </c>
      <c r="I165" s="15" t="n">
        <v>2.707</v>
      </c>
      <c r="J165" s="15" t="n">
        <v>2.641</v>
      </c>
      <c r="K165" s="15" t="n">
        <v>2.588</v>
      </c>
      <c r="L165" s="15" t="n">
        <v>2.544</v>
      </c>
      <c r="M165" s="15" t="n">
        <v>2.475</v>
      </c>
      <c r="N165" s="15" t="n">
        <v>2.403</v>
      </c>
      <c r="O165" s="15" t="n">
        <v>2.328</v>
      </c>
      <c r="P165" s="15" t="n">
        <v>2.247</v>
      </c>
    </row>
    <row r="166" customFormat="false" ht="16.5" hidden="false" customHeight="true" outlineLevel="0" collapsed="false">
      <c r="B166" s="15" t="n">
        <v>16</v>
      </c>
      <c r="C166" s="15" t="n">
        <v>4.494</v>
      </c>
      <c r="D166" s="15" t="n">
        <v>3.634</v>
      </c>
      <c r="E166" s="15" t="n">
        <v>3.239</v>
      </c>
      <c r="F166" s="15" t="n">
        <v>3.007</v>
      </c>
      <c r="G166" s="15" t="n">
        <v>2.852</v>
      </c>
      <c r="H166" s="15" t="n">
        <v>2.741</v>
      </c>
      <c r="I166" s="15" t="n">
        <v>2.657</v>
      </c>
      <c r="J166" s="15" t="n">
        <v>2.591</v>
      </c>
      <c r="K166" s="15" t="n">
        <v>2.538</v>
      </c>
      <c r="L166" s="15" t="n">
        <v>2.494</v>
      </c>
      <c r="M166" s="15" t="n">
        <v>2.425</v>
      </c>
      <c r="N166" s="15" t="n">
        <v>2.352</v>
      </c>
      <c r="O166" s="15" t="n">
        <v>2.276</v>
      </c>
      <c r="P166" s="15" t="n">
        <v>2.194</v>
      </c>
    </row>
    <row r="167" customFormat="false" ht="16.5" hidden="false" customHeight="true" outlineLevel="0" collapsed="false">
      <c r="B167" s="15" t="n">
        <v>17</v>
      </c>
      <c r="C167" s="15" t="n">
        <v>4.451</v>
      </c>
      <c r="D167" s="15" t="n">
        <v>3.592</v>
      </c>
      <c r="E167" s="15" t="n">
        <v>3.197</v>
      </c>
      <c r="F167" s="15" t="n">
        <v>2.965</v>
      </c>
      <c r="G167" s="15" t="n">
        <v>2.81</v>
      </c>
      <c r="H167" s="15" t="n">
        <v>2.699</v>
      </c>
      <c r="I167" s="15" t="n">
        <v>2.614</v>
      </c>
      <c r="J167" s="15" t="n">
        <v>2.548</v>
      </c>
      <c r="K167" s="15" t="n">
        <v>2.494</v>
      </c>
      <c r="L167" s="15" t="n">
        <v>2.45</v>
      </c>
      <c r="M167" s="15" t="n">
        <v>2.381</v>
      </c>
      <c r="N167" s="15" t="n">
        <v>2.308</v>
      </c>
      <c r="O167" s="15" t="n">
        <v>2.23</v>
      </c>
      <c r="P167" s="15" t="n">
        <v>2.148</v>
      </c>
    </row>
    <row r="168" customFormat="false" ht="16.5" hidden="false" customHeight="true" outlineLevel="0" collapsed="false">
      <c r="B168" s="15" t="n">
        <v>18</v>
      </c>
      <c r="C168" s="15" t="n">
        <v>4.414</v>
      </c>
      <c r="D168" s="15" t="n">
        <v>3.555</v>
      </c>
      <c r="E168" s="15" t="n">
        <v>3.16</v>
      </c>
      <c r="F168" s="15" t="n">
        <v>2.928</v>
      </c>
      <c r="G168" s="15" t="n">
        <v>2.773</v>
      </c>
      <c r="H168" s="15" t="n">
        <v>2.661</v>
      </c>
      <c r="I168" s="15" t="n">
        <v>2.577</v>
      </c>
      <c r="J168" s="15" t="n">
        <v>2.51</v>
      </c>
      <c r="K168" s="15" t="n">
        <v>2.456</v>
      </c>
      <c r="L168" s="15" t="n">
        <v>2.412</v>
      </c>
      <c r="M168" s="15" t="n">
        <v>2.342</v>
      </c>
      <c r="N168" s="15" t="n">
        <v>2.269</v>
      </c>
      <c r="O168" s="15" t="n">
        <v>2.191</v>
      </c>
      <c r="P168" s="15" t="n">
        <v>2.107</v>
      </c>
    </row>
    <row r="169" customFormat="false" ht="16.5" hidden="false" customHeight="true" outlineLevel="0" collapsed="false">
      <c r="B169" s="15" t="n">
        <v>19</v>
      </c>
      <c r="C169" s="15" t="n">
        <v>4.381</v>
      </c>
      <c r="D169" s="15" t="n">
        <v>3.522</v>
      </c>
      <c r="E169" s="15" t="n">
        <v>3.127</v>
      </c>
      <c r="F169" s="15" t="n">
        <v>2.895</v>
      </c>
      <c r="G169" s="15" t="n">
        <v>2.74</v>
      </c>
      <c r="H169" s="15" t="n">
        <v>2.628</v>
      </c>
      <c r="I169" s="15" t="n">
        <v>2.544</v>
      </c>
      <c r="J169" s="15" t="n">
        <v>2.477</v>
      </c>
      <c r="K169" s="15" t="n">
        <v>2.423</v>
      </c>
      <c r="L169" s="15" t="n">
        <v>2.378</v>
      </c>
      <c r="M169" s="15" t="n">
        <v>2.308</v>
      </c>
      <c r="N169" s="15" t="n">
        <v>2.234</v>
      </c>
      <c r="O169" s="15" t="n">
        <v>2.155</v>
      </c>
      <c r="P169" s="15" t="n">
        <v>2.071</v>
      </c>
    </row>
    <row r="170" customFormat="false" ht="16.5" hidden="false" customHeight="true" outlineLevel="0" collapsed="false">
      <c r="B170" s="15" t="n">
        <v>20</v>
      </c>
      <c r="C170" s="15" t="n">
        <v>4.351</v>
      </c>
      <c r="D170" s="15" t="n">
        <v>3.493</v>
      </c>
      <c r="E170" s="15" t="n">
        <v>3.098</v>
      </c>
      <c r="F170" s="15" t="n">
        <v>2.866</v>
      </c>
      <c r="G170" s="15" t="n">
        <v>2.711</v>
      </c>
      <c r="H170" s="15" t="n">
        <v>2.599</v>
      </c>
      <c r="I170" s="15" t="n">
        <v>2.514</v>
      </c>
      <c r="J170" s="15" t="n">
        <v>2.447</v>
      </c>
      <c r="K170" s="15" t="n">
        <v>2.393</v>
      </c>
      <c r="L170" s="15" t="n">
        <v>2.348</v>
      </c>
      <c r="M170" s="15" t="n">
        <v>2.278</v>
      </c>
      <c r="N170" s="15" t="n">
        <v>2.203</v>
      </c>
      <c r="O170" s="15" t="n">
        <v>2.124</v>
      </c>
      <c r="P170" s="15" t="n">
        <v>2.039</v>
      </c>
    </row>
    <row r="171" customFormat="false" ht="16.5" hidden="false" customHeight="true" outlineLevel="0" collapsed="false">
      <c r="B171" s="15" t="n">
        <v>21</v>
      </c>
      <c r="C171" s="15" t="n">
        <v>4.325</v>
      </c>
      <c r="D171" s="15" t="n">
        <v>3.467</v>
      </c>
      <c r="E171" s="15" t="n">
        <v>3.072</v>
      </c>
      <c r="F171" s="15" t="n">
        <v>2.84</v>
      </c>
      <c r="G171" s="15" t="n">
        <v>2.685</v>
      </c>
      <c r="H171" s="15" t="n">
        <v>2.573</v>
      </c>
      <c r="I171" s="15" t="n">
        <v>2.488</v>
      </c>
      <c r="J171" s="15" t="n">
        <v>2.42</v>
      </c>
      <c r="K171" s="15" t="n">
        <v>2.366</v>
      </c>
      <c r="L171" s="15" t="n">
        <v>2.321</v>
      </c>
      <c r="M171" s="15" t="n">
        <v>2.25</v>
      </c>
      <c r="N171" s="15" t="n">
        <v>2.176</v>
      </c>
      <c r="O171" s="15" t="n">
        <v>2.096</v>
      </c>
      <c r="P171" s="15" t="n">
        <v>2.01</v>
      </c>
    </row>
    <row r="172" customFormat="false" ht="16.5" hidden="false" customHeight="true" outlineLevel="0" collapsed="false">
      <c r="B172" s="15" t="n">
        <v>22</v>
      </c>
      <c r="C172" s="15" t="n">
        <v>4.301</v>
      </c>
      <c r="D172" s="15" t="n">
        <v>3.443</v>
      </c>
      <c r="E172" s="15" t="n">
        <v>3.049</v>
      </c>
      <c r="F172" s="15" t="n">
        <v>2.817</v>
      </c>
      <c r="G172" s="15" t="n">
        <v>2.661</v>
      </c>
      <c r="H172" s="15" t="n">
        <v>2.549</v>
      </c>
      <c r="I172" s="15" t="n">
        <v>2.464</v>
      </c>
      <c r="J172" s="15" t="n">
        <v>2.397</v>
      </c>
      <c r="K172" s="15" t="n">
        <v>2.342</v>
      </c>
      <c r="L172" s="15" t="n">
        <v>2.297</v>
      </c>
      <c r="M172" s="15" t="n">
        <v>2.226</v>
      </c>
      <c r="N172" s="15" t="n">
        <v>2.151</v>
      </c>
      <c r="O172" s="15" t="n">
        <v>2.071</v>
      </c>
      <c r="P172" s="15" t="n">
        <v>1.984</v>
      </c>
    </row>
    <row r="173" customFormat="false" ht="16.5" hidden="false" customHeight="true" outlineLevel="0" collapsed="false">
      <c r="B173" s="15" t="n">
        <v>23</v>
      </c>
      <c r="C173" s="15" t="n">
        <v>4.279</v>
      </c>
      <c r="D173" s="15" t="n">
        <v>3.422</v>
      </c>
      <c r="E173" s="15" t="n">
        <v>3.028</v>
      </c>
      <c r="F173" s="15" t="n">
        <v>2.796</v>
      </c>
      <c r="G173" s="15" t="n">
        <v>2.64</v>
      </c>
      <c r="H173" s="15" t="n">
        <v>2.528</v>
      </c>
      <c r="I173" s="15" t="n">
        <v>2.442</v>
      </c>
      <c r="J173" s="15" t="n">
        <v>2.375</v>
      </c>
      <c r="K173" s="15" t="n">
        <v>2.32</v>
      </c>
      <c r="L173" s="15" t="n">
        <v>2.275</v>
      </c>
      <c r="M173" s="15" t="n">
        <v>2.204</v>
      </c>
      <c r="N173" s="15" t="n">
        <v>2.128</v>
      </c>
      <c r="O173" s="15" t="n">
        <v>2.048</v>
      </c>
      <c r="P173" s="15" t="n">
        <v>1.961</v>
      </c>
    </row>
    <row r="174" customFormat="false" ht="16.5" hidden="false" customHeight="true" outlineLevel="0" collapsed="false">
      <c r="B174" s="15" t="n">
        <v>24</v>
      </c>
      <c r="C174" s="15" t="n">
        <v>4.26</v>
      </c>
      <c r="D174" s="15" t="n">
        <v>3.403</v>
      </c>
      <c r="E174" s="15" t="n">
        <v>3.009</v>
      </c>
      <c r="F174" s="15" t="n">
        <v>2.776</v>
      </c>
      <c r="G174" s="15" t="n">
        <v>2.621</v>
      </c>
      <c r="H174" s="15" t="n">
        <v>2.508</v>
      </c>
      <c r="I174" s="15" t="n">
        <v>2.423</v>
      </c>
      <c r="J174" s="15" t="n">
        <v>2.355</v>
      </c>
      <c r="K174" s="15" t="n">
        <v>2.3</v>
      </c>
      <c r="L174" s="15" t="n">
        <v>2.255</v>
      </c>
      <c r="M174" s="15" t="n">
        <v>2.183</v>
      </c>
      <c r="N174" s="15" t="n">
        <v>2.108</v>
      </c>
      <c r="O174" s="15" t="n">
        <v>2.027</v>
      </c>
      <c r="P174" s="15" t="n">
        <v>1.939</v>
      </c>
    </row>
    <row r="175" customFormat="false" ht="16.5" hidden="false" customHeight="true" outlineLevel="0" collapsed="false">
      <c r="B175" s="15" t="n">
        <v>25</v>
      </c>
      <c r="C175" s="15" t="n">
        <v>4.242</v>
      </c>
      <c r="D175" s="15" t="n">
        <v>3.385</v>
      </c>
      <c r="E175" s="15" t="n">
        <v>2.991</v>
      </c>
      <c r="F175" s="15" t="n">
        <v>2.759</v>
      </c>
      <c r="G175" s="15" t="n">
        <v>2.603</v>
      </c>
      <c r="H175" s="15" t="n">
        <v>2.49</v>
      </c>
      <c r="I175" s="15" t="n">
        <v>2.405</v>
      </c>
      <c r="J175" s="15" t="n">
        <v>2.337</v>
      </c>
      <c r="K175" s="15" t="n">
        <v>2.282</v>
      </c>
      <c r="L175" s="15" t="n">
        <v>2.236</v>
      </c>
      <c r="M175" s="15" t="n">
        <v>2.165</v>
      </c>
      <c r="N175" s="15" t="n">
        <v>2.089</v>
      </c>
      <c r="O175" s="15" t="n">
        <v>2.007</v>
      </c>
      <c r="P175" s="15" t="n">
        <v>1.919</v>
      </c>
    </row>
    <row r="176" customFormat="false" ht="16.5" hidden="false" customHeight="true" outlineLevel="0" collapsed="false">
      <c r="B176" s="15" t="n">
        <v>26</v>
      </c>
      <c r="C176" s="15" t="n">
        <v>4.225</v>
      </c>
      <c r="D176" s="15" t="n">
        <v>3.369</v>
      </c>
      <c r="E176" s="15" t="n">
        <v>2.975</v>
      </c>
      <c r="F176" s="15" t="n">
        <v>2.743</v>
      </c>
      <c r="G176" s="15" t="n">
        <v>2.587</v>
      </c>
      <c r="H176" s="15" t="n">
        <v>2.474</v>
      </c>
      <c r="I176" s="15" t="n">
        <v>2.388</v>
      </c>
      <c r="J176" s="15" t="n">
        <v>2.321</v>
      </c>
      <c r="K176" s="15" t="n">
        <v>2.265</v>
      </c>
      <c r="L176" s="15" t="n">
        <v>2.22</v>
      </c>
      <c r="M176" s="15" t="n">
        <v>2.148</v>
      </c>
      <c r="N176" s="15" t="n">
        <v>2.072</v>
      </c>
      <c r="O176" s="15" t="n">
        <v>1.99</v>
      </c>
      <c r="P176" s="15" t="n">
        <v>1.901</v>
      </c>
    </row>
    <row r="177" customFormat="false" ht="16.5" hidden="false" customHeight="true" outlineLevel="0" collapsed="false">
      <c r="B177" s="15" t="n">
        <v>27</v>
      </c>
      <c r="C177" s="15" t="n">
        <v>4.21</v>
      </c>
      <c r="D177" s="15" t="n">
        <v>3.354</v>
      </c>
      <c r="E177" s="15" t="n">
        <v>2.96</v>
      </c>
      <c r="F177" s="15" t="n">
        <v>2.728</v>
      </c>
      <c r="G177" s="15" t="n">
        <v>2.572</v>
      </c>
      <c r="H177" s="15" t="n">
        <v>2.459</v>
      </c>
      <c r="I177" s="15" t="n">
        <v>2.373</v>
      </c>
      <c r="J177" s="15" t="n">
        <v>2.305</v>
      </c>
      <c r="K177" s="15" t="n">
        <v>2.25</v>
      </c>
      <c r="L177" s="15" t="n">
        <v>2.204</v>
      </c>
      <c r="M177" s="15" t="n">
        <v>2.132</v>
      </c>
      <c r="N177" s="15" t="n">
        <v>2.056</v>
      </c>
      <c r="O177" s="15" t="n">
        <v>1.974</v>
      </c>
      <c r="P177" s="15" t="n">
        <v>1.884</v>
      </c>
    </row>
    <row r="178" customFormat="false" ht="16.5" hidden="false" customHeight="true" outlineLevel="0" collapsed="false">
      <c r="B178" s="15" t="n">
        <v>28</v>
      </c>
      <c r="C178" s="15" t="n">
        <v>4.196</v>
      </c>
      <c r="D178" s="15" t="n">
        <v>3.34</v>
      </c>
      <c r="E178" s="15" t="n">
        <v>2.947</v>
      </c>
      <c r="F178" s="15" t="n">
        <v>2.714</v>
      </c>
      <c r="G178" s="15" t="n">
        <v>2.558</v>
      </c>
      <c r="H178" s="15" t="n">
        <v>2.445</v>
      </c>
      <c r="I178" s="15" t="n">
        <v>2.359</v>
      </c>
      <c r="J178" s="15" t="n">
        <v>2.291</v>
      </c>
      <c r="K178" s="15" t="n">
        <v>2.236</v>
      </c>
      <c r="L178" s="15" t="n">
        <v>2.19</v>
      </c>
      <c r="M178" s="15" t="n">
        <v>2.118</v>
      </c>
      <c r="N178" s="15" t="n">
        <v>2.041</v>
      </c>
      <c r="O178" s="15" t="n">
        <v>1.959</v>
      </c>
      <c r="P178" s="15" t="n">
        <v>1.869</v>
      </c>
    </row>
    <row r="179" customFormat="false" ht="16.5" hidden="false" customHeight="true" outlineLevel="0" collapsed="false">
      <c r="B179" s="15" t="n">
        <v>29</v>
      </c>
      <c r="C179" s="15" t="n">
        <v>4.183</v>
      </c>
      <c r="D179" s="15" t="n">
        <v>3.328</v>
      </c>
      <c r="E179" s="15" t="n">
        <v>2.934</v>
      </c>
      <c r="F179" s="15" t="n">
        <v>2.701</v>
      </c>
      <c r="G179" s="15" t="n">
        <v>2.545</v>
      </c>
      <c r="H179" s="15" t="n">
        <v>2.432</v>
      </c>
      <c r="I179" s="15" t="n">
        <v>2.346</v>
      </c>
      <c r="J179" s="15" t="n">
        <v>2.278</v>
      </c>
      <c r="K179" s="15" t="n">
        <v>2.223</v>
      </c>
      <c r="L179" s="15" t="n">
        <v>2.177</v>
      </c>
      <c r="M179" s="15" t="n">
        <v>2.104</v>
      </c>
      <c r="N179" s="15" t="n">
        <v>2.027</v>
      </c>
      <c r="O179" s="15" t="n">
        <v>1.945</v>
      </c>
      <c r="P179" s="15" t="n">
        <v>1.854</v>
      </c>
    </row>
    <row r="180" customFormat="false" ht="16.5" hidden="false" customHeight="true" outlineLevel="0" collapsed="false">
      <c r="B180" s="15" t="n">
        <v>30</v>
      </c>
      <c r="C180" s="15" t="n">
        <v>4.171</v>
      </c>
      <c r="D180" s="15" t="n">
        <v>3.316</v>
      </c>
      <c r="E180" s="15" t="n">
        <v>2.922</v>
      </c>
      <c r="F180" s="15" t="n">
        <v>2.69</v>
      </c>
      <c r="G180" s="15" t="n">
        <v>2.534</v>
      </c>
      <c r="H180" s="15" t="n">
        <v>2.421</v>
      </c>
      <c r="I180" s="15" t="n">
        <v>2.334</v>
      </c>
      <c r="J180" s="15" t="n">
        <v>2.266</v>
      </c>
      <c r="K180" s="15" t="n">
        <v>2.211</v>
      </c>
      <c r="L180" s="15" t="n">
        <v>2.165</v>
      </c>
      <c r="M180" s="15" t="n">
        <v>2.092</v>
      </c>
      <c r="N180" s="15" t="n">
        <v>2.015</v>
      </c>
      <c r="O180" s="15" t="n">
        <v>1.932</v>
      </c>
      <c r="P180" s="15" t="n">
        <v>1.841</v>
      </c>
    </row>
    <row r="181" customFormat="false" ht="16.5" hidden="false" customHeight="true" outlineLevel="0" collapsed="false">
      <c r="B181" s="15" t="n">
        <v>40</v>
      </c>
      <c r="C181" s="15" t="n">
        <v>4.085</v>
      </c>
      <c r="D181" s="15" t="n">
        <v>3.232</v>
      </c>
      <c r="E181" s="15" t="n">
        <v>2.839</v>
      </c>
      <c r="F181" s="15" t="n">
        <v>2.606</v>
      </c>
      <c r="G181" s="15" t="n">
        <v>2.449</v>
      </c>
      <c r="H181" s="15" t="n">
        <v>2.336</v>
      </c>
      <c r="I181" s="15" t="n">
        <v>2.249</v>
      </c>
      <c r="J181" s="15" t="n">
        <v>2.18</v>
      </c>
      <c r="K181" s="15" t="n">
        <v>2.124</v>
      </c>
      <c r="L181" s="15" t="n">
        <v>2.077</v>
      </c>
      <c r="M181" s="15" t="n">
        <v>2.003</v>
      </c>
      <c r="N181" s="15" t="n">
        <v>1.924</v>
      </c>
      <c r="O181" s="15" t="n">
        <v>1.839</v>
      </c>
      <c r="P181" s="15" t="n">
        <v>1.744</v>
      </c>
    </row>
    <row r="182" customFormat="false" ht="16.5" hidden="false" customHeight="true" outlineLevel="0" collapsed="false">
      <c r="B182" s="15" t="n">
        <v>60</v>
      </c>
      <c r="C182" s="15" t="n">
        <v>4.001</v>
      </c>
      <c r="D182" s="15" t="n">
        <v>3.15</v>
      </c>
      <c r="E182" s="15" t="n">
        <v>2.758</v>
      </c>
      <c r="F182" s="15" t="n">
        <v>2.525</v>
      </c>
      <c r="G182" s="15" t="n">
        <v>2.368</v>
      </c>
      <c r="H182" s="15" t="n">
        <v>2.254</v>
      </c>
      <c r="I182" s="15" t="n">
        <v>2.167</v>
      </c>
      <c r="J182" s="15" t="n">
        <v>2.097</v>
      </c>
      <c r="K182" s="15" t="n">
        <v>2.04</v>
      </c>
      <c r="L182" s="15" t="n">
        <v>1.993</v>
      </c>
      <c r="M182" s="15" t="n">
        <v>1.917</v>
      </c>
      <c r="N182" s="15" t="n">
        <v>1.836</v>
      </c>
      <c r="O182" s="15" t="n">
        <v>1.748</v>
      </c>
      <c r="P182" s="15" t="n">
        <v>1.649</v>
      </c>
    </row>
    <row r="183" customFormat="false" ht="16.5" hidden="false" customHeight="true" outlineLevel="0" collapsed="false">
      <c r="B183" s="15" t="n">
        <v>120</v>
      </c>
      <c r="C183" s="15" t="n">
        <v>3.92</v>
      </c>
      <c r="D183" s="15" t="n">
        <v>3.072</v>
      </c>
      <c r="E183" s="15" t="n">
        <v>2.68</v>
      </c>
      <c r="F183" s="15" t="n">
        <v>2.447</v>
      </c>
      <c r="G183" s="15" t="n">
        <v>2.29</v>
      </c>
      <c r="H183" s="15" t="n">
        <v>2.175</v>
      </c>
      <c r="I183" s="15" t="n">
        <v>2.087</v>
      </c>
      <c r="J183" s="15" t="n">
        <v>2.016</v>
      </c>
      <c r="K183" s="15" t="n">
        <v>1.959</v>
      </c>
      <c r="L183" s="15" t="n">
        <v>1.91</v>
      </c>
      <c r="M183" s="15" t="n">
        <v>1.834</v>
      </c>
      <c r="N183" s="15" t="n">
        <v>1.75</v>
      </c>
      <c r="O183" s="15" t="n">
        <v>1.659</v>
      </c>
      <c r="P183" s="15" t="n">
        <v>1.554</v>
      </c>
    </row>
    <row r="185" customFormat="false" ht="17.25" hidden="false" customHeight="true" outlineLevel="0" collapsed="false">
      <c r="B185" s="107" t="s">
        <v>13753</v>
      </c>
      <c r="C185" s="107"/>
      <c r="D185" s="107"/>
      <c r="E185" s="107"/>
      <c r="F185" s="107"/>
      <c r="G185" s="107"/>
      <c r="H185" s="107"/>
      <c r="I185" s="107"/>
      <c r="J185" s="107"/>
    </row>
    <row r="186" customFormat="false" ht="16.5" hidden="false" customHeight="true" outlineLevel="0" collapsed="false">
      <c r="B186" s="152" t="s">
        <v>13744</v>
      </c>
      <c r="C186" s="152" t="s">
        <v>34</v>
      </c>
      <c r="D186" s="152" t="s">
        <v>6922</v>
      </c>
      <c r="E186" s="152" t="s">
        <v>6926</v>
      </c>
      <c r="F186" s="152" t="s">
        <v>6931</v>
      </c>
      <c r="G186" s="152" t="s">
        <v>40</v>
      </c>
      <c r="H186" s="152" t="s">
        <v>45</v>
      </c>
      <c r="I186" s="152" t="s">
        <v>13745</v>
      </c>
      <c r="J186" s="152" t="s">
        <v>13746</v>
      </c>
      <c r="K186" s="152" t="s">
        <v>13747</v>
      </c>
      <c r="L186" s="152" t="s">
        <v>13748</v>
      </c>
      <c r="M186" s="152" t="s">
        <v>13749</v>
      </c>
      <c r="N186" s="152" t="s">
        <v>13750</v>
      </c>
      <c r="O186" s="152" t="s">
        <v>13751</v>
      </c>
      <c r="P186" s="152" t="s">
        <v>13752</v>
      </c>
    </row>
    <row r="187" customFormat="false" ht="16.5" hidden="false" customHeight="true" outlineLevel="0" collapsed="false">
      <c r="B187" s="15" t="n">
        <v>1</v>
      </c>
      <c r="C187" s="15" t="n">
        <v>4052.181</v>
      </c>
      <c r="D187" s="15" t="n">
        <v>4999.5</v>
      </c>
      <c r="E187" s="15" t="n">
        <v>5403.352</v>
      </c>
      <c r="F187" s="15" t="n">
        <v>5624.583</v>
      </c>
      <c r="G187" s="15" t="n">
        <v>5763.65</v>
      </c>
      <c r="H187" s="15" t="n">
        <v>5858.986</v>
      </c>
      <c r="I187" s="15" t="n">
        <v>5928.356</v>
      </c>
      <c r="J187" s="15" t="n">
        <v>5981.07</v>
      </c>
      <c r="K187" s="15" t="n">
        <v>6022.473</v>
      </c>
      <c r="L187" s="15" t="n">
        <v>6055.847</v>
      </c>
      <c r="M187" s="15" t="n">
        <v>6106.321</v>
      </c>
      <c r="N187" s="15" t="n">
        <v>6157.285</v>
      </c>
      <c r="O187" s="15" t="n">
        <v>6208.73</v>
      </c>
      <c r="P187" s="15" t="n">
        <v>6260.649</v>
      </c>
    </row>
    <row r="188" customFormat="false" ht="16.5" hidden="false" customHeight="true" outlineLevel="0" collapsed="false">
      <c r="B188" s="15" t="n">
        <v>2</v>
      </c>
      <c r="C188" s="15" t="n">
        <v>98.503</v>
      </c>
      <c r="D188" s="15" t="n">
        <v>99</v>
      </c>
      <c r="E188" s="15" t="n">
        <v>99.166</v>
      </c>
      <c r="F188" s="15" t="n">
        <v>99.249</v>
      </c>
      <c r="G188" s="15" t="n">
        <v>99.299</v>
      </c>
      <c r="H188" s="15" t="n">
        <v>99.333</v>
      </c>
      <c r="I188" s="15" t="n">
        <v>99.356</v>
      </c>
      <c r="J188" s="15" t="n">
        <v>99.374</v>
      </c>
      <c r="K188" s="15" t="n">
        <v>99.388</v>
      </c>
      <c r="L188" s="15" t="n">
        <v>99.399</v>
      </c>
      <c r="M188" s="15" t="n">
        <v>99.416</v>
      </c>
      <c r="N188" s="15" t="n">
        <v>99.433</v>
      </c>
      <c r="O188" s="15" t="n">
        <v>99.449</v>
      </c>
      <c r="P188" s="15" t="n">
        <v>99.466</v>
      </c>
    </row>
    <row r="189" customFormat="false" ht="16.5" hidden="false" customHeight="true" outlineLevel="0" collapsed="false">
      <c r="B189" s="15" t="n">
        <v>3</v>
      </c>
      <c r="C189" s="15" t="n">
        <v>34.116</v>
      </c>
      <c r="D189" s="15" t="n">
        <v>30.817</v>
      </c>
      <c r="E189" s="15" t="n">
        <v>29.457</v>
      </c>
      <c r="F189" s="15" t="n">
        <v>28.71</v>
      </c>
      <c r="G189" s="15" t="n">
        <v>28.237</v>
      </c>
      <c r="H189" s="15" t="n">
        <v>27.911</v>
      </c>
      <c r="I189" s="15" t="n">
        <v>27.672</v>
      </c>
      <c r="J189" s="15" t="n">
        <v>27.489</v>
      </c>
      <c r="K189" s="15" t="n">
        <v>27.345</v>
      </c>
      <c r="L189" s="15" t="n">
        <v>27.229</v>
      </c>
      <c r="M189" s="15" t="n">
        <v>27.052</v>
      </c>
      <c r="N189" s="15" t="n">
        <v>26.872</v>
      </c>
      <c r="O189" s="15" t="n">
        <v>26.69</v>
      </c>
      <c r="P189" s="15" t="n">
        <v>26.505</v>
      </c>
    </row>
    <row r="190" customFormat="false" ht="16.5" hidden="false" customHeight="true" outlineLevel="0" collapsed="false">
      <c r="B190" s="15" t="n">
        <v>4</v>
      </c>
      <c r="C190" s="15" t="n">
        <v>21.198</v>
      </c>
      <c r="D190" s="15" t="n">
        <v>18</v>
      </c>
      <c r="E190" s="15" t="n">
        <v>16.694</v>
      </c>
      <c r="F190" s="15" t="n">
        <v>15.977</v>
      </c>
      <c r="G190" s="15" t="n">
        <v>15.522</v>
      </c>
      <c r="H190" s="15" t="n">
        <v>15.207</v>
      </c>
      <c r="I190" s="15" t="n">
        <v>14.976</v>
      </c>
      <c r="J190" s="15" t="n">
        <v>14.799</v>
      </c>
      <c r="K190" s="15" t="n">
        <v>14.659</v>
      </c>
      <c r="L190" s="15" t="n">
        <v>14.546</v>
      </c>
      <c r="M190" s="15" t="n">
        <v>14.374</v>
      </c>
      <c r="N190" s="15" t="n">
        <v>14.198</v>
      </c>
      <c r="O190" s="15" t="n">
        <v>14.02</v>
      </c>
      <c r="P190" s="15" t="n">
        <v>13.838</v>
      </c>
    </row>
    <row r="191" customFormat="false" ht="16.5" hidden="false" customHeight="true" outlineLevel="0" collapsed="false">
      <c r="B191" s="15" t="n">
        <v>5</v>
      </c>
      <c r="C191" s="15" t="n">
        <v>16.258</v>
      </c>
      <c r="D191" s="15" t="n">
        <v>13.274</v>
      </c>
      <c r="E191" s="15" t="n">
        <v>12.06</v>
      </c>
      <c r="F191" s="15" t="n">
        <v>11.392</v>
      </c>
      <c r="G191" s="15" t="n">
        <v>10.967</v>
      </c>
      <c r="H191" s="15" t="n">
        <v>10.672</v>
      </c>
      <c r="I191" s="15" t="n">
        <v>10.456</v>
      </c>
      <c r="J191" s="15" t="n">
        <v>10.289</v>
      </c>
      <c r="K191" s="15" t="n">
        <v>10.158</v>
      </c>
      <c r="L191" s="15" t="n">
        <v>10.051</v>
      </c>
      <c r="M191" s="15" t="n">
        <v>9.888</v>
      </c>
      <c r="N191" s="15" t="n">
        <v>9.722</v>
      </c>
      <c r="O191" s="15" t="n">
        <v>9.553</v>
      </c>
      <c r="P191" s="15" t="n">
        <v>9.379</v>
      </c>
    </row>
    <row r="192" customFormat="false" ht="16.5" hidden="false" customHeight="true" outlineLevel="0" collapsed="false">
      <c r="B192" s="15" t="n">
        <v>6</v>
      </c>
      <c r="C192" s="15" t="n">
        <v>13.745</v>
      </c>
      <c r="D192" s="15" t="n">
        <v>10.925</v>
      </c>
      <c r="E192" s="15" t="n">
        <v>9.78</v>
      </c>
      <c r="F192" s="15" t="n">
        <v>9.148</v>
      </c>
      <c r="G192" s="15" t="n">
        <v>8.746</v>
      </c>
      <c r="H192" s="15" t="n">
        <v>8.466</v>
      </c>
      <c r="I192" s="15" t="n">
        <v>8.26</v>
      </c>
      <c r="J192" s="15" t="n">
        <v>8.102</v>
      </c>
      <c r="K192" s="15" t="n">
        <v>7.976</v>
      </c>
      <c r="L192" s="15" t="n">
        <v>7.874</v>
      </c>
      <c r="M192" s="15" t="n">
        <v>7.718</v>
      </c>
      <c r="N192" s="15" t="n">
        <v>7.559</v>
      </c>
      <c r="O192" s="15" t="n">
        <v>7.396</v>
      </c>
      <c r="P192" s="15" t="n">
        <v>7.229</v>
      </c>
    </row>
    <row r="193" customFormat="false" ht="16.5" hidden="false" customHeight="true" outlineLevel="0" collapsed="false">
      <c r="B193" s="15" t="n">
        <v>7</v>
      </c>
      <c r="C193" s="15" t="n">
        <v>12.246</v>
      </c>
      <c r="D193" s="15" t="n">
        <v>9.547</v>
      </c>
      <c r="E193" s="15" t="n">
        <v>8.451</v>
      </c>
      <c r="F193" s="15" t="n">
        <v>7.847</v>
      </c>
      <c r="G193" s="15" t="n">
        <v>7.46</v>
      </c>
      <c r="H193" s="15" t="n">
        <v>7.191</v>
      </c>
      <c r="I193" s="15" t="n">
        <v>6.993</v>
      </c>
      <c r="J193" s="15" t="n">
        <v>6.84</v>
      </c>
      <c r="K193" s="15" t="n">
        <v>6.719</v>
      </c>
      <c r="L193" s="15" t="n">
        <v>6.62</v>
      </c>
      <c r="M193" s="15" t="n">
        <v>6.469</v>
      </c>
      <c r="N193" s="15" t="n">
        <v>6.314</v>
      </c>
      <c r="O193" s="15" t="n">
        <v>6.155</v>
      </c>
      <c r="P193" s="15" t="n">
        <v>5.992</v>
      </c>
    </row>
    <row r="194" customFormat="false" ht="16.5" hidden="false" customHeight="true" outlineLevel="0" collapsed="false">
      <c r="B194" s="15" t="n">
        <v>8</v>
      </c>
      <c r="C194" s="15" t="n">
        <v>11.259</v>
      </c>
      <c r="D194" s="15" t="n">
        <v>8.649</v>
      </c>
      <c r="E194" s="15" t="n">
        <v>7.591</v>
      </c>
      <c r="F194" s="15" t="n">
        <v>7.006</v>
      </c>
      <c r="G194" s="15" t="n">
        <v>6.632</v>
      </c>
      <c r="H194" s="15" t="n">
        <v>6.371</v>
      </c>
      <c r="I194" s="15" t="n">
        <v>6.178</v>
      </c>
      <c r="J194" s="15" t="n">
        <v>6.029</v>
      </c>
      <c r="K194" s="15" t="n">
        <v>5.911</v>
      </c>
      <c r="L194" s="15" t="n">
        <v>5.814</v>
      </c>
      <c r="M194" s="15" t="n">
        <v>5.667</v>
      </c>
      <c r="N194" s="15" t="n">
        <v>5.515</v>
      </c>
      <c r="O194" s="15" t="n">
        <v>5.359</v>
      </c>
      <c r="P194" s="15" t="n">
        <v>5.198</v>
      </c>
    </row>
    <row r="195" customFormat="false" ht="16.5" hidden="false" customHeight="true" outlineLevel="0" collapsed="false">
      <c r="B195" s="15" t="n">
        <v>9</v>
      </c>
      <c r="C195" s="15" t="n">
        <v>10.561</v>
      </c>
      <c r="D195" s="15" t="n">
        <v>8.022</v>
      </c>
      <c r="E195" s="15" t="n">
        <v>6.992</v>
      </c>
      <c r="F195" s="15" t="n">
        <v>6.422</v>
      </c>
      <c r="G195" s="15" t="n">
        <v>6.057</v>
      </c>
      <c r="H195" s="15" t="n">
        <v>5.802</v>
      </c>
      <c r="I195" s="15" t="n">
        <v>5.613</v>
      </c>
      <c r="J195" s="15" t="n">
        <v>5.467</v>
      </c>
      <c r="K195" s="15" t="n">
        <v>5.351</v>
      </c>
      <c r="L195" s="15" t="n">
        <v>5.257</v>
      </c>
      <c r="M195" s="15" t="n">
        <v>5.111</v>
      </c>
      <c r="N195" s="15" t="n">
        <v>4.962</v>
      </c>
      <c r="O195" s="15" t="n">
        <v>4.808</v>
      </c>
      <c r="P195" s="15" t="n">
        <v>4.649</v>
      </c>
    </row>
    <row r="196" customFormat="false" ht="16.5" hidden="false" customHeight="true" outlineLevel="0" collapsed="false">
      <c r="B196" s="15" t="n">
        <v>10</v>
      </c>
      <c r="C196" s="15" t="n">
        <v>10.044</v>
      </c>
      <c r="D196" s="15" t="n">
        <v>7.559</v>
      </c>
      <c r="E196" s="15" t="n">
        <v>6.552</v>
      </c>
      <c r="F196" s="15" t="n">
        <v>5.994</v>
      </c>
      <c r="G196" s="15" t="n">
        <v>5.636</v>
      </c>
      <c r="H196" s="15" t="n">
        <v>5.386</v>
      </c>
      <c r="I196" s="15" t="n">
        <v>5.2</v>
      </c>
      <c r="J196" s="15" t="n">
        <v>5.057</v>
      </c>
      <c r="K196" s="15" t="n">
        <v>4.942</v>
      </c>
      <c r="L196" s="15" t="n">
        <v>4.849</v>
      </c>
      <c r="M196" s="15" t="n">
        <v>4.706</v>
      </c>
      <c r="N196" s="15" t="n">
        <v>4.558</v>
      </c>
      <c r="O196" s="15" t="n">
        <v>4.405</v>
      </c>
      <c r="P196" s="15" t="n">
        <v>4.247</v>
      </c>
    </row>
    <row r="197" customFormat="false" ht="16.5" hidden="false" customHeight="true" outlineLevel="0" collapsed="false">
      <c r="B197" s="15" t="n">
        <v>12</v>
      </c>
      <c r="C197" s="15" t="n">
        <v>9.33</v>
      </c>
      <c r="D197" s="15" t="n">
        <v>6.927</v>
      </c>
      <c r="E197" s="15" t="n">
        <v>5.953</v>
      </c>
      <c r="F197" s="15" t="n">
        <v>5.412</v>
      </c>
      <c r="G197" s="15" t="n">
        <v>5.064</v>
      </c>
      <c r="H197" s="15" t="n">
        <v>4.821</v>
      </c>
      <c r="I197" s="15" t="n">
        <v>4.64</v>
      </c>
      <c r="J197" s="15" t="n">
        <v>4.499</v>
      </c>
      <c r="K197" s="15" t="n">
        <v>4.388</v>
      </c>
      <c r="L197" s="15" t="n">
        <v>4.296</v>
      </c>
      <c r="M197" s="15" t="n">
        <v>4.155</v>
      </c>
      <c r="N197" s="15" t="n">
        <v>4.01</v>
      </c>
      <c r="O197" s="15" t="n">
        <v>3.858</v>
      </c>
      <c r="P197" s="15" t="n">
        <v>3.701</v>
      </c>
    </row>
    <row r="198" customFormat="false" ht="16.5" hidden="false" customHeight="true" outlineLevel="0" collapsed="false">
      <c r="B198" s="15" t="n">
        <v>15</v>
      </c>
      <c r="C198" s="15" t="n">
        <v>8.683</v>
      </c>
      <c r="D198" s="15" t="n">
        <v>6.359</v>
      </c>
      <c r="E198" s="15" t="n">
        <v>5.417</v>
      </c>
      <c r="F198" s="15" t="n">
        <v>4.893</v>
      </c>
      <c r="G198" s="15" t="n">
        <v>4.556</v>
      </c>
      <c r="H198" s="15" t="n">
        <v>4.318</v>
      </c>
      <c r="I198" s="15" t="n">
        <v>4.142</v>
      </c>
      <c r="J198" s="15" t="n">
        <v>4.004</v>
      </c>
      <c r="K198" s="15" t="n">
        <v>3.895</v>
      </c>
      <c r="L198" s="15" t="n">
        <v>3.805</v>
      </c>
      <c r="M198" s="15" t="n">
        <v>3.666</v>
      </c>
      <c r="N198" s="15" t="n">
        <v>3.522</v>
      </c>
      <c r="O198" s="15" t="n">
        <v>3.372</v>
      </c>
      <c r="P198" s="15" t="n">
        <v>3.214</v>
      </c>
    </row>
    <row r="199" customFormat="false" ht="16.5" hidden="false" customHeight="true" outlineLevel="0" collapsed="false">
      <c r="B199" s="15" t="n">
        <v>20</v>
      </c>
      <c r="C199" s="15" t="n">
        <v>8.096</v>
      </c>
      <c r="D199" s="15" t="n">
        <v>5.849</v>
      </c>
      <c r="E199" s="15" t="n">
        <v>4.938</v>
      </c>
      <c r="F199" s="15" t="n">
        <v>4.431</v>
      </c>
      <c r="G199" s="15" t="n">
        <v>4.103</v>
      </c>
      <c r="H199" s="15" t="n">
        <v>3.871</v>
      </c>
      <c r="I199" s="15" t="n">
        <v>3.699</v>
      </c>
      <c r="J199" s="15" t="n">
        <v>3.564</v>
      </c>
      <c r="K199" s="15" t="n">
        <v>3.457</v>
      </c>
      <c r="L199" s="15" t="n">
        <v>3.368</v>
      </c>
      <c r="M199" s="15" t="n">
        <v>3.231</v>
      </c>
      <c r="N199" s="15" t="n">
        <v>3.088</v>
      </c>
      <c r="O199" s="15" t="n">
        <v>2.938</v>
      </c>
      <c r="P199" s="15" t="n">
        <v>2.778</v>
      </c>
    </row>
    <row r="200" customFormat="false" ht="16.5" hidden="false" customHeight="true" outlineLevel="0" collapsed="false">
      <c r="B200" s="15" t="n">
        <v>24</v>
      </c>
      <c r="C200" s="15" t="n">
        <v>7.823</v>
      </c>
      <c r="D200" s="15" t="n">
        <v>5.614</v>
      </c>
      <c r="E200" s="15" t="n">
        <v>4.718</v>
      </c>
      <c r="F200" s="15" t="n">
        <v>4.218</v>
      </c>
      <c r="G200" s="15" t="n">
        <v>3.895</v>
      </c>
      <c r="H200" s="15" t="n">
        <v>3.667</v>
      </c>
      <c r="I200" s="15" t="n">
        <v>3.496</v>
      </c>
      <c r="J200" s="15" t="n">
        <v>3.363</v>
      </c>
      <c r="K200" s="15" t="n">
        <v>3.256</v>
      </c>
      <c r="L200" s="15" t="n">
        <v>3.168</v>
      </c>
      <c r="M200" s="15" t="n">
        <v>3.032</v>
      </c>
      <c r="N200" s="15" t="n">
        <v>2.889</v>
      </c>
      <c r="O200" s="15" t="n">
        <v>2.738</v>
      </c>
      <c r="P200" s="15" t="n">
        <v>2.577</v>
      </c>
    </row>
    <row r="201" customFormat="false" ht="16.5" hidden="false" customHeight="true" outlineLevel="0" collapsed="false">
      <c r="B201" s="15" t="n">
        <v>30</v>
      </c>
      <c r="C201" s="15" t="n">
        <v>7.562</v>
      </c>
      <c r="D201" s="15" t="n">
        <v>5.39</v>
      </c>
      <c r="E201" s="15" t="n">
        <v>4.51</v>
      </c>
      <c r="F201" s="15" t="n">
        <v>4.018</v>
      </c>
      <c r="G201" s="15" t="n">
        <v>3.699</v>
      </c>
      <c r="H201" s="15" t="n">
        <v>3.473</v>
      </c>
      <c r="I201" s="15" t="n">
        <v>3.304</v>
      </c>
      <c r="J201" s="15" t="n">
        <v>3.173</v>
      </c>
      <c r="K201" s="15" t="n">
        <v>3.067</v>
      </c>
      <c r="L201" s="15" t="n">
        <v>2.979</v>
      </c>
      <c r="M201" s="15" t="n">
        <v>2.843</v>
      </c>
      <c r="N201" s="15" t="n">
        <v>2.7</v>
      </c>
      <c r="O201" s="15" t="n">
        <v>2.549</v>
      </c>
      <c r="P201" s="15" t="n">
        <v>2.386</v>
      </c>
    </row>
    <row r="202" customFormat="false" ht="16.5" hidden="false" customHeight="true" outlineLevel="0" collapsed="false">
      <c r="B202" s="15" t="n">
        <v>40</v>
      </c>
      <c r="C202" s="15" t="n">
        <v>7.314</v>
      </c>
      <c r="D202" s="15" t="n">
        <v>5.179</v>
      </c>
      <c r="E202" s="15" t="n">
        <v>4.313</v>
      </c>
      <c r="F202" s="15" t="n">
        <v>3.828</v>
      </c>
      <c r="G202" s="15" t="n">
        <v>3.514</v>
      </c>
      <c r="H202" s="15" t="n">
        <v>3.291</v>
      </c>
      <c r="I202" s="15" t="n">
        <v>3.124</v>
      </c>
      <c r="J202" s="15" t="n">
        <v>2.993</v>
      </c>
      <c r="K202" s="15" t="n">
        <v>2.888</v>
      </c>
      <c r="L202" s="15" t="n">
        <v>2.801</v>
      </c>
      <c r="M202" s="15" t="n">
        <v>2.665</v>
      </c>
      <c r="N202" s="15" t="n">
        <v>2.522</v>
      </c>
      <c r="O202" s="15" t="n">
        <v>2.369</v>
      </c>
      <c r="P202" s="15" t="n">
        <v>2.203</v>
      </c>
    </row>
    <row r="203" customFormat="false" ht="16.5" hidden="false" customHeight="true" outlineLevel="0" collapsed="false">
      <c r="B203" s="15" t="n">
        <v>60</v>
      </c>
      <c r="C203" s="15" t="n">
        <v>7.077</v>
      </c>
      <c r="D203" s="15" t="n">
        <v>4.977</v>
      </c>
      <c r="E203" s="15" t="n">
        <v>4.126</v>
      </c>
      <c r="F203" s="15" t="n">
        <v>3.649</v>
      </c>
      <c r="G203" s="15" t="n">
        <v>3.339</v>
      </c>
      <c r="H203" s="15" t="n">
        <v>3.119</v>
      </c>
      <c r="I203" s="15" t="n">
        <v>2.953</v>
      </c>
      <c r="J203" s="15" t="n">
        <v>2.823</v>
      </c>
      <c r="K203" s="15" t="n">
        <v>2.718</v>
      </c>
      <c r="L203" s="15" t="n">
        <v>2.632</v>
      </c>
      <c r="M203" s="15" t="n">
        <v>2.496</v>
      </c>
      <c r="N203" s="15" t="n">
        <v>2.352</v>
      </c>
      <c r="O203" s="15" t="n">
        <v>2.198</v>
      </c>
      <c r="P203" s="15" t="n">
        <v>2.028</v>
      </c>
    </row>
    <row r="204" customFormat="false" ht="16.5" hidden="false" customHeight="true" outlineLevel="0" collapsed="false">
      <c r="B204" s="15" t="n">
        <v>120</v>
      </c>
      <c r="C204" s="15" t="n">
        <v>6.851</v>
      </c>
      <c r="D204" s="15" t="n">
        <v>4.787</v>
      </c>
      <c r="E204" s="15" t="n">
        <v>3.949</v>
      </c>
      <c r="F204" s="15" t="n">
        <v>3.48</v>
      </c>
      <c r="G204" s="15" t="n">
        <v>3.174</v>
      </c>
      <c r="H204" s="15" t="n">
        <v>2.956</v>
      </c>
      <c r="I204" s="15" t="n">
        <v>2.792</v>
      </c>
      <c r="J204" s="15" t="n">
        <v>2.663</v>
      </c>
      <c r="K204" s="15" t="n">
        <v>2.559</v>
      </c>
      <c r="L204" s="15" t="n">
        <v>2.472</v>
      </c>
      <c r="M204" s="15" t="n">
        <v>2.336</v>
      </c>
      <c r="N204" s="15" t="n">
        <v>2.192</v>
      </c>
      <c r="O204" s="15" t="n">
        <v>2.035</v>
      </c>
      <c r="P204" s="15" t="n">
        <v>1.86</v>
      </c>
    </row>
    <row r="206" customFormat="false" ht="15.75" hidden="false" customHeight="true" outlineLevel="0" collapsed="false">
      <c r="B206" s="103" t="s">
        <v>13754</v>
      </c>
      <c r="C206" s="8"/>
      <c r="D206" s="8"/>
      <c r="E206" s="8"/>
      <c r="F206" s="8"/>
      <c r="G206" s="8"/>
      <c r="H206" s="8"/>
      <c r="I206" s="8"/>
      <c r="J206" s="8"/>
      <c r="K206" s="8"/>
    </row>
    <row r="207" customFormat="false" ht="30.75" hidden="false" customHeight="true" outlineLevel="0" collapsed="false">
      <c r="B207" s="152" t="s">
        <v>1523</v>
      </c>
      <c r="C207" s="152" t="s">
        <v>1524</v>
      </c>
      <c r="D207" s="152" t="s">
        <v>6719</v>
      </c>
    </row>
    <row r="208" customFormat="false" ht="44.25" hidden="false" customHeight="true" outlineLevel="0" collapsed="false">
      <c r="B208" s="170" t="s">
        <v>13755</v>
      </c>
      <c r="C208" s="170" t="s">
        <v>13756</v>
      </c>
      <c r="D208" s="170" t="s">
        <v>2171</v>
      </c>
    </row>
  </sheetData>
  <mergeCells count="89">
    <mergeCell ref="B2:J2"/>
    <mergeCell ref="D3:E3"/>
    <mergeCell ref="B6:J7"/>
    <mergeCell ref="B8:J9"/>
    <mergeCell ref="B10:J12"/>
    <mergeCell ref="B14:J14"/>
    <mergeCell ref="B15:J15"/>
    <mergeCell ref="B54:J54"/>
    <mergeCell ref="B65:J65"/>
    <mergeCell ref="B66:J66"/>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B107:J107"/>
    <mergeCell ref="B108:J108"/>
    <mergeCell ref="I110:J110"/>
    <mergeCell ref="I111:J111"/>
    <mergeCell ref="I112:J112"/>
    <mergeCell ref="I113:J113"/>
    <mergeCell ref="I114:J114"/>
    <mergeCell ref="I115:J115"/>
    <mergeCell ref="I116:J116"/>
    <mergeCell ref="I117:J117"/>
    <mergeCell ref="I118:J118"/>
    <mergeCell ref="I119:J119"/>
    <mergeCell ref="I120:J120"/>
    <mergeCell ref="I121:J121"/>
    <mergeCell ref="I122:J122"/>
    <mergeCell ref="I123:J123"/>
    <mergeCell ref="I124:J124"/>
    <mergeCell ref="I125:J125"/>
    <mergeCell ref="I126:J126"/>
    <mergeCell ref="I127:J127"/>
    <mergeCell ref="I128:J128"/>
    <mergeCell ref="I129:J129"/>
    <mergeCell ref="I130:J130"/>
    <mergeCell ref="I131:J131"/>
    <mergeCell ref="I132:J132"/>
    <mergeCell ref="I133:J133"/>
    <mergeCell ref="I134:J134"/>
    <mergeCell ref="I135:J135"/>
    <mergeCell ref="I136:J136"/>
    <mergeCell ref="I137:J137"/>
    <mergeCell ref="I138:J138"/>
    <mergeCell ref="I139:J139"/>
    <mergeCell ref="I140:J140"/>
    <mergeCell ref="I141:J141"/>
    <mergeCell ref="I142:J142"/>
    <mergeCell ref="I143:J143"/>
    <mergeCell ref="I144:J144"/>
    <mergeCell ref="I145:J145"/>
    <mergeCell ref="B147:J147"/>
    <mergeCell ref="B148:J148"/>
    <mergeCell ref="B185:J185"/>
  </mergeCells>
  <hyperlinks>
    <hyperlink ref="B3" location="'N-03 Index DMAIC'!A1" display="← Back to Index"/>
    <hyperlink ref="B208" location="'U-02 Chart Constants'!A1" display="U-02  Control Chart Constants"/>
    <hyperlink ref="C208" location="'U-03 Excel Function Guide'!A1" display="U-03  Excel Function Guide"/>
    <hyperlink ref="D208" location="'E-09 t Chi2 F Distributions'!A1" display="E-09  The t, Chi-Square and F Distribution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M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3" min="3" style="1" width="12"/>
    <col collapsed="false" customWidth="true" hidden="false" outlineLevel="0" max="14" min="14" style="1" width="40"/>
  </cols>
  <sheetData>
    <row r="1" customFormat="false" ht="15" hidden="false" customHeight="true" outlineLevel="0" collapsed="false">
      <c r="A1" s="147" t="s">
        <v>0</v>
      </c>
    </row>
    <row r="2" customFormat="false" ht="22.5" hidden="false" customHeight="true" outlineLevel="0" collapsed="false">
      <c r="B2" s="148" t="s">
        <v>13757</v>
      </c>
      <c r="C2" s="148"/>
      <c r="D2" s="148"/>
      <c r="E2" s="148"/>
      <c r="F2" s="148"/>
      <c r="G2" s="148"/>
      <c r="H2" s="148"/>
      <c r="I2" s="148"/>
      <c r="J2" s="148"/>
      <c r="K2" s="202" t="s">
        <v>2</v>
      </c>
    </row>
    <row r="3" customFormat="false" ht="28.5" hidden="false" customHeight="true" outlineLevel="0" collapsed="false">
      <c r="B3" s="150" t="s">
        <v>3</v>
      </c>
      <c r="D3" s="151" t="s">
        <v>13758</v>
      </c>
      <c r="E3" s="151"/>
    </row>
    <row r="5" customFormat="false" ht="15.75" hidden="false" customHeight="true" outlineLevel="0" collapsed="false">
      <c r="B5" s="103" t="s">
        <v>5</v>
      </c>
      <c r="C5" s="8"/>
      <c r="D5" s="8"/>
      <c r="E5" s="8"/>
      <c r="F5" s="8"/>
      <c r="G5" s="8"/>
      <c r="H5" s="8"/>
      <c r="I5" s="8"/>
      <c r="J5" s="8"/>
      <c r="K5" s="8"/>
    </row>
    <row r="6" customFormat="false" ht="15.75" hidden="false" customHeight="true" outlineLevel="0" collapsed="false">
      <c r="B6" s="106" t="s">
        <v>13759</v>
      </c>
      <c r="C6" s="106"/>
      <c r="D6" s="106"/>
      <c r="E6" s="106"/>
      <c r="F6" s="106"/>
      <c r="G6" s="106"/>
      <c r="H6" s="106"/>
      <c r="I6" s="106"/>
      <c r="J6" s="106"/>
    </row>
    <row r="7" customFormat="false" ht="15.75" hidden="false" customHeight="true" outlineLevel="0" collapsed="false">
      <c r="B7" s="106"/>
      <c r="C7" s="106"/>
      <c r="D7" s="106"/>
      <c r="E7" s="106"/>
      <c r="F7" s="106"/>
      <c r="G7" s="106"/>
      <c r="H7" s="106"/>
      <c r="I7" s="106"/>
      <c r="J7" s="106"/>
    </row>
    <row r="8" customFormat="false" ht="10.5" hidden="false" customHeight="true" outlineLevel="0" collapsed="false">
      <c r="B8" s="106" t="s">
        <v>13760</v>
      </c>
      <c r="C8" s="106"/>
      <c r="D8" s="106"/>
      <c r="E8" s="106"/>
      <c r="F8" s="106"/>
      <c r="G8" s="106"/>
      <c r="H8" s="106"/>
      <c r="I8" s="106"/>
      <c r="J8" s="106"/>
    </row>
    <row r="9" customFormat="false" ht="10.5" hidden="false" customHeight="true" outlineLevel="0" collapsed="false">
      <c r="B9" s="106"/>
      <c r="C9" s="106"/>
      <c r="D9" s="106"/>
      <c r="E9" s="106"/>
      <c r="F9" s="106"/>
      <c r="G9" s="106"/>
      <c r="H9" s="106"/>
      <c r="I9" s="106"/>
      <c r="J9" s="106"/>
    </row>
    <row r="10" customFormat="false" ht="10.5" hidden="false" customHeight="true" outlineLevel="0" collapsed="false">
      <c r="B10" s="106"/>
      <c r="C10" s="106"/>
      <c r="D10" s="106"/>
      <c r="E10" s="106"/>
      <c r="F10" s="106"/>
      <c r="G10" s="106"/>
      <c r="H10" s="106"/>
      <c r="I10" s="106"/>
      <c r="J10" s="106"/>
    </row>
    <row r="11" customFormat="false" ht="17.25" hidden="false" customHeight="true" outlineLevel="0" collapsed="false">
      <c r="B11" s="106" t="s">
        <v>13761</v>
      </c>
      <c r="C11" s="106"/>
      <c r="D11" s="106"/>
      <c r="E11" s="106"/>
      <c r="F11" s="106"/>
      <c r="G11" s="106"/>
      <c r="H11" s="106"/>
      <c r="I11" s="106"/>
      <c r="J11" s="106"/>
    </row>
    <row r="13" customFormat="false" ht="17.25" hidden="false" customHeight="true" outlineLevel="0" collapsed="false">
      <c r="B13" s="107" t="s">
        <v>13762</v>
      </c>
      <c r="C13" s="107"/>
      <c r="D13" s="107"/>
      <c r="E13" s="107"/>
      <c r="F13" s="107"/>
      <c r="G13" s="107"/>
      <c r="H13" s="107"/>
      <c r="I13" s="107"/>
      <c r="J13" s="107"/>
    </row>
    <row r="14" customFormat="false" ht="28.5" hidden="false" customHeight="true" outlineLevel="0" collapsed="false">
      <c r="B14" s="182" t="s">
        <v>13763</v>
      </c>
      <c r="C14" s="182"/>
      <c r="D14" s="182"/>
      <c r="E14" s="182"/>
      <c r="F14" s="182"/>
      <c r="G14" s="182"/>
      <c r="H14" s="182"/>
      <c r="I14" s="182"/>
      <c r="J14" s="182"/>
    </row>
    <row r="16" customFormat="false" ht="16.5" hidden="false" customHeight="true" outlineLevel="0" collapsed="false">
      <c r="B16" s="152" t="s">
        <v>1769</v>
      </c>
      <c r="C16" s="152" t="s">
        <v>13764</v>
      </c>
      <c r="D16" s="152" t="s">
        <v>13765</v>
      </c>
      <c r="E16" s="152" t="s">
        <v>13766</v>
      </c>
      <c r="F16" s="152" t="s">
        <v>378</v>
      </c>
      <c r="G16" s="152" t="s">
        <v>13767</v>
      </c>
      <c r="H16" s="152" t="s">
        <v>1358</v>
      </c>
      <c r="I16" s="152" t="s">
        <v>13768</v>
      </c>
      <c r="J16" s="152" t="s">
        <v>13769</v>
      </c>
      <c r="K16" s="152" t="s">
        <v>13770</v>
      </c>
      <c r="L16" s="152" t="s">
        <v>13771</v>
      </c>
      <c r="M16" s="152" t="s">
        <v>13772</v>
      </c>
    </row>
    <row r="17" customFormat="false" ht="16.5" hidden="false" customHeight="true" outlineLevel="0" collapsed="false">
      <c r="B17" s="15" t="n">
        <v>2</v>
      </c>
      <c r="C17" s="15" t="n">
        <v>1.1284</v>
      </c>
      <c r="D17" s="15" t="n">
        <v>0.8525</v>
      </c>
      <c r="E17" s="15" t="n">
        <v>0.7979</v>
      </c>
      <c r="F17" s="15" t="n">
        <v>2.1213</v>
      </c>
      <c r="G17" s="15" t="n">
        <v>1.88</v>
      </c>
      <c r="H17" s="15" t="n">
        <v>2.6587</v>
      </c>
      <c r="I17" s="15" t="n">
        <v>0</v>
      </c>
      <c r="J17" s="15" t="n">
        <v>3.2665</v>
      </c>
      <c r="K17" s="15" t="n">
        <v>0</v>
      </c>
      <c r="L17" s="15" t="n">
        <v>3.2665</v>
      </c>
      <c r="M17" s="15" t="n">
        <v>2.6587</v>
      </c>
    </row>
    <row r="18" customFormat="false" ht="16.5" hidden="false" customHeight="true" outlineLevel="0" collapsed="false">
      <c r="B18" s="15" t="n">
        <v>3</v>
      </c>
      <c r="C18" s="15" t="n">
        <v>1.6926</v>
      </c>
      <c r="D18" s="15" t="n">
        <v>0.8884</v>
      </c>
      <c r="E18" s="15" t="n">
        <v>0.8862</v>
      </c>
      <c r="F18" s="15" t="n">
        <v>1.7321</v>
      </c>
      <c r="G18" s="15" t="n">
        <v>1.0233</v>
      </c>
      <c r="H18" s="15" t="n">
        <v>1.9544</v>
      </c>
      <c r="I18" s="15" t="n">
        <v>0</v>
      </c>
      <c r="J18" s="15" t="n">
        <v>2.5746</v>
      </c>
      <c r="K18" s="15" t="n">
        <v>0</v>
      </c>
      <c r="L18" s="15" t="n">
        <v>2.5682</v>
      </c>
      <c r="M18" s="15" t="n">
        <v>1.7725</v>
      </c>
    </row>
    <row r="19" customFormat="false" ht="16.5" hidden="false" customHeight="true" outlineLevel="0" collapsed="false">
      <c r="B19" s="15" t="n">
        <v>4</v>
      </c>
      <c r="C19" s="15" t="n">
        <v>2.0588</v>
      </c>
      <c r="D19" s="15" t="n">
        <v>0.8798</v>
      </c>
      <c r="E19" s="15" t="n">
        <v>0.9213</v>
      </c>
      <c r="F19" s="15" t="n">
        <v>1.5</v>
      </c>
      <c r="G19" s="15" t="n">
        <v>0.7286</v>
      </c>
      <c r="H19" s="15" t="n">
        <v>1.6281</v>
      </c>
      <c r="I19" s="15" t="n">
        <v>0</v>
      </c>
      <c r="J19" s="15" t="n">
        <v>2.2821</v>
      </c>
      <c r="K19" s="15" t="n">
        <v>0</v>
      </c>
      <c r="L19" s="15" t="n">
        <v>2.266</v>
      </c>
      <c r="M19" s="15" t="n">
        <v>1.4572</v>
      </c>
    </row>
    <row r="20" customFormat="false" ht="16.5" hidden="false" customHeight="true" outlineLevel="0" collapsed="false">
      <c r="B20" s="15" t="n">
        <v>5</v>
      </c>
      <c r="C20" s="15" t="n">
        <v>2.3259</v>
      </c>
      <c r="D20" s="15" t="n">
        <v>0.8641</v>
      </c>
      <c r="E20" s="15" t="n">
        <v>0.94</v>
      </c>
      <c r="F20" s="15" t="n">
        <v>1.3416</v>
      </c>
      <c r="G20" s="15" t="n">
        <v>0.5768</v>
      </c>
      <c r="H20" s="15" t="n">
        <v>1.4273</v>
      </c>
      <c r="I20" s="15" t="n">
        <v>0</v>
      </c>
      <c r="J20" s="15" t="n">
        <v>2.1145</v>
      </c>
      <c r="K20" s="15" t="n">
        <v>0</v>
      </c>
      <c r="L20" s="15" t="n">
        <v>2.089</v>
      </c>
      <c r="M20" s="15" t="n">
        <v>1.2898</v>
      </c>
    </row>
    <row r="21" customFormat="false" ht="16.5" hidden="false" customHeight="true" outlineLevel="0" collapsed="false">
      <c r="B21" s="15" t="n">
        <v>6</v>
      </c>
      <c r="C21" s="15" t="n">
        <v>2.5344</v>
      </c>
      <c r="D21" s="15" t="n">
        <v>0.848</v>
      </c>
      <c r="E21" s="15" t="n">
        <v>0.9515</v>
      </c>
      <c r="F21" s="15" t="n">
        <v>1.2247</v>
      </c>
      <c r="G21" s="15" t="n">
        <v>0.4832</v>
      </c>
      <c r="H21" s="15" t="n">
        <v>1.2871</v>
      </c>
      <c r="I21" s="15" t="n">
        <v>0</v>
      </c>
      <c r="J21" s="15" t="n">
        <v>2.0038</v>
      </c>
      <c r="K21" s="15" t="n">
        <v>0.0304</v>
      </c>
      <c r="L21" s="15" t="n">
        <v>1.9696</v>
      </c>
      <c r="M21" s="15" t="n">
        <v>1.1837</v>
      </c>
    </row>
    <row r="22" customFormat="false" ht="16.5" hidden="false" customHeight="true" outlineLevel="0" collapsed="false">
      <c r="B22" s="15" t="n">
        <v>7</v>
      </c>
      <c r="C22" s="15" t="n">
        <v>2.7044</v>
      </c>
      <c r="D22" s="15" t="n">
        <v>0.8332</v>
      </c>
      <c r="E22" s="15" t="n">
        <v>0.9594</v>
      </c>
      <c r="F22" s="15" t="n">
        <v>1.1339</v>
      </c>
      <c r="G22" s="15" t="n">
        <v>0.4193</v>
      </c>
      <c r="H22" s="15" t="n">
        <v>1.1819</v>
      </c>
      <c r="I22" s="15" t="n">
        <v>0.0757</v>
      </c>
      <c r="J22" s="15" t="n">
        <v>1.9243</v>
      </c>
      <c r="K22" s="15" t="n">
        <v>0.1177</v>
      </c>
      <c r="L22" s="15" t="n">
        <v>1.8823</v>
      </c>
      <c r="M22" s="15" t="n">
        <v>1.1093</v>
      </c>
    </row>
    <row r="23" customFormat="false" ht="16.5" hidden="false" customHeight="true" outlineLevel="0" collapsed="false">
      <c r="B23" s="15" t="n">
        <v>8</v>
      </c>
      <c r="C23" s="15" t="n">
        <v>2.8472</v>
      </c>
      <c r="D23" s="15" t="n">
        <v>0.8198</v>
      </c>
      <c r="E23" s="15" t="n">
        <v>0.965</v>
      </c>
      <c r="F23" s="15" t="n">
        <v>1.0607</v>
      </c>
      <c r="G23" s="15" t="n">
        <v>0.3725</v>
      </c>
      <c r="H23" s="15" t="n">
        <v>1.0991</v>
      </c>
      <c r="I23" s="15" t="n">
        <v>0.1362</v>
      </c>
      <c r="J23" s="15" t="n">
        <v>1.8638</v>
      </c>
      <c r="K23" s="15" t="n">
        <v>0.1851</v>
      </c>
      <c r="L23" s="15" t="n">
        <v>1.8149</v>
      </c>
      <c r="M23" s="15" t="n">
        <v>1.0537</v>
      </c>
    </row>
    <row r="24" customFormat="false" ht="16.5" hidden="false" customHeight="true" outlineLevel="0" collapsed="false">
      <c r="B24" s="15" t="n">
        <v>9</v>
      </c>
      <c r="C24" s="15" t="n">
        <v>2.97</v>
      </c>
      <c r="D24" s="15" t="n">
        <v>0.8078</v>
      </c>
      <c r="E24" s="15" t="n">
        <v>0.9693</v>
      </c>
      <c r="F24" s="15" t="n">
        <v>1</v>
      </c>
      <c r="G24" s="15" t="n">
        <v>0.3367</v>
      </c>
      <c r="H24" s="15" t="n">
        <v>1.0317</v>
      </c>
      <c r="I24" s="15" t="n">
        <v>0.184</v>
      </c>
      <c r="J24" s="15" t="n">
        <v>1.816</v>
      </c>
      <c r="K24" s="15" t="n">
        <v>0.2391</v>
      </c>
      <c r="L24" s="15" t="n">
        <v>1.7609</v>
      </c>
      <c r="M24" s="15" t="n">
        <v>1.0101</v>
      </c>
    </row>
    <row r="25" customFormat="false" ht="16.5" hidden="false" customHeight="true" outlineLevel="0" collapsed="false">
      <c r="B25" s="15" t="n">
        <v>10</v>
      </c>
      <c r="C25" s="15" t="n">
        <v>3.0775</v>
      </c>
      <c r="D25" s="15" t="n">
        <v>0.7971</v>
      </c>
      <c r="E25" s="15" t="n">
        <v>0.9727</v>
      </c>
      <c r="F25" s="15" t="n">
        <v>0.9487</v>
      </c>
      <c r="G25" s="15" t="n">
        <v>0.3083</v>
      </c>
      <c r="H25" s="15" t="n">
        <v>0.9754</v>
      </c>
      <c r="I25" s="15" t="n">
        <v>0.223</v>
      </c>
      <c r="J25" s="15" t="n">
        <v>1.777</v>
      </c>
      <c r="K25" s="15" t="n">
        <v>0.2837</v>
      </c>
      <c r="L25" s="15" t="n">
        <v>1.7163</v>
      </c>
      <c r="M25" s="15" t="n">
        <v>0.9748</v>
      </c>
    </row>
    <row r="26" customFormat="false" ht="16.5" hidden="false" customHeight="true" outlineLevel="0" collapsed="false">
      <c r="B26" s="15" t="n">
        <v>11</v>
      </c>
      <c r="C26" s="15" t="n">
        <v>3.1729</v>
      </c>
      <c r="D26" s="15" t="n">
        <v>0.7873</v>
      </c>
      <c r="E26" s="15" t="n">
        <v>0.9754</v>
      </c>
      <c r="F26" s="15" t="n">
        <v>0.9045</v>
      </c>
      <c r="G26" s="15" t="n">
        <v>0.2851</v>
      </c>
      <c r="H26" s="15" t="n">
        <v>0.9274</v>
      </c>
      <c r="I26" s="15" t="n">
        <v>0.2556</v>
      </c>
      <c r="J26" s="15" t="n">
        <v>1.7444</v>
      </c>
      <c r="K26" s="15" t="n">
        <v>0.3213</v>
      </c>
      <c r="L26" s="15" t="n">
        <v>1.6787</v>
      </c>
      <c r="M26" s="15" t="n">
        <v>0.9455</v>
      </c>
    </row>
    <row r="27" customFormat="false" ht="16.5" hidden="false" customHeight="true" outlineLevel="0" collapsed="false">
      <c r="B27" s="15" t="n">
        <v>12</v>
      </c>
      <c r="C27" s="15" t="n">
        <v>3.2585</v>
      </c>
      <c r="D27" s="15" t="n">
        <v>0.7785</v>
      </c>
      <c r="E27" s="15" t="n">
        <v>0.9776</v>
      </c>
      <c r="F27" s="15" t="n">
        <v>0.866</v>
      </c>
      <c r="G27" s="15" t="n">
        <v>0.2658</v>
      </c>
      <c r="H27" s="15" t="n">
        <v>0.8859</v>
      </c>
      <c r="I27" s="15" t="n">
        <v>0.2833</v>
      </c>
      <c r="J27" s="15" t="n">
        <v>1.7167</v>
      </c>
      <c r="K27" s="15" t="n">
        <v>0.3535</v>
      </c>
      <c r="L27" s="15" t="n">
        <v>1.6465</v>
      </c>
      <c r="M27" s="15" t="n">
        <v>0.9207</v>
      </c>
    </row>
    <row r="28" customFormat="false" ht="16.5" hidden="false" customHeight="true" outlineLevel="0" collapsed="false">
      <c r="B28" s="15" t="n">
        <v>13</v>
      </c>
      <c r="C28" s="15" t="n">
        <v>3.336</v>
      </c>
      <c r="D28" s="15" t="n">
        <v>0.7704</v>
      </c>
      <c r="E28" s="15" t="n">
        <v>0.9794</v>
      </c>
      <c r="F28" s="15" t="n">
        <v>0.8321</v>
      </c>
      <c r="G28" s="15" t="n">
        <v>0.2494</v>
      </c>
      <c r="H28" s="15" t="n">
        <v>0.8495</v>
      </c>
      <c r="I28" s="15" t="n">
        <v>0.3072</v>
      </c>
      <c r="J28" s="15" t="n">
        <v>1.6928</v>
      </c>
      <c r="K28" s="15" t="n">
        <v>0.3816</v>
      </c>
      <c r="L28" s="15" t="n">
        <v>1.6184</v>
      </c>
      <c r="M28" s="15" t="n">
        <v>0.8993</v>
      </c>
    </row>
    <row r="29" customFormat="false" ht="16.5" hidden="false" customHeight="true" outlineLevel="0" collapsed="false">
      <c r="B29" s="15" t="n">
        <v>14</v>
      </c>
      <c r="C29" s="15" t="n">
        <v>3.4068</v>
      </c>
      <c r="D29" s="15" t="n">
        <v>0.763</v>
      </c>
      <c r="E29" s="15" t="n">
        <v>0.981</v>
      </c>
      <c r="F29" s="15" t="n">
        <v>0.8018</v>
      </c>
      <c r="G29" s="15" t="n">
        <v>0.2354</v>
      </c>
      <c r="H29" s="15" t="n">
        <v>0.8173</v>
      </c>
      <c r="I29" s="15" t="n">
        <v>0.3281</v>
      </c>
      <c r="J29" s="15" t="n">
        <v>1.6719</v>
      </c>
      <c r="K29" s="15" t="n">
        <v>0.4062</v>
      </c>
      <c r="L29" s="15" t="n">
        <v>1.5938</v>
      </c>
      <c r="M29" s="15" t="n">
        <v>0.8806</v>
      </c>
    </row>
    <row r="30" customFormat="false" ht="16.5" hidden="false" customHeight="true" outlineLevel="0" collapsed="false">
      <c r="B30" s="15" t="n">
        <v>15</v>
      </c>
      <c r="C30" s="15" t="n">
        <v>3.4718</v>
      </c>
      <c r="D30" s="15" t="n">
        <v>0.7562</v>
      </c>
      <c r="E30" s="15" t="n">
        <v>0.9823</v>
      </c>
      <c r="F30" s="15" t="n">
        <v>0.7746</v>
      </c>
      <c r="G30" s="15" t="n">
        <v>0.2231</v>
      </c>
      <c r="H30" s="15" t="n">
        <v>0.7885</v>
      </c>
      <c r="I30" s="15" t="n">
        <v>0.3466</v>
      </c>
      <c r="J30" s="15" t="n">
        <v>1.6534</v>
      </c>
      <c r="K30" s="15" t="n">
        <v>0.4282</v>
      </c>
      <c r="L30" s="15" t="n">
        <v>1.5718</v>
      </c>
      <c r="M30" s="15" t="n">
        <v>0.8641</v>
      </c>
    </row>
    <row r="31" customFormat="false" ht="16.5" hidden="false" customHeight="true" outlineLevel="0" collapsed="false">
      <c r="B31" s="15" t="n">
        <v>16</v>
      </c>
      <c r="C31" s="15" t="n">
        <v>3.532</v>
      </c>
      <c r="D31" s="15" t="n">
        <v>0.7499</v>
      </c>
      <c r="E31" s="15" t="n">
        <v>0.9835</v>
      </c>
      <c r="F31" s="15" t="n">
        <v>0.75</v>
      </c>
      <c r="G31" s="15" t="n">
        <v>0.2123</v>
      </c>
      <c r="H31" s="15" t="n">
        <v>0.7626</v>
      </c>
      <c r="I31" s="15" t="n">
        <v>0.363</v>
      </c>
      <c r="J31" s="15" t="n">
        <v>1.637</v>
      </c>
      <c r="K31" s="15" t="n">
        <v>0.4479</v>
      </c>
      <c r="L31" s="15" t="n">
        <v>1.5521</v>
      </c>
      <c r="M31" s="15" t="n">
        <v>0.8494</v>
      </c>
    </row>
    <row r="32" customFormat="false" ht="16.5" hidden="false" customHeight="true" outlineLevel="0" collapsed="false">
      <c r="B32" s="15" t="n">
        <v>17</v>
      </c>
      <c r="C32" s="15" t="n">
        <v>3.5879</v>
      </c>
      <c r="D32" s="15" t="n">
        <v>0.7441</v>
      </c>
      <c r="E32" s="15" t="n">
        <v>0.9845</v>
      </c>
      <c r="F32" s="15" t="n">
        <v>0.7276</v>
      </c>
      <c r="G32" s="15" t="n">
        <v>0.2028</v>
      </c>
      <c r="H32" s="15" t="n">
        <v>0.7391</v>
      </c>
      <c r="I32" s="15" t="n">
        <v>0.3779</v>
      </c>
      <c r="J32" s="15" t="n">
        <v>1.6221</v>
      </c>
      <c r="K32" s="15" t="n">
        <v>0.4657</v>
      </c>
      <c r="L32" s="15" t="n">
        <v>1.5343</v>
      </c>
      <c r="M32" s="15" t="n">
        <v>0.8361</v>
      </c>
    </row>
    <row r="33" customFormat="false" ht="16.5" hidden="false" customHeight="true" outlineLevel="0" collapsed="false">
      <c r="B33" s="15" t="n">
        <v>18</v>
      </c>
      <c r="C33" s="15" t="n">
        <v>3.6401</v>
      </c>
      <c r="D33" s="15" t="n">
        <v>0.7386</v>
      </c>
      <c r="E33" s="15" t="n">
        <v>0.9854</v>
      </c>
      <c r="F33" s="15" t="n">
        <v>0.7071</v>
      </c>
      <c r="G33" s="15" t="n">
        <v>0.1943</v>
      </c>
      <c r="H33" s="15" t="n">
        <v>0.7176</v>
      </c>
      <c r="I33" s="15" t="n">
        <v>0.3913</v>
      </c>
      <c r="J33" s="15" t="n">
        <v>1.6087</v>
      </c>
      <c r="K33" s="15" t="n">
        <v>0.4818</v>
      </c>
      <c r="L33" s="15" t="n">
        <v>1.5182</v>
      </c>
      <c r="M33" s="15" t="n">
        <v>0.8242</v>
      </c>
    </row>
    <row r="34" customFormat="false" ht="16.5" hidden="false" customHeight="true" outlineLevel="0" collapsed="false">
      <c r="B34" s="15" t="n">
        <v>19</v>
      </c>
      <c r="C34" s="15" t="n">
        <v>3.689</v>
      </c>
      <c r="D34" s="15" t="n">
        <v>0.7335</v>
      </c>
      <c r="E34" s="15" t="n">
        <v>0.9862</v>
      </c>
      <c r="F34" s="15" t="n">
        <v>0.6882</v>
      </c>
      <c r="G34" s="15" t="n">
        <v>0.1866</v>
      </c>
      <c r="H34" s="15" t="n">
        <v>0.6979</v>
      </c>
      <c r="I34" s="15" t="n">
        <v>0.4035</v>
      </c>
      <c r="J34" s="15" t="n">
        <v>1.5965</v>
      </c>
      <c r="K34" s="15" t="n">
        <v>0.4966</v>
      </c>
      <c r="L34" s="15" t="n">
        <v>1.5034</v>
      </c>
      <c r="M34" s="15" t="n">
        <v>0.8132</v>
      </c>
    </row>
    <row r="35" customFormat="false" ht="16.5" hidden="false" customHeight="true" outlineLevel="0" collapsed="false">
      <c r="B35" s="15" t="n">
        <v>20</v>
      </c>
      <c r="C35" s="15" t="n">
        <v>3.735</v>
      </c>
      <c r="D35" s="15" t="n">
        <v>0.7287</v>
      </c>
      <c r="E35" s="15" t="n">
        <v>0.9869</v>
      </c>
      <c r="F35" s="15" t="n">
        <v>0.6708</v>
      </c>
      <c r="G35" s="15" t="n">
        <v>0.1796</v>
      </c>
      <c r="H35" s="15" t="n">
        <v>0.6797</v>
      </c>
      <c r="I35" s="15" t="n">
        <v>0.4147</v>
      </c>
      <c r="J35" s="15" t="n">
        <v>1.5853</v>
      </c>
      <c r="K35" s="15" t="n">
        <v>0.5102</v>
      </c>
      <c r="L35" s="15" t="n">
        <v>1.4898</v>
      </c>
      <c r="M35" s="15" t="n">
        <v>0.8032</v>
      </c>
    </row>
    <row r="36" customFormat="false" ht="16.5" hidden="false" customHeight="true" outlineLevel="0" collapsed="false">
      <c r="B36" s="15" t="n">
        <v>21</v>
      </c>
      <c r="C36" s="15" t="n">
        <v>3.7783</v>
      </c>
      <c r="D36" s="15" t="n">
        <v>0.7242</v>
      </c>
      <c r="E36" s="15" t="n">
        <v>0.9876</v>
      </c>
      <c r="F36" s="15" t="n">
        <v>0.6547</v>
      </c>
      <c r="G36" s="15" t="n">
        <v>0.1733</v>
      </c>
      <c r="H36" s="15" t="n">
        <v>0.6629</v>
      </c>
      <c r="I36" s="15" t="n">
        <v>0.425</v>
      </c>
      <c r="J36" s="15" t="n">
        <v>1.575</v>
      </c>
      <c r="K36" s="15" t="n">
        <v>0.5228</v>
      </c>
      <c r="L36" s="15" t="n">
        <v>1.4772</v>
      </c>
      <c r="M36" s="15" t="n">
        <v>0.794</v>
      </c>
    </row>
    <row r="37" customFormat="false" ht="16.5" hidden="false" customHeight="true" outlineLevel="0" collapsed="false">
      <c r="B37" s="15" t="n">
        <v>22</v>
      </c>
      <c r="C37" s="15" t="n">
        <v>3.8194</v>
      </c>
      <c r="D37" s="15" t="n">
        <v>0.7199</v>
      </c>
      <c r="E37" s="15" t="n">
        <v>0.9882</v>
      </c>
      <c r="F37" s="15" t="n">
        <v>0.6396</v>
      </c>
      <c r="G37" s="15" t="n">
        <v>0.1675</v>
      </c>
      <c r="H37" s="15" t="n">
        <v>0.6473</v>
      </c>
      <c r="I37" s="15" t="n">
        <v>0.4345</v>
      </c>
      <c r="J37" s="15" t="n">
        <v>1.5655</v>
      </c>
      <c r="K37" s="15" t="n">
        <v>0.5344</v>
      </c>
      <c r="L37" s="15" t="n">
        <v>1.4656</v>
      </c>
      <c r="M37" s="15" t="n">
        <v>0.7855</v>
      </c>
    </row>
    <row r="38" customFormat="false" ht="16.5" hidden="false" customHeight="true" outlineLevel="0" collapsed="false">
      <c r="B38" s="15" t="n">
        <v>23</v>
      </c>
      <c r="C38" s="15" t="n">
        <v>3.8583</v>
      </c>
      <c r="D38" s="15" t="n">
        <v>0.7159</v>
      </c>
      <c r="E38" s="15" t="n">
        <v>0.9887</v>
      </c>
      <c r="F38" s="15" t="n">
        <v>0.6255</v>
      </c>
      <c r="G38" s="15" t="n">
        <v>0.1621</v>
      </c>
      <c r="H38" s="15" t="n">
        <v>0.6327</v>
      </c>
      <c r="I38" s="15" t="n">
        <v>0.4434</v>
      </c>
      <c r="J38" s="15" t="n">
        <v>1.5566</v>
      </c>
      <c r="K38" s="15" t="n">
        <v>0.5452</v>
      </c>
      <c r="L38" s="15" t="n">
        <v>1.4548</v>
      </c>
      <c r="M38" s="15" t="n">
        <v>0.7775</v>
      </c>
    </row>
    <row r="39" customFormat="false" ht="16.5" hidden="false" customHeight="true" outlineLevel="0" collapsed="false">
      <c r="B39" s="15" t="n">
        <v>24</v>
      </c>
      <c r="C39" s="15" t="n">
        <v>3.8953</v>
      </c>
      <c r="D39" s="15" t="n">
        <v>0.7121</v>
      </c>
      <c r="E39" s="15" t="n">
        <v>0.9892</v>
      </c>
      <c r="F39" s="15" t="n">
        <v>0.6124</v>
      </c>
      <c r="G39" s="15" t="n">
        <v>0.1572</v>
      </c>
      <c r="H39" s="15" t="n">
        <v>0.6191</v>
      </c>
      <c r="I39" s="15" t="n">
        <v>0.4516</v>
      </c>
      <c r="J39" s="15" t="n">
        <v>1.5484</v>
      </c>
      <c r="K39" s="15" t="n">
        <v>0.5553</v>
      </c>
      <c r="L39" s="15" t="n">
        <v>1.4447</v>
      </c>
      <c r="M39" s="15" t="n">
        <v>0.7701</v>
      </c>
    </row>
    <row r="40" customFormat="false" ht="16.5" hidden="false" customHeight="true" outlineLevel="0" collapsed="false">
      <c r="B40" s="15" t="n">
        <v>25</v>
      </c>
      <c r="C40" s="15" t="n">
        <v>3.9306</v>
      </c>
      <c r="D40" s="15" t="n">
        <v>0.7084</v>
      </c>
      <c r="E40" s="15" t="n">
        <v>0.9896</v>
      </c>
      <c r="F40" s="15" t="n">
        <v>0.6</v>
      </c>
      <c r="G40" s="15" t="n">
        <v>0.1526</v>
      </c>
      <c r="H40" s="15" t="n">
        <v>0.6063</v>
      </c>
      <c r="I40" s="15" t="n">
        <v>0.4593</v>
      </c>
      <c r="J40" s="15" t="n">
        <v>1.5407</v>
      </c>
      <c r="K40" s="15" t="n">
        <v>0.5648</v>
      </c>
      <c r="L40" s="15" t="n">
        <v>1.4352</v>
      </c>
      <c r="M40" s="15" t="n">
        <v>0.7632</v>
      </c>
    </row>
    <row r="42" customFormat="false" ht="17.25" hidden="false" customHeight="true" outlineLevel="0" collapsed="false">
      <c r="B42" s="107" t="s">
        <v>13773</v>
      </c>
      <c r="C42" s="107"/>
      <c r="D42" s="107"/>
      <c r="E42" s="107"/>
      <c r="F42" s="107"/>
      <c r="G42" s="107"/>
      <c r="H42" s="107"/>
      <c r="I42" s="107"/>
      <c r="J42" s="107"/>
    </row>
    <row r="43" customFormat="false" ht="17.25" hidden="false" customHeight="true" outlineLevel="0" collapsed="false">
      <c r="B43" s="152" t="s">
        <v>13774</v>
      </c>
      <c r="C43" s="152" t="s">
        <v>5198</v>
      </c>
      <c r="D43" s="152" t="s">
        <v>13775</v>
      </c>
      <c r="E43" s="152" t="s">
        <v>13776</v>
      </c>
      <c r="F43" s="152"/>
    </row>
    <row r="44" customFormat="false" ht="72" hidden="false" customHeight="true" outlineLevel="0" collapsed="false">
      <c r="B44" s="15" t="s">
        <v>13764</v>
      </c>
      <c r="C44" s="15" t="s">
        <v>13777</v>
      </c>
      <c r="D44" s="15" t="s">
        <v>13778</v>
      </c>
      <c r="E44" s="15" t="s">
        <v>13779</v>
      </c>
      <c r="F44" s="15"/>
    </row>
    <row r="45" customFormat="false" ht="44.25" hidden="false" customHeight="true" outlineLevel="0" collapsed="false">
      <c r="B45" s="15" t="s">
        <v>13765</v>
      </c>
      <c r="C45" s="15" t="s">
        <v>13780</v>
      </c>
      <c r="D45" s="15" t="s">
        <v>13781</v>
      </c>
      <c r="E45" s="15" t="s">
        <v>13782</v>
      </c>
      <c r="F45" s="15"/>
    </row>
    <row r="46" customFormat="false" ht="86.25" hidden="false" customHeight="true" outlineLevel="0" collapsed="false">
      <c r="B46" s="15" t="s">
        <v>13766</v>
      </c>
      <c r="C46" s="15" t="s">
        <v>13783</v>
      </c>
      <c r="D46" s="15" t="s">
        <v>13784</v>
      </c>
      <c r="E46" s="15" t="s">
        <v>13785</v>
      </c>
      <c r="F46" s="15"/>
    </row>
    <row r="47" customFormat="false" ht="30.75" hidden="false" customHeight="true" outlineLevel="0" collapsed="false">
      <c r="B47" s="15" t="s">
        <v>378</v>
      </c>
      <c r="C47" s="15" t="s">
        <v>13786</v>
      </c>
      <c r="D47" s="15" t="s">
        <v>13787</v>
      </c>
      <c r="E47" s="15" t="s">
        <v>13788</v>
      </c>
      <c r="F47" s="15"/>
    </row>
    <row r="48" customFormat="false" ht="30.75" hidden="false" customHeight="true" outlineLevel="0" collapsed="false">
      <c r="B48" s="15" t="s">
        <v>13767</v>
      </c>
      <c r="C48" s="15" t="s">
        <v>13789</v>
      </c>
      <c r="D48" s="15" t="s">
        <v>13790</v>
      </c>
      <c r="E48" s="15" t="s">
        <v>13791</v>
      </c>
      <c r="F48" s="15"/>
    </row>
    <row r="49" customFormat="false" ht="30.75" hidden="false" customHeight="true" outlineLevel="0" collapsed="false">
      <c r="B49" s="15" t="s">
        <v>1358</v>
      </c>
      <c r="C49" s="15" t="s">
        <v>13792</v>
      </c>
      <c r="D49" s="15" t="s">
        <v>13793</v>
      </c>
      <c r="E49" s="15" t="s">
        <v>13794</v>
      </c>
      <c r="F49" s="15"/>
    </row>
    <row r="50" customFormat="false" ht="30.75" hidden="false" customHeight="true" outlineLevel="0" collapsed="false">
      <c r="B50" s="15" t="s">
        <v>13768</v>
      </c>
      <c r="C50" s="15" t="s">
        <v>13795</v>
      </c>
      <c r="D50" s="15" t="s">
        <v>13796</v>
      </c>
      <c r="E50" s="15" t="s">
        <v>13797</v>
      </c>
      <c r="F50" s="15"/>
    </row>
    <row r="51" customFormat="false" ht="30.75" hidden="false" customHeight="true" outlineLevel="0" collapsed="false">
      <c r="B51" s="15" t="s">
        <v>13769</v>
      </c>
      <c r="C51" s="15" t="s">
        <v>13798</v>
      </c>
      <c r="D51" s="15" t="s">
        <v>13799</v>
      </c>
      <c r="E51" s="15" t="s">
        <v>13800</v>
      </c>
      <c r="F51" s="15"/>
    </row>
    <row r="52" customFormat="false" ht="58.5" hidden="false" customHeight="true" outlineLevel="0" collapsed="false">
      <c r="B52" s="15" t="s">
        <v>13770</v>
      </c>
      <c r="C52" s="15" t="s">
        <v>13801</v>
      </c>
      <c r="D52" s="15" t="s">
        <v>13802</v>
      </c>
      <c r="E52" s="15" t="s">
        <v>13803</v>
      </c>
      <c r="F52" s="15"/>
    </row>
    <row r="53" customFormat="false" ht="44.25" hidden="false" customHeight="true" outlineLevel="0" collapsed="false">
      <c r="B53" s="15" t="s">
        <v>13771</v>
      </c>
      <c r="C53" s="15" t="s">
        <v>13804</v>
      </c>
      <c r="D53" s="15" t="s">
        <v>13805</v>
      </c>
      <c r="E53" s="15" t="s">
        <v>13806</v>
      </c>
      <c r="F53" s="15"/>
    </row>
    <row r="54" customFormat="false" ht="31.5" hidden="false" customHeight="true" outlineLevel="0" collapsed="false">
      <c r="B54" s="15" t="s">
        <v>13772</v>
      </c>
      <c r="C54" s="15" t="s">
        <v>13807</v>
      </c>
      <c r="D54" s="15" t="s">
        <v>13808</v>
      </c>
      <c r="E54" s="15" t="s">
        <v>13809</v>
      </c>
      <c r="F54" s="15"/>
    </row>
    <row r="56" customFormat="false" ht="17.25" hidden="false" customHeight="true" outlineLevel="0" collapsed="false">
      <c r="B56" s="107" t="s">
        <v>13810</v>
      </c>
      <c r="C56" s="107"/>
      <c r="D56" s="107"/>
      <c r="E56" s="107"/>
      <c r="F56" s="107"/>
      <c r="G56" s="107"/>
      <c r="H56" s="107"/>
      <c r="I56" s="107"/>
      <c r="J56" s="107"/>
    </row>
    <row r="57" customFormat="false" ht="16.5" hidden="false" customHeight="true" outlineLevel="0" collapsed="false">
      <c r="B57" s="152" t="s">
        <v>8423</v>
      </c>
      <c r="C57" s="152" t="s">
        <v>6654</v>
      </c>
      <c r="D57" s="152" t="s">
        <v>6655</v>
      </c>
    </row>
    <row r="58" customFormat="false" ht="30.75" hidden="false" customHeight="true" outlineLevel="0" collapsed="false">
      <c r="B58" s="15" t="s">
        <v>13811</v>
      </c>
      <c r="C58" s="155" t="n">
        <v>5</v>
      </c>
      <c r="D58" s="15" t="s">
        <v>13812</v>
      </c>
    </row>
    <row r="59" customFormat="false" ht="30.75" hidden="false" customHeight="true" outlineLevel="0" collapsed="false">
      <c r="B59" s="15" t="s">
        <v>13813</v>
      </c>
      <c r="C59" s="204" t="n">
        <f aca="false">INDEX($C$17:$C$40,MATCH($C$58,$B$17:$B$40,0))</f>
        <v>2.3259</v>
      </c>
      <c r="D59" s="15" t="s">
        <v>13814</v>
      </c>
    </row>
    <row r="60" customFormat="false" ht="16.5" hidden="false" customHeight="true" outlineLevel="0" collapsed="false">
      <c r="B60" s="15" t="s">
        <v>13815</v>
      </c>
      <c r="C60" s="204" t="n">
        <f aca="false">INDEX($G$17:$G$40,MATCH($C$58,$B$17:$B$40,0))</f>
        <v>0.5768</v>
      </c>
      <c r="D60" s="15"/>
    </row>
    <row r="61" customFormat="false" ht="16.5" hidden="false" customHeight="true" outlineLevel="0" collapsed="false">
      <c r="B61" s="15" t="s">
        <v>13816</v>
      </c>
      <c r="C61" s="204" t="n">
        <f aca="false">INDEX($I$17:$I$40,MATCH($C$58,$B$17:$B$40,0))</f>
        <v>0</v>
      </c>
      <c r="D61" s="15"/>
    </row>
    <row r="62" customFormat="false" ht="16.5" hidden="false" customHeight="true" outlineLevel="0" collapsed="false">
      <c r="B62" s="15" t="s">
        <v>13817</v>
      </c>
      <c r="C62" s="204" t="n">
        <f aca="false">INDEX($J$17:$J$40,MATCH($C$58,$B$17:$B$40,0))</f>
        <v>2.1145</v>
      </c>
      <c r="D62" s="15"/>
    </row>
    <row r="63" customFormat="false" ht="16.5" hidden="false" customHeight="true" outlineLevel="0" collapsed="false">
      <c r="B63" s="15" t="s">
        <v>13818</v>
      </c>
      <c r="C63" s="204" t="n">
        <f aca="false">INDEX($E$17:$E$40,MATCH($C$58,$B$17:$B$40,0))</f>
        <v>0.94</v>
      </c>
      <c r="D63" s="15"/>
    </row>
    <row r="64" customFormat="false" ht="16.5" hidden="false" customHeight="true" outlineLevel="0" collapsed="false">
      <c r="B64" s="15" t="s">
        <v>13819</v>
      </c>
      <c r="C64" s="156" t="n">
        <v>4.2</v>
      </c>
      <c r="D64" s="15" t="s">
        <v>13820</v>
      </c>
    </row>
    <row r="65" customFormat="false" ht="44.25" hidden="false" customHeight="true" outlineLevel="0" collapsed="false">
      <c r="B65" s="15" t="s">
        <v>13821</v>
      </c>
      <c r="C65" s="204" t="n">
        <f aca="false">IFERROR(C64/C59,0)</f>
        <v>1.80575261189217</v>
      </c>
      <c r="D65" s="15" t="s">
        <v>13822</v>
      </c>
    </row>
    <row r="66" customFormat="false" ht="16.5" hidden="false" customHeight="true" outlineLevel="0" collapsed="false">
      <c r="B66" s="15" t="s">
        <v>13823</v>
      </c>
      <c r="C66" s="204" t="n">
        <f aca="false">C62*C64</f>
        <v>8.8809</v>
      </c>
      <c r="D66" s="15" t="s">
        <v>13824</v>
      </c>
    </row>
    <row r="67" customFormat="false" ht="16.5" hidden="false" customHeight="true" outlineLevel="0" collapsed="false">
      <c r="B67" s="15" t="s">
        <v>13825</v>
      </c>
      <c r="C67" s="204" t="n">
        <f aca="false">C61*C64</f>
        <v>0</v>
      </c>
      <c r="D67" s="15" t="s">
        <v>13826</v>
      </c>
    </row>
    <row r="69" customFormat="false" ht="15.75" hidden="false" customHeight="true" outlineLevel="0" collapsed="false">
      <c r="B69" s="103" t="s">
        <v>13754</v>
      </c>
      <c r="C69" s="8"/>
      <c r="D69" s="8"/>
      <c r="E69" s="8"/>
      <c r="F69" s="8"/>
      <c r="G69" s="8"/>
      <c r="H69" s="8"/>
      <c r="I69" s="8"/>
      <c r="J69" s="8"/>
      <c r="K69" s="8"/>
    </row>
    <row r="70" customFormat="false" ht="30.75" hidden="false" customHeight="true" outlineLevel="0" collapsed="false">
      <c r="B70" s="152" t="s">
        <v>1523</v>
      </c>
      <c r="C70" s="152" t="s">
        <v>1524</v>
      </c>
      <c r="D70" s="152" t="s">
        <v>6719</v>
      </c>
    </row>
    <row r="71" customFormat="false" ht="30.75" hidden="false" customHeight="true" outlineLevel="0" collapsed="false">
      <c r="B71" s="170" t="s">
        <v>1031</v>
      </c>
      <c r="C71" s="170" t="s">
        <v>5895</v>
      </c>
      <c r="D71" s="170" t="s">
        <v>10216</v>
      </c>
    </row>
  </sheetData>
  <mergeCells count="21">
    <mergeCell ref="B2:J2"/>
    <mergeCell ref="D3:E3"/>
    <mergeCell ref="B6:J7"/>
    <mergeCell ref="B8:J10"/>
    <mergeCell ref="B11:J11"/>
    <mergeCell ref="B13:J13"/>
    <mergeCell ref="B14:J14"/>
    <mergeCell ref="B42:J42"/>
    <mergeCell ref="E43:F43"/>
    <mergeCell ref="E44:F44"/>
    <mergeCell ref="E45:F45"/>
    <mergeCell ref="E46:F46"/>
    <mergeCell ref="E47:F47"/>
    <mergeCell ref="E48:F48"/>
    <mergeCell ref="E49:F49"/>
    <mergeCell ref="E50:F50"/>
    <mergeCell ref="E51:F51"/>
    <mergeCell ref="E52:F52"/>
    <mergeCell ref="E53:F53"/>
    <mergeCell ref="E54:F54"/>
    <mergeCell ref="B56:J56"/>
  </mergeCells>
  <hyperlinks>
    <hyperlink ref="B3" location="'N-03 Index DMAIC'!A1" display="← Back to Index"/>
    <hyperlink ref="B71" location="'E-50 Xbar-R Chart'!A1" display="E-50  Xbar-R Chart"/>
    <hyperlink ref="C71" location="'E-51 Xbar-S Chart'!A1" display="E-51  Xbar-S Chart"/>
    <hyperlink ref="D71" location="'E-57 Process Capability'!A1" display="E-57  Process Capabilit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3" min="2" style="1" width="34"/>
    <col collapsed="false" customWidth="true" hidden="false" outlineLevel="0" max="5" min="4" style="1" width="44"/>
    <col collapsed="false" customWidth="true" hidden="false" outlineLevel="0" max="6" min="6" style="1" width="40"/>
    <col collapsed="false" customWidth="true" hidden="false" outlineLevel="0" max="10" min="7"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13827</v>
      </c>
      <c r="C2" s="148"/>
      <c r="D2" s="148"/>
      <c r="E2" s="148"/>
      <c r="F2" s="148"/>
      <c r="G2" s="148"/>
      <c r="H2" s="148"/>
      <c r="I2" s="148"/>
      <c r="J2" s="148"/>
      <c r="K2" s="202" t="s">
        <v>2</v>
      </c>
    </row>
    <row r="3" customFormat="false" ht="28.5" hidden="false" customHeight="true" outlineLevel="0" collapsed="false">
      <c r="B3" s="150" t="s">
        <v>3</v>
      </c>
      <c r="D3" s="151" t="s">
        <v>13828</v>
      </c>
      <c r="E3" s="151"/>
    </row>
    <row r="5" customFormat="false" ht="15.75" hidden="false" customHeight="true" outlineLevel="0" collapsed="false">
      <c r="B5" s="103" t="s">
        <v>5</v>
      </c>
      <c r="C5" s="8"/>
      <c r="D5" s="8"/>
      <c r="E5" s="8"/>
      <c r="F5" s="8"/>
      <c r="G5" s="8"/>
      <c r="H5" s="8"/>
      <c r="I5" s="8"/>
      <c r="J5" s="8"/>
      <c r="K5" s="8"/>
    </row>
    <row r="6" customFormat="false" ht="8.25" hidden="false" customHeight="true" outlineLevel="0" collapsed="false">
      <c r="B6" s="106" t="s">
        <v>13829</v>
      </c>
      <c r="C6" s="106"/>
      <c r="D6" s="106"/>
      <c r="E6" s="106"/>
    </row>
    <row r="7" customFormat="false" ht="8.25" hidden="false" customHeight="true" outlineLevel="0" collapsed="false">
      <c r="B7" s="106"/>
      <c r="C7" s="106"/>
      <c r="D7" s="106"/>
      <c r="E7" s="106"/>
    </row>
    <row r="8" customFormat="false" ht="15" hidden="false" customHeight="true" outlineLevel="0" collapsed="false">
      <c r="B8" s="106" t="s">
        <v>13830</v>
      </c>
      <c r="C8" s="106"/>
      <c r="D8" s="106"/>
      <c r="E8" s="106"/>
    </row>
    <row r="9" customFormat="false" ht="15" hidden="false" customHeight="true" outlineLevel="0" collapsed="false">
      <c r="B9" s="106"/>
      <c r="C9" s="106"/>
      <c r="D9" s="106"/>
      <c r="E9" s="106"/>
    </row>
    <row r="10" customFormat="false" ht="15" hidden="false" customHeight="true" outlineLevel="0" collapsed="false">
      <c r="B10" s="106"/>
      <c r="C10" s="106"/>
      <c r="D10" s="106"/>
      <c r="E10" s="106"/>
    </row>
    <row r="11" customFormat="false" ht="15.75" hidden="false" customHeight="true" outlineLevel="0" collapsed="false">
      <c r="B11" s="106" t="s">
        <v>13831</v>
      </c>
      <c r="C11" s="106"/>
      <c r="D11" s="106"/>
      <c r="E11" s="106"/>
    </row>
    <row r="12" customFormat="false" ht="15.75" hidden="false" customHeight="true" outlineLevel="0" collapsed="false">
      <c r="B12" s="106"/>
      <c r="C12" s="106"/>
      <c r="D12" s="106"/>
      <c r="E12" s="106"/>
    </row>
    <row r="14" customFormat="false" ht="17.25" hidden="false" customHeight="true" outlineLevel="0" collapsed="false">
      <c r="B14" s="107" t="s">
        <v>13832</v>
      </c>
      <c r="C14" s="107"/>
      <c r="D14" s="107"/>
      <c r="E14" s="107"/>
    </row>
    <row r="15" customFormat="false" ht="42" hidden="false" customHeight="true" outlineLevel="0" collapsed="false">
      <c r="B15" s="182" t="s">
        <v>13833</v>
      </c>
      <c r="C15" s="182"/>
      <c r="D15" s="182"/>
      <c r="E15" s="182"/>
    </row>
    <row r="17" customFormat="false" ht="17.25" hidden="false" customHeight="true" outlineLevel="0" collapsed="false">
      <c r="B17" s="107" t="s">
        <v>13834</v>
      </c>
      <c r="C17" s="107"/>
      <c r="D17" s="107"/>
      <c r="E17" s="107"/>
    </row>
    <row r="18" customFormat="false" ht="17.25" hidden="false" customHeight="true" outlineLevel="0" collapsed="false">
      <c r="B18" s="152" t="s">
        <v>13835</v>
      </c>
      <c r="C18" s="152" t="s">
        <v>13836</v>
      </c>
      <c r="D18" s="152" t="s">
        <v>8170</v>
      </c>
      <c r="E18" s="152" t="s">
        <v>13837</v>
      </c>
      <c r="F18" s="152"/>
    </row>
    <row r="19" customFormat="false" ht="17.25" hidden="false" customHeight="true" outlineLevel="0" collapsed="false">
      <c r="B19" s="15" t="s">
        <v>3502</v>
      </c>
      <c r="C19" s="15" t="s">
        <v>13838</v>
      </c>
      <c r="D19" s="15" t="s">
        <v>13839</v>
      </c>
      <c r="E19" s="15" t="s">
        <v>13840</v>
      </c>
      <c r="F19" s="15"/>
    </row>
    <row r="20" customFormat="false" ht="17.25" hidden="false" customHeight="true" outlineLevel="0" collapsed="false">
      <c r="B20" s="15" t="s">
        <v>13841</v>
      </c>
      <c r="C20" s="15" t="s">
        <v>13842</v>
      </c>
      <c r="D20" s="15" t="s">
        <v>13843</v>
      </c>
      <c r="E20" s="15" t="s">
        <v>427</v>
      </c>
      <c r="F20" s="15"/>
    </row>
    <row r="21" customFormat="false" ht="30.75" hidden="false" customHeight="true" outlineLevel="0" collapsed="false">
      <c r="B21" s="15" t="s">
        <v>4072</v>
      </c>
      <c r="C21" s="15" t="s">
        <v>13844</v>
      </c>
      <c r="D21" s="15" t="s">
        <v>13845</v>
      </c>
      <c r="E21" s="15" t="s">
        <v>437</v>
      </c>
      <c r="F21" s="15"/>
    </row>
    <row r="22" customFormat="false" ht="17.25" hidden="false" customHeight="true" outlineLevel="0" collapsed="false">
      <c r="B22" s="15" t="s">
        <v>3600</v>
      </c>
      <c r="C22" s="15" t="s">
        <v>13846</v>
      </c>
      <c r="D22" s="15" t="s">
        <v>13847</v>
      </c>
      <c r="E22" s="15" t="s">
        <v>13848</v>
      </c>
      <c r="F22" s="15"/>
    </row>
    <row r="23" customFormat="false" ht="30.75" hidden="false" customHeight="true" outlineLevel="0" collapsed="false">
      <c r="B23" s="15" t="s">
        <v>13849</v>
      </c>
      <c r="C23" s="15" t="s">
        <v>13850</v>
      </c>
      <c r="D23" s="15" t="s">
        <v>13851</v>
      </c>
      <c r="E23" s="15" t="s">
        <v>13852</v>
      </c>
      <c r="F23" s="15"/>
    </row>
    <row r="24" customFormat="false" ht="17.25" hidden="false" customHeight="true" outlineLevel="0" collapsed="false">
      <c r="B24" s="15" t="s">
        <v>3806</v>
      </c>
      <c r="C24" s="15" t="s">
        <v>13853</v>
      </c>
      <c r="D24" s="15" t="s">
        <v>13854</v>
      </c>
      <c r="E24" s="15" t="s">
        <v>13855</v>
      </c>
      <c r="F24" s="15"/>
    </row>
    <row r="25" customFormat="false" ht="17.25" hidden="false" customHeight="true" outlineLevel="0" collapsed="false">
      <c r="B25" s="15" t="s">
        <v>13856</v>
      </c>
      <c r="C25" s="15" t="s">
        <v>13857</v>
      </c>
      <c r="D25" s="15" t="s">
        <v>13858</v>
      </c>
      <c r="E25" s="15" t="s">
        <v>13859</v>
      </c>
      <c r="F25" s="15"/>
    </row>
    <row r="26" customFormat="false" ht="17.25" hidden="false" customHeight="true" outlineLevel="0" collapsed="false">
      <c r="B26" s="15" t="s">
        <v>13860</v>
      </c>
      <c r="C26" s="15" t="s">
        <v>13861</v>
      </c>
      <c r="D26" s="15" t="s">
        <v>13862</v>
      </c>
      <c r="E26" s="15" t="s">
        <v>13863</v>
      </c>
      <c r="F26" s="15"/>
    </row>
    <row r="27" customFormat="false" ht="17.25" hidden="false" customHeight="true" outlineLevel="0" collapsed="false">
      <c r="B27" s="15" t="s">
        <v>1657</v>
      </c>
      <c r="C27" s="15" t="s">
        <v>13864</v>
      </c>
      <c r="D27" s="15" t="s">
        <v>13865</v>
      </c>
      <c r="E27" s="15" t="s">
        <v>13866</v>
      </c>
      <c r="F27" s="15"/>
    </row>
    <row r="28" customFormat="false" ht="17.25" hidden="false" customHeight="true" outlineLevel="0" collapsed="false">
      <c r="B28" s="15" t="s">
        <v>1659</v>
      </c>
      <c r="C28" s="15" t="s">
        <v>13867</v>
      </c>
      <c r="D28" s="15" t="s">
        <v>13868</v>
      </c>
      <c r="E28" s="15" t="s">
        <v>233</v>
      </c>
      <c r="F28" s="15"/>
    </row>
    <row r="29" customFormat="false" ht="30.75" hidden="false" customHeight="true" outlineLevel="0" collapsed="false">
      <c r="B29" s="15" t="s">
        <v>13869</v>
      </c>
      <c r="C29" s="15" t="s">
        <v>13870</v>
      </c>
      <c r="D29" s="15" t="s">
        <v>13871</v>
      </c>
      <c r="E29" s="15" t="s">
        <v>366</v>
      </c>
      <c r="F29" s="15"/>
    </row>
    <row r="30" customFormat="false" ht="17.25" hidden="false" customHeight="true" outlineLevel="0" collapsed="false">
      <c r="B30" s="15" t="s">
        <v>13872</v>
      </c>
      <c r="C30" s="15" t="s">
        <v>13873</v>
      </c>
      <c r="D30" s="15" t="s">
        <v>13874</v>
      </c>
      <c r="E30" s="15" t="s">
        <v>13875</v>
      </c>
      <c r="F30" s="15"/>
    </row>
    <row r="31" customFormat="false" ht="30.75" hidden="false" customHeight="true" outlineLevel="0" collapsed="false">
      <c r="B31" s="15" t="s">
        <v>13876</v>
      </c>
      <c r="C31" s="15" t="s">
        <v>13877</v>
      </c>
      <c r="D31" s="15" t="s">
        <v>13878</v>
      </c>
      <c r="E31" s="15" t="s">
        <v>277</v>
      </c>
      <c r="F31" s="15"/>
    </row>
    <row r="32" customFormat="false" ht="17.25" hidden="false" customHeight="true" outlineLevel="0" collapsed="false">
      <c r="B32" s="15" t="s">
        <v>2738</v>
      </c>
      <c r="C32" s="15" t="s">
        <v>13879</v>
      </c>
      <c r="D32" s="15" t="s">
        <v>13880</v>
      </c>
      <c r="E32" s="15" t="s">
        <v>291</v>
      </c>
      <c r="F32" s="15"/>
    </row>
    <row r="33" customFormat="false" ht="17.25" hidden="false" customHeight="true" outlineLevel="0" collapsed="false">
      <c r="B33" s="15" t="s">
        <v>2496</v>
      </c>
      <c r="C33" s="15" t="s">
        <v>13881</v>
      </c>
      <c r="D33" s="15" t="s">
        <v>13882</v>
      </c>
      <c r="E33" s="15" t="s">
        <v>13883</v>
      </c>
      <c r="F33" s="15"/>
    </row>
    <row r="35" customFormat="false" ht="17.25" hidden="false" customHeight="true" outlineLevel="0" collapsed="false">
      <c r="B35" s="107" t="s">
        <v>13884</v>
      </c>
      <c r="C35" s="107"/>
      <c r="D35" s="107"/>
      <c r="E35" s="107"/>
    </row>
    <row r="36" customFormat="false" ht="16.5" hidden="false" customHeight="true" outlineLevel="0" collapsed="false">
      <c r="B36" s="152" t="s">
        <v>13885</v>
      </c>
      <c r="C36" s="152" t="s">
        <v>9658</v>
      </c>
      <c r="D36" s="152" t="s">
        <v>13886</v>
      </c>
    </row>
    <row r="37" customFormat="false" ht="30.75" hidden="false" customHeight="true" outlineLevel="0" collapsed="false">
      <c r="B37" s="15" t="s">
        <v>13887</v>
      </c>
      <c r="C37" s="15" t="s">
        <v>13888</v>
      </c>
      <c r="D37" s="15" t="s">
        <v>6644</v>
      </c>
    </row>
    <row r="38" customFormat="false" ht="44.25" hidden="false" customHeight="true" outlineLevel="0" collapsed="false">
      <c r="B38" s="15" t="s">
        <v>13889</v>
      </c>
      <c r="C38" s="15" t="s">
        <v>13890</v>
      </c>
      <c r="D38" s="15" t="s">
        <v>13891</v>
      </c>
    </row>
    <row r="39" customFormat="false" ht="30.75" hidden="false" customHeight="true" outlineLevel="0" collapsed="false">
      <c r="B39" s="15" t="s">
        <v>13892</v>
      </c>
      <c r="C39" s="15" t="s">
        <v>13893</v>
      </c>
      <c r="D39" s="15" t="s">
        <v>13894</v>
      </c>
    </row>
    <row r="40" customFormat="false" ht="30.75" hidden="false" customHeight="true" outlineLevel="0" collapsed="false">
      <c r="B40" s="15" t="s">
        <v>13895</v>
      </c>
      <c r="C40" s="15" t="s">
        <v>13896</v>
      </c>
      <c r="D40" s="15" t="s">
        <v>13897</v>
      </c>
    </row>
    <row r="42" customFormat="false" ht="17.25" hidden="false" customHeight="true" outlineLevel="0" collapsed="false">
      <c r="B42" s="107" t="s">
        <v>13898</v>
      </c>
      <c r="C42" s="107"/>
      <c r="D42" s="107"/>
      <c r="E42" s="107"/>
    </row>
    <row r="43" customFormat="false" ht="16.5" hidden="false" customHeight="true" outlineLevel="0" collapsed="false">
      <c r="B43" s="152" t="s">
        <v>13899</v>
      </c>
      <c r="C43" s="152" t="s">
        <v>13900</v>
      </c>
      <c r="D43" s="152" t="s">
        <v>6655</v>
      </c>
    </row>
    <row r="44" customFormat="false" ht="16.5" hidden="false" customHeight="true" outlineLevel="0" collapsed="false">
      <c r="B44" s="15" t="s">
        <v>13901</v>
      </c>
      <c r="C44" s="15" t="s">
        <v>13902</v>
      </c>
      <c r="D44" s="15" t="s">
        <v>13903</v>
      </c>
    </row>
    <row r="45" customFormat="false" ht="16.5" hidden="false" customHeight="true" outlineLevel="0" collapsed="false">
      <c r="B45" s="15" t="s">
        <v>13904</v>
      </c>
      <c r="C45" s="15" t="s">
        <v>13905</v>
      </c>
      <c r="D45" s="15" t="s">
        <v>13906</v>
      </c>
    </row>
    <row r="46" customFormat="false" ht="16.5" hidden="false" customHeight="true" outlineLevel="0" collapsed="false">
      <c r="B46" s="15" t="s">
        <v>13907</v>
      </c>
      <c r="C46" s="15" t="s">
        <v>13908</v>
      </c>
      <c r="D46" s="15" t="s">
        <v>13909</v>
      </c>
    </row>
    <row r="47" customFormat="false" ht="16.5" hidden="false" customHeight="true" outlineLevel="0" collapsed="false">
      <c r="B47" s="15" t="s">
        <v>13910</v>
      </c>
      <c r="C47" s="15" t="s">
        <v>13911</v>
      </c>
      <c r="D47" s="15" t="s">
        <v>13909</v>
      </c>
    </row>
    <row r="48" customFormat="false" ht="16.5" hidden="false" customHeight="true" outlineLevel="0" collapsed="false">
      <c r="B48" s="15" t="s">
        <v>13912</v>
      </c>
      <c r="C48" s="15" t="s">
        <v>13913</v>
      </c>
      <c r="D48" s="15" t="s">
        <v>13914</v>
      </c>
    </row>
    <row r="49" customFormat="false" ht="16.5" hidden="false" customHeight="true" outlineLevel="0" collapsed="false">
      <c r="B49" s="15" t="s">
        <v>13915</v>
      </c>
      <c r="C49" s="15" t="s">
        <v>13916</v>
      </c>
      <c r="D49" s="15" t="s">
        <v>13917</v>
      </c>
    </row>
    <row r="51" customFormat="false" ht="17.25" hidden="false" customHeight="true" outlineLevel="0" collapsed="false">
      <c r="B51" s="107" t="s">
        <v>13918</v>
      </c>
      <c r="C51" s="107"/>
      <c r="D51" s="107"/>
      <c r="E51" s="107"/>
    </row>
    <row r="52" customFormat="false" ht="16.5" hidden="false" customHeight="true" outlineLevel="0" collapsed="false">
      <c r="B52" s="152" t="s">
        <v>13919</v>
      </c>
      <c r="C52" s="152" t="s">
        <v>1439</v>
      </c>
      <c r="D52" s="152" t="s">
        <v>13920</v>
      </c>
      <c r="E52" s="152" t="s">
        <v>13921</v>
      </c>
    </row>
    <row r="53" customFormat="false" ht="44.25" hidden="false" customHeight="true" outlineLevel="0" collapsed="false">
      <c r="B53" s="15" t="s">
        <v>6644</v>
      </c>
      <c r="C53" s="15" t="s">
        <v>13922</v>
      </c>
      <c r="D53" s="15" t="s">
        <v>13923</v>
      </c>
      <c r="E53" s="15" t="s">
        <v>13924</v>
      </c>
    </row>
    <row r="54" customFormat="false" ht="30.75" hidden="false" customHeight="true" outlineLevel="0" collapsed="false">
      <c r="B54" s="15" t="s">
        <v>3677</v>
      </c>
      <c r="C54" s="15" t="s">
        <v>13925</v>
      </c>
      <c r="D54" s="15" t="s">
        <v>13926</v>
      </c>
      <c r="E54" s="15" t="s">
        <v>13927</v>
      </c>
    </row>
    <row r="55" customFormat="false" ht="30.75" hidden="false" customHeight="true" outlineLevel="0" collapsed="false">
      <c r="B55" s="15" t="s">
        <v>13928</v>
      </c>
      <c r="C55" s="15" t="s">
        <v>13929</v>
      </c>
      <c r="D55" s="15" t="s">
        <v>13930</v>
      </c>
      <c r="E55" s="15" t="s">
        <v>13931</v>
      </c>
    </row>
    <row r="56" customFormat="false" ht="16.5" hidden="false" customHeight="true" outlineLevel="0" collapsed="false">
      <c r="B56" s="15" t="s">
        <v>13932</v>
      </c>
      <c r="C56" s="15" t="s">
        <v>13933</v>
      </c>
      <c r="D56" s="15" t="s">
        <v>13934</v>
      </c>
      <c r="E56" s="15" t="s">
        <v>13935</v>
      </c>
    </row>
    <row r="57" customFormat="false" ht="16.5" hidden="false" customHeight="true" outlineLevel="0" collapsed="false">
      <c r="B57" s="15" t="s">
        <v>1839</v>
      </c>
      <c r="C57" s="15" t="s">
        <v>1840</v>
      </c>
      <c r="D57" s="15" t="s">
        <v>13936</v>
      </c>
      <c r="E57" s="15" t="s">
        <v>13866</v>
      </c>
    </row>
    <row r="58" customFormat="false" ht="16.5" hidden="false" customHeight="true" outlineLevel="0" collapsed="false">
      <c r="B58" s="15" t="s">
        <v>3248</v>
      </c>
      <c r="C58" s="15" t="s">
        <v>13937</v>
      </c>
      <c r="D58" s="15" t="s">
        <v>13938</v>
      </c>
      <c r="E58" s="15" t="s">
        <v>13939</v>
      </c>
    </row>
    <row r="59" customFormat="false" ht="16.5" hidden="false" customHeight="true" outlineLevel="0" collapsed="false">
      <c r="B59" s="15" t="s">
        <v>13940</v>
      </c>
      <c r="C59" s="15" t="s">
        <v>13941</v>
      </c>
      <c r="D59" s="15" t="s">
        <v>13942</v>
      </c>
      <c r="E59" s="15" t="s">
        <v>13943</v>
      </c>
    </row>
    <row r="60" customFormat="false" ht="16.5" hidden="false" customHeight="true" outlineLevel="0" collapsed="false">
      <c r="B60" s="15" t="s">
        <v>13944</v>
      </c>
      <c r="C60" s="15" t="s">
        <v>13945</v>
      </c>
      <c r="D60" s="15" t="s">
        <v>13946</v>
      </c>
      <c r="E60" s="15" t="s">
        <v>13947</v>
      </c>
    </row>
    <row r="61" customFormat="false" ht="16.5" hidden="false" customHeight="true" outlineLevel="0" collapsed="false">
      <c r="B61" s="15" t="s">
        <v>5065</v>
      </c>
      <c r="C61" s="15" t="s">
        <v>9746</v>
      </c>
      <c r="D61" s="15" t="s">
        <v>13948</v>
      </c>
      <c r="E61" s="15" t="s">
        <v>13949</v>
      </c>
    </row>
    <row r="62" customFormat="false" ht="16.5" hidden="false" customHeight="true" outlineLevel="0" collapsed="false">
      <c r="B62" s="15" t="s">
        <v>1671</v>
      </c>
      <c r="C62" s="15" t="s">
        <v>13950</v>
      </c>
      <c r="D62" s="15" t="s">
        <v>13951</v>
      </c>
      <c r="E62" s="15" t="s">
        <v>13952</v>
      </c>
    </row>
    <row r="63" customFormat="false" ht="16.5" hidden="false" customHeight="true" outlineLevel="0" collapsed="false">
      <c r="B63" s="15" t="s">
        <v>13953</v>
      </c>
      <c r="C63" s="15" t="s">
        <v>13954</v>
      </c>
      <c r="D63" s="15" t="s">
        <v>13955</v>
      </c>
      <c r="E63" s="15" t="s">
        <v>13939</v>
      </c>
    </row>
    <row r="64" customFormat="false" ht="30.75" hidden="false" customHeight="true" outlineLevel="0" collapsed="false">
      <c r="B64" s="15" t="s">
        <v>6880</v>
      </c>
      <c r="C64" s="15" t="s">
        <v>6881</v>
      </c>
      <c r="D64" s="15" t="s">
        <v>13956</v>
      </c>
      <c r="E64" s="15" t="s">
        <v>567</v>
      </c>
    </row>
    <row r="66" customFormat="false" ht="17.25" hidden="false" customHeight="true" outlineLevel="0" collapsed="false">
      <c r="B66" s="107" t="s">
        <v>13957</v>
      </c>
      <c r="C66" s="107"/>
      <c r="D66" s="107"/>
      <c r="E66" s="107"/>
    </row>
    <row r="67" customFormat="false" ht="17.25" hidden="false" customHeight="true" outlineLevel="0" collapsed="false">
      <c r="B67" s="152" t="s">
        <v>13919</v>
      </c>
      <c r="C67" s="152" t="s">
        <v>13958</v>
      </c>
      <c r="D67" s="152" t="s">
        <v>6690</v>
      </c>
      <c r="E67" s="152" t="s">
        <v>13959</v>
      </c>
      <c r="F67" s="152"/>
    </row>
    <row r="68" customFormat="false" ht="17.25" hidden="false" customHeight="true" outlineLevel="0" collapsed="false">
      <c r="B68" s="15" t="s">
        <v>13960</v>
      </c>
      <c r="C68" s="15" t="s">
        <v>6909</v>
      </c>
      <c r="D68" s="156" t="n">
        <v>2.5</v>
      </c>
      <c r="E68" s="15" t="s">
        <v>13961</v>
      </c>
      <c r="F68" s="15"/>
    </row>
    <row r="69" customFormat="false" ht="17.25" hidden="false" customHeight="true" outlineLevel="0" collapsed="false">
      <c r="B69" s="15" t="s">
        <v>1834</v>
      </c>
      <c r="C69" s="15" t="s">
        <v>13962</v>
      </c>
      <c r="D69" s="205" t="n">
        <f aca="false">NORMSDIST(D68)</f>
        <v>0.993790334674224</v>
      </c>
      <c r="E69" s="15" t="s">
        <v>13963</v>
      </c>
      <c r="F69" s="15"/>
    </row>
    <row r="70" customFormat="false" ht="17.25" hidden="false" customHeight="true" outlineLevel="0" collapsed="false">
      <c r="B70" s="15" t="s">
        <v>1574</v>
      </c>
      <c r="C70" s="15" t="s">
        <v>13964</v>
      </c>
      <c r="D70" s="204" t="n">
        <f aca="false">NORMSINV(0.975)</f>
        <v>1.95996398454005</v>
      </c>
      <c r="E70" s="15" t="s">
        <v>13965</v>
      </c>
      <c r="F70" s="15"/>
    </row>
    <row r="71" customFormat="false" ht="17.25" hidden="false" customHeight="true" outlineLevel="0" collapsed="false">
      <c r="B71" s="15" t="s">
        <v>13966</v>
      </c>
      <c r="C71" s="15" t="s">
        <v>13967</v>
      </c>
      <c r="D71" s="204" t="n">
        <f aca="false">TINV(0.05,20)</f>
        <v>2.08596344726586</v>
      </c>
      <c r="E71" s="15" t="s">
        <v>13968</v>
      </c>
      <c r="F71" s="15"/>
    </row>
    <row r="72" customFormat="false" ht="17.25" hidden="false" customHeight="true" outlineLevel="0" collapsed="false">
      <c r="B72" s="15" t="s">
        <v>2214</v>
      </c>
      <c r="C72" s="15" t="s">
        <v>13969</v>
      </c>
      <c r="D72" s="204" t="n">
        <f aca="false">CHIINV(0.05,10)</f>
        <v>18.3070380532752</v>
      </c>
      <c r="E72" s="15" t="s">
        <v>13970</v>
      </c>
      <c r="F72" s="15"/>
    </row>
    <row r="73" customFormat="false" ht="17.25" hidden="false" customHeight="true" outlineLevel="0" collapsed="false">
      <c r="B73" s="15" t="s">
        <v>2220</v>
      </c>
      <c r="C73" s="15" t="s">
        <v>13971</v>
      </c>
      <c r="D73" s="204" t="n">
        <f aca="false">FINV(0.05,5,10)</f>
        <v>3.32583453041301</v>
      </c>
      <c r="E73" s="15" t="s">
        <v>13972</v>
      </c>
      <c r="F73" s="15"/>
    </row>
    <row r="74" customFormat="false" ht="30.75" hidden="false" customHeight="true" outlineLevel="0" collapsed="false">
      <c r="B74" s="15" t="s">
        <v>2310</v>
      </c>
      <c r="C74" s="15" t="s">
        <v>13973</v>
      </c>
      <c r="D74" s="204" t="n">
        <f aca="false">BINOMDIST(2,20,0.05,TRUE())</f>
        <v>0.924516326211503</v>
      </c>
      <c r="E74" s="15" t="s">
        <v>13974</v>
      </c>
      <c r="F74" s="15"/>
    </row>
    <row r="75" customFormat="false" ht="17.25" hidden="false" customHeight="true" outlineLevel="0" collapsed="false">
      <c r="B75" s="15" t="s">
        <v>2397</v>
      </c>
      <c r="C75" s="15" t="s">
        <v>13975</v>
      </c>
      <c r="D75" s="204" t="n">
        <f aca="false">POISSON(3,2.5,TRUE())</f>
        <v>0.757576133133066</v>
      </c>
      <c r="E75" s="15" t="s">
        <v>13976</v>
      </c>
      <c r="F75" s="15"/>
    </row>
    <row r="76" customFormat="false" ht="30.75" hidden="false" customHeight="true" outlineLevel="0" collapsed="false">
      <c r="B76" s="15" t="s">
        <v>13977</v>
      </c>
      <c r="C76" s="15" t="s">
        <v>13978</v>
      </c>
      <c r="D76" s="167" t="str">
        <f aca="false">IF(D68&gt;=3,"high",IF(D68&gt;=2,"mid","low"))</f>
        <v>mid</v>
      </c>
      <c r="E76" s="15" t="s">
        <v>13979</v>
      </c>
      <c r="F76" s="15"/>
    </row>
    <row r="77" customFormat="false" ht="17.25" hidden="false" customHeight="true" outlineLevel="0" collapsed="false">
      <c r="B77" s="15" t="s">
        <v>13980</v>
      </c>
      <c r="C77" s="15" t="s">
        <v>13981</v>
      </c>
      <c r="D77" s="167" t="str">
        <f aca="false">"z = "&amp;TEXT(D68,"0.00")&amp;", tail = "&amp;TEXT(1-NORMSDIST(D68),"0.0000")</f>
        <v>z = 2.50, tail = 0.0062</v>
      </c>
      <c r="E77" s="15" t="s">
        <v>13982</v>
      </c>
      <c r="F77" s="15"/>
    </row>
    <row r="79" customFormat="false" ht="15.75" hidden="false" customHeight="true" outlineLevel="0" collapsed="false">
      <c r="B79" s="103" t="s">
        <v>13754</v>
      </c>
      <c r="C79" s="8"/>
      <c r="D79" s="8"/>
      <c r="E79" s="8"/>
      <c r="F79" s="8"/>
      <c r="G79" s="8"/>
      <c r="H79" s="8"/>
      <c r="I79" s="8"/>
      <c r="J79" s="8"/>
      <c r="K79" s="8"/>
    </row>
    <row r="80" customFormat="false" ht="16.5" hidden="false" customHeight="true" outlineLevel="0" collapsed="false">
      <c r="B80" s="152" t="s">
        <v>1523</v>
      </c>
      <c r="C80" s="152" t="s">
        <v>1524</v>
      </c>
      <c r="D80" s="152" t="s">
        <v>6719</v>
      </c>
    </row>
    <row r="81" customFormat="false" ht="16.5" hidden="false" customHeight="true" outlineLevel="0" collapsed="false">
      <c r="B81" s="170" t="s">
        <v>13983</v>
      </c>
      <c r="C81" s="170" t="s">
        <v>13984</v>
      </c>
      <c r="D81" s="170" t="s">
        <v>13985</v>
      </c>
    </row>
  </sheetData>
  <mergeCells count="39">
    <mergeCell ref="B2:J2"/>
    <mergeCell ref="D3:E3"/>
    <mergeCell ref="B6:E7"/>
    <mergeCell ref="B8:E10"/>
    <mergeCell ref="B11:E12"/>
    <mergeCell ref="B14:E14"/>
    <mergeCell ref="B15:E15"/>
    <mergeCell ref="B17:E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B35:E35"/>
    <mergeCell ref="B42:E42"/>
    <mergeCell ref="B51:E51"/>
    <mergeCell ref="B66:E66"/>
    <mergeCell ref="E67:F67"/>
    <mergeCell ref="E68:F68"/>
    <mergeCell ref="E69:F69"/>
    <mergeCell ref="E70:F70"/>
    <mergeCell ref="E71:F71"/>
    <mergeCell ref="E72:F72"/>
    <mergeCell ref="E73:F73"/>
    <mergeCell ref="E74:F74"/>
    <mergeCell ref="E75:F75"/>
    <mergeCell ref="E76:F76"/>
    <mergeCell ref="E77:F77"/>
  </mergeCells>
  <hyperlinks>
    <hyperlink ref="B3" location="'N-03 Index DMAIC'!A1" display="← Back to Index"/>
    <hyperlink ref="B81" location="'U-04 Formula Sheet'!A1" display="U-04  Master Formula Sheet"/>
    <hyperlink ref="C81" location="'U-01 Statistical Tables'!A1" display="U-01  Statistical Tables"/>
    <hyperlink ref="D81" location="'N-02 How To Use'!A1" display="N-02  How To Use This Workboo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76"/>
    <col collapsed="false" customWidth="true" hidden="false" outlineLevel="0" max="4" min="4" style="1" width="58"/>
    <col collapsed="false" customWidth="true" hidden="false" outlineLevel="0" max="5" min="5" style="1" width="22"/>
    <col collapsed="false" customWidth="true" hidden="false" outlineLevel="0" max="10" min="6"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13986</v>
      </c>
      <c r="C2" s="148"/>
      <c r="D2" s="148"/>
      <c r="E2" s="148"/>
      <c r="F2" s="148"/>
      <c r="G2" s="148"/>
      <c r="H2" s="148"/>
      <c r="I2" s="148"/>
      <c r="J2" s="148"/>
      <c r="K2" s="202" t="s">
        <v>2</v>
      </c>
    </row>
    <row r="3" customFormat="false" ht="28.5" hidden="false" customHeight="true" outlineLevel="0" collapsed="false">
      <c r="B3" s="150" t="s">
        <v>3</v>
      </c>
      <c r="D3" s="151" t="s">
        <v>13987</v>
      </c>
      <c r="E3" s="151"/>
    </row>
    <row r="5" customFormat="false" ht="15.75" hidden="false" customHeight="true" outlineLevel="0" collapsed="false">
      <c r="B5" s="103" t="s">
        <v>5</v>
      </c>
      <c r="C5" s="8"/>
      <c r="D5" s="8"/>
      <c r="E5" s="8"/>
      <c r="F5" s="8"/>
      <c r="G5" s="8"/>
      <c r="H5" s="8"/>
      <c r="I5" s="8"/>
      <c r="J5" s="8"/>
      <c r="K5" s="8"/>
    </row>
    <row r="6" customFormat="false" ht="15" hidden="false" customHeight="true" outlineLevel="0" collapsed="false">
      <c r="B6" s="106" t="s">
        <v>13988</v>
      </c>
      <c r="C6" s="106"/>
    </row>
    <row r="7" customFormat="false" ht="15" hidden="false" customHeight="true" outlineLevel="0" collapsed="false">
      <c r="B7" s="106"/>
      <c r="C7" s="106"/>
    </row>
    <row r="8" customFormat="false" ht="15" hidden="false" customHeight="true" outlineLevel="0" collapsed="false">
      <c r="B8" s="106"/>
      <c r="C8" s="106"/>
    </row>
    <row r="9" customFormat="false" ht="15" hidden="false" customHeight="true" outlineLevel="0" collapsed="false">
      <c r="B9" s="106" t="s">
        <v>13989</v>
      </c>
      <c r="C9" s="106"/>
    </row>
    <row r="10" customFormat="false" ht="15" hidden="false" customHeight="true" outlineLevel="0" collapsed="false">
      <c r="B10" s="106"/>
      <c r="C10" s="106"/>
    </row>
    <row r="11" customFormat="false" ht="15" hidden="false" customHeight="true" outlineLevel="0" collapsed="false">
      <c r="B11" s="106"/>
      <c r="C11" s="106"/>
    </row>
    <row r="13" customFormat="false" ht="15" hidden="false" customHeight="true" outlineLevel="0" collapsed="false">
      <c r="B13" s="105" t="s">
        <v>13990</v>
      </c>
    </row>
    <row r="14" customFormat="false" ht="16.5" hidden="false" customHeight="true" outlineLevel="0" collapsed="false">
      <c r="B14" s="152" t="s">
        <v>3526</v>
      </c>
      <c r="C14" s="152" t="s">
        <v>7506</v>
      </c>
      <c r="D14" s="152" t="s">
        <v>13991</v>
      </c>
      <c r="E14" s="152" t="s">
        <v>961</v>
      </c>
    </row>
    <row r="15" customFormat="false" ht="16.5" hidden="false" customHeight="true" outlineLevel="0" collapsed="false">
      <c r="B15" s="15" t="s">
        <v>2085</v>
      </c>
      <c r="C15" s="15" t="s">
        <v>13992</v>
      </c>
      <c r="D15" s="15" t="s">
        <v>13993</v>
      </c>
      <c r="E15" s="153" t="s">
        <v>233</v>
      </c>
    </row>
    <row r="16" customFormat="false" ht="16.5" hidden="false" customHeight="true" outlineLevel="0" collapsed="false">
      <c r="B16" s="15" t="s">
        <v>10873</v>
      </c>
      <c r="C16" s="15" t="s">
        <v>13994</v>
      </c>
      <c r="D16" s="15" t="s">
        <v>13995</v>
      </c>
      <c r="E16" s="153" t="s">
        <v>370</v>
      </c>
    </row>
    <row r="17" customFormat="false" ht="16.5" hidden="false" customHeight="true" outlineLevel="0" collapsed="false">
      <c r="B17" s="15" t="s">
        <v>13996</v>
      </c>
      <c r="C17" s="15" t="s">
        <v>13997</v>
      </c>
      <c r="D17" s="15" t="s">
        <v>13998</v>
      </c>
      <c r="E17" s="153" t="s">
        <v>233</v>
      </c>
    </row>
    <row r="18" customFormat="false" ht="16.5" hidden="false" customHeight="true" outlineLevel="0" collapsed="false">
      <c r="B18" s="15" t="s">
        <v>13999</v>
      </c>
      <c r="C18" s="15" t="s">
        <v>14000</v>
      </c>
      <c r="D18" s="15" t="s">
        <v>14001</v>
      </c>
      <c r="E18" s="153" t="s">
        <v>233</v>
      </c>
    </row>
    <row r="19" customFormat="false" ht="16.5" hidden="false" customHeight="true" outlineLevel="0" collapsed="false">
      <c r="B19" s="15" t="s">
        <v>6298</v>
      </c>
      <c r="C19" s="15" t="s">
        <v>14002</v>
      </c>
      <c r="D19" s="15" t="s">
        <v>14003</v>
      </c>
      <c r="E19" s="153" t="s">
        <v>653</v>
      </c>
    </row>
    <row r="20" customFormat="false" ht="16.5" hidden="false" customHeight="true" outlineLevel="0" collapsed="false">
      <c r="B20" s="15" t="s">
        <v>1693</v>
      </c>
      <c r="C20" s="15" t="s">
        <v>14004</v>
      </c>
      <c r="D20" s="15" t="s">
        <v>14005</v>
      </c>
      <c r="E20" s="153" t="s">
        <v>233</v>
      </c>
    </row>
    <row r="21" customFormat="false" ht="16.5" hidden="false" customHeight="true" outlineLevel="0" collapsed="false">
      <c r="B21" s="15" t="s">
        <v>14006</v>
      </c>
      <c r="C21" s="15" t="s">
        <v>14007</v>
      </c>
      <c r="D21" s="15" t="s">
        <v>14008</v>
      </c>
      <c r="E21" s="153" t="s">
        <v>286</v>
      </c>
    </row>
    <row r="22" customFormat="false" ht="16.5" hidden="false" customHeight="true" outlineLevel="0" collapsed="false">
      <c r="B22" s="15" t="s">
        <v>1776</v>
      </c>
      <c r="C22" s="15" t="s">
        <v>1760</v>
      </c>
      <c r="D22" s="15" t="s">
        <v>14009</v>
      </c>
      <c r="E22" s="153" t="s">
        <v>238</v>
      </c>
    </row>
    <row r="24" customFormat="false" ht="15" hidden="false" customHeight="true" outlineLevel="0" collapsed="false">
      <c r="B24" s="105" t="s">
        <v>11124</v>
      </c>
    </row>
    <row r="25" customFormat="false" ht="16.5" hidden="false" customHeight="true" outlineLevel="0" collapsed="false">
      <c r="B25" s="152" t="s">
        <v>3526</v>
      </c>
      <c r="C25" s="152" t="s">
        <v>7506</v>
      </c>
      <c r="D25" s="152" t="s">
        <v>13991</v>
      </c>
      <c r="E25" s="152" t="s">
        <v>961</v>
      </c>
    </row>
    <row r="26" customFormat="false" ht="16.5" hidden="false" customHeight="true" outlineLevel="0" collapsed="false">
      <c r="B26" s="15" t="s">
        <v>14010</v>
      </c>
      <c r="C26" s="15" t="s">
        <v>14011</v>
      </c>
      <c r="D26" s="15" t="s">
        <v>14012</v>
      </c>
      <c r="E26" s="153" t="s">
        <v>291</v>
      </c>
    </row>
    <row r="27" customFormat="false" ht="16.5" hidden="false" customHeight="true" outlineLevel="0" collapsed="false">
      <c r="B27" s="15" t="s">
        <v>14013</v>
      </c>
      <c r="C27" s="15" t="s">
        <v>14014</v>
      </c>
      <c r="D27" s="15" t="s">
        <v>14015</v>
      </c>
      <c r="E27" s="153" t="s">
        <v>291</v>
      </c>
    </row>
    <row r="28" customFormat="false" ht="16.5" hidden="false" customHeight="true" outlineLevel="0" collapsed="false">
      <c r="B28" s="15" t="s">
        <v>14016</v>
      </c>
      <c r="C28" s="15" t="s">
        <v>14017</v>
      </c>
      <c r="D28" s="15" t="s">
        <v>14018</v>
      </c>
      <c r="E28" s="153" t="s">
        <v>296</v>
      </c>
    </row>
    <row r="29" customFormat="false" ht="16.5" hidden="false" customHeight="true" outlineLevel="0" collapsed="false">
      <c r="B29" s="15" t="s">
        <v>1477</v>
      </c>
      <c r="C29" s="15" t="s">
        <v>14019</v>
      </c>
      <c r="D29" s="15" t="s">
        <v>14020</v>
      </c>
      <c r="E29" s="153" t="s">
        <v>296</v>
      </c>
    </row>
    <row r="30" customFormat="false" ht="16.5" hidden="false" customHeight="true" outlineLevel="0" collapsed="false">
      <c r="B30" s="15" t="s">
        <v>14021</v>
      </c>
      <c r="C30" s="15" t="s">
        <v>14022</v>
      </c>
      <c r="D30" s="15" t="s">
        <v>3541</v>
      </c>
      <c r="E30" s="153" t="s">
        <v>407</v>
      </c>
    </row>
    <row r="32" customFormat="false" ht="15" hidden="false" customHeight="true" outlineLevel="0" collapsed="false">
      <c r="B32" s="105" t="s">
        <v>14023</v>
      </c>
    </row>
    <row r="33" customFormat="false" ht="16.5" hidden="false" customHeight="true" outlineLevel="0" collapsed="false">
      <c r="B33" s="152" t="s">
        <v>3526</v>
      </c>
      <c r="C33" s="152" t="s">
        <v>7506</v>
      </c>
      <c r="D33" s="152" t="s">
        <v>13991</v>
      </c>
      <c r="E33" s="152" t="s">
        <v>961</v>
      </c>
    </row>
    <row r="34" customFormat="false" ht="16.5" hidden="false" customHeight="true" outlineLevel="0" collapsed="false">
      <c r="B34" s="15" t="s">
        <v>14024</v>
      </c>
      <c r="C34" s="15" t="s">
        <v>14025</v>
      </c>
      <c r="D34" s="15" t="s">
        <v>14026</v>
      </c>
      <c r="E34" s="153" t="s">
        <v>402</v>
      </c>
    </row>
    <row r="35" customFormat="false" ht="16.5" hidden="false" customHeight="true" outlineLevel="0" collapsed="false">
      <c r="B35" s="15" t="s">
        <v>14027</v>
      </c>
      <c r="C35" s="15" t="s">
        <v>14028</v>
      </c>
      <c r="D35" s="15" t="s">
        <v>14029</v>
      </c>
      <c r="E35" s="153" t="s">
        <v>407</v>
      </c>
    </row>
    <row r="36" customFormat="false" ht="16.5" hidden="false" customHeight="true" outlineLevel="0" collapsed="false">
      <c r="B36" s="15" t="s">
        <v>14030</v>
      </c>
      <c r="C36" s="15" t="s">
        <v>14031</v>
      </c>
      <c r="D36" s="15" t="s">
        <v>14032</v>
      </c>
      <c r="E36" s="153" t="s">
        <v>407</v>
      </c>
    </row>
    <row r="37" customFormat="false" ht="16.5" hidden="false" customHeight="true" outlineLevel="0" collapsed="false">
      <c r="B37" s="15" t="s">
        <v>14033</v>
      </c>
      <c r="C37" s="15" t="s">
        <v>14034</v>
      </c>
      <c r="D37" s="15" t="s">
        <v>14035</v>
      </c>
      <c r="E37" s="153" t="s">
        <v>412</v>
      </c>
    </row>
    <row r="38" customFormat="false" ht="16.5" hidden="false" customHeight="true" outlineLevel="0" collapsed="false">
      <c r="B38" s="15" t="s">
        <v>14036</v>
      </c>
      <c r="C38" s="15" t="s">
        <v>14037</v>
      </c>
      <c r="D38" s="15" t="s">
        <v>14038</v>
      </c>
      <c r="E38" s="153" t="s">
        <v>417</v>
      </c>
    </row>
    <row r="39" customFormat="false" ht="16.5" hidden="false" customHeight="true" outlineLevel="0" collapsed="false">
      <c r="B39" s="15" t="s">
        <v>3538</v>
      </c>
      <c r="C39" s="15" t="s">
        <v>14039</v>
      </c>
      <c r="D39" s="15" t="s">
        <v>14040</v>
      </c>
      <c r="E39" s="153" t="s">
        <v>427</v>
      </c>
    </row>
    <row r="40" customFormat="false" ht="16.5" hidden="false" customHeight="true" outlineLevel="0" collapsed="false">
      <c r="B40" s="15" t="s">
        <v>14041</v>
      </c>
      <c r="C40" s="15" t="s">
        <v>14042</v>
      </c>
      <c r="D40" s="15" t="s">
        <v>14043</v>
      </c>
      <c r="E40" s="153" t="s">
        <v>432</v>
      </c>
    </row>
    <row r="41" customFormat="false" ht="16.5" hidden="false" customHeight="true" outlineLevel="0" collapsed="false">
      <c r="B41" s="15" t="s">
        <v>2254</v>
      </c>
      <c r="C41" s="15" t="s">
        <v>14044</v>
      </c>
      <c r="D41" s="15" t="s">
        <v>14045</v>
      </c>
      <c r="E41" s="153" t="s">
        <v>437</v>
      </c>
    </row>
    <row r="43" customFormat="false" ht="15" hidden="false" customHeight="true" outlineLevel="0" collapsed="false">
      <c r="B43" s="105" t="s">
        <v>1784</v>
      </c>
    </row>
    <row r="44" customFormat="false" ht="16.5" hidden="false" customHeight="true" outlineLevel="0" collapsed="false">
      <c r="B44" s="152" t="s">
        <v>3526</v>
      </c>
      <c r="C44" s="152" t="s">
        <v>7506</v>
      </c>
      <c r="D44" s="152" t="s">
        <v>13991</v>
      </c>
      <c r="E44" s="152" t="s">
        <v>961</v>
      </c>
    </row>
    <row r="45" customFormat="false" ht="16.5" hidden="false" customHeight="true" outlineLevel="0" collapsed="false">
      <c r="B45" s="15" t="s">
        <v>14046</v>
      </c>
      <c r="C45" s="15" t="s">
        <v>14047</v>
      </c>
      <c r="D45" s="15" t="s">
        <v>14048</v>
      </c>
      <c r="E45" s="153" t="s">
        <v>301</v>
      </c>
    </row>
    <row r="46" customFormat="false" ht="16.5" hidden="false" customHeight="true" outlineLevel="0" collapsed="false">
      <c r="B46" s="15" t="s">
        <v>14049</v>
      </c>
      <c r="C46" s="15" t="s">
        <v>14050</v>
      </c>
      <c r="D46" s="15" t="s">
        <v>14051</v>
      </c>
      <c r="E46" s="153" t="s">
        <v>301</v>
      </c>
    </row>
    <row r="47" customFormat="false" ht="16.5" hidden="false" customHeight="true" outlineLevel="0" collapsed="false">
      <c r="B47" s="15" t="s">
        <v>14016</v>
      </c>
      <c r="C47" s="15" t="s">
        <v>14052</v>
      </c>
      <c r="D47" s="15" t="s">
        <v>14053</v>
      </c>
      <c r="E47" s="153" t="s">
        <v>301</v>
      </c>
    </row>
    <row r="48" customFormat="false" ht="16.5" hidden="false" customHeight="true" outlineLevel="0" collapsed="false">
      <c r="B48" s="15" t="s">
        <v>9906</v>
      </c>
      <c r="C48" s="15" t="s">
        <v>14054</v>
      </c>
      <c r="D48" s="15" t="s">
        <v>3280</v>
      </c>
      <c r="E48" s="153" t="s">
        <v>627</v>
      </c>
    </row>
    <row r="50" customFormat="false" ht="15" hidden="false" customHeight="true" outlineLevel="0" collapsed="false">
      <c r="B50" s="105" t="s">
        <v>14055</v>
      </c>
    </row>
    <row r="51" customFormat="false" ht="16.5" hidden="false" customHeight="true" outlineLevel="0" collapsed="false">
      <c r="B51" s="152" t="s">
        <v>3526</v>
      </c>
      <c r="C51" s="152" t="s">
        <v>7506</v>
      </c>
      <c r="D51" s="152" t="s">
        <v>13991</v>
      </c>
      <c r="E51" s="152" t="s">
        <v>961</v>
      </c>
    </row>
    <row r="52" customFormat="false" ht="16.5" hidden="false" customHeight="true" outlineLevel="0" collapsed="false">
      <c r="B52" s="15" t="s">
        <v>14056</v>
      </c>
      <c r="C52" s="15" t="s">
        <v>13791</v>
      </c>
      <c r="D52" s="15" t="s">
        <v>14057</v>
      </c>
      <c r="E52" s="153" t="s">
        <v>653</v>
      </c>
    </row>
    <row r="53" customFormat="false" ht="16.5" hidden="false" customHeight="true" outlineLevel="0" collapsed="false">
      <c r="B53" s="15" t="s">
        <v>14058</v>
      </c>
      <c r="C53" s="15" t="s">
        <v>14059</v>
      </c>
      <c r="D53" s="15"/>
      <c r="E53" s="153" t="s">
        <v>653</v>
      </c>
    </row>
    <row r="54" customFormat="false" ht="16.5" hidden="false" customHeight="true" outlineLevel="0" collapsed="false">
      <c r="B54" s="15" t="s">
        <v>14060</v>
      </c>
      <c r="C54" s="15" t="s">
        <v>13794</v>
      </c>
      <c r="D54" s="15" t="s">
        <v>14061</v>
      </c>
      <c r="E54" s="153" t="s">
        <v>658</v>
      </c>
    </row>
    <row r="55" customFormat="false" ht="16.5" hidden="false" customHeight="true" outlineLevel="0" collapsed="false">
      <c r="B55" s="15" t="s">
        <v>14062</v>
      </c>
      <c r="C55" s="15" t="s">
        <v>14063</v>
      </c>
      <c r="D55" s="15"/>
      <c r="E55" s="153" t="s">
        <v>658</v>
      </c>
    </row>
    <row r="56" customFormat="false" ht="16.5" hidden="false" customHeight="true" outlineLevel="0" collapsed="false">
      <c r="B56" s="15" t="s">
        <v>14064</v>
      </c>
      <c r="C56" s="15" t="s">
        <v>14065</v>
      </c>
      <c r="D56" s="15" t="s">
        <v>14066</v>
      </c>
      <c r="E56" s="153" t="s">
        <v>648</v>
      </c>
    </row>
    <row r="57" customFormat="false" ht="16.5" hidden="false" customHeight="true" outlineLevel="0" collapsed="false">
      <c r="B57" s="15" t="s">
        <v>5736</v>
      </c>
      <c r="C57" s="15" t="s">
        <v>14067</v>
      </c>
      <c r="D57" s="15" t="s">
        <v>14068</v>
      </c>
      <c r="E57" s="153" t="s">
        <v>663</v>
      </c>
    </row>
    <row r="58" customFormat="false" ht="16.5" hidden="false" customHeight="true" outlineLevel="0" collapsed="false">
      <c r="B58" s="15" t="s">
        <v>5738</v>
      </c>
      <c r="C58" s="15" t="s">
        <v>14069</v>
      </c>
      <c r="D58" s="15" t="s">
        <v>14070</v>
      </c>
      <c r="E58" s="153" t="s">
        <v>668</v>
      </c>
    </row>
    <row r="59" customFormat="false" ht="16.5" hidden="false" customHeight="true" outlineLevel="0" collapsed="false">
      <c r="B59" s="15" t="s">
        <v>5741</v>
      </c>
      <c r="C59" s="15" t="s">
        <v>14071</v>
      </c>
      <c r="D59" s="15" t="s">
        <v>14072</v>
      </c>
      <c r="E59" s="153" t="s">
        <v>668</v>
      </c>
    </row>
    <row r="60" customFormat="false" ht="16.5" hidden="false" customHeight="true" outlineLevel="0" collapsed="false">
      <c r="B60" s="15" t="s">
        <v>14073</v>
      </c>
      <c r="C60" s="15" t="s">
        <v>13779</v>
      </c>
      <c r="D60" s="15" t="s">
        <v>14074</v>
      </c>
      <c r="E60" s="153" t="s">
        <v>780</v>
      </c>
    </row>
    <row r="61" customFormat="false" ht="16.5" hidden="false" customHeight="true" outlineLevel="0" collapsed="false">
      <c r="B61" s="15" t="s">
        <v>14075</v>
      </c>
      <c r="C61" s="15" t="s">
        <v>13785</v>
      </c>
      <c r="D61" s="15" t="s">
        <v>14074</v>
      </c>
      <c r="E61" s="153" t="s">
        <v>780</v>
      </c>
    </row>
    <row r="63" customFormat="false" ht="15" hidden="false" customHeight="true" outlineLevel="0" collapsed="false">
      <c r="B63" s="105" t="s">
        <v>14076</v>
      </c>
    </row>
    <row r="64" customFormat="false" ht="16.5" hidden="false" customHeight="true" outlineLevel="0" collapsed="false">
      <c r="B64" s="152" t="s">
        <v>3526</v>
      </c>
      <c r="C64" s="152" t="s">
        <v>7506</v>
      </c>
      <c r="D64" s="152" t="s">
        <v>13991</v>
      </c>
      <c r="E64" s="152" t="s">
        <v>961</v>
      </c>
    </row>
    <row r="65" customFormat="false" ht="16.5" hidden="false" customHeight="true" outlineLevel="0" collapsed="false">
      <c r="B65" s="15" t="s">
        <v>14077</v>
      </c>
      <c r="C65" s="15" t="s">
        <v>14078</v>
      </c>
      <c r="D65" s="15" t="s">
        <v>14079</v>
      </c>
      <c r="E65" s="153" t="s">
        <v>306</v>
      </c>
    </row>
    <row r="66" customFormat="false" ht="16.5" hidden="false" customHeight="true" outlineLevel="0" collapsed="false">
      <c r="B66" s="15" t="s">
        <v>6318</v>
      </c>
      <c r="C66" s="15" t="s">
        <v>14080</v>
      </c>
      <c r="D66" s="15" t="s">
        <v>14081</v>
      </c>
      <c r="E66" s="153" t="s">
        <v>306</v>
      </c>
    </row>
    <row r="67" customFormat="false" ht="16.5" hidden="false" customHeight="true" outlineLevel="0" collapsed="false">
      <c r="B67" s="15" t="s">
        <v>14082</v>
      </c>
      <c r="C67" s="15" t="s">
        <v>14083</v>
      </c>
      <c r="D67" s="15" t="s">
        <v>14084</v>
      </c>
      <c r="E67" s="153" t="s">
        <v>306</v>
      </c>
    </row>
    <row r="68" customFormat="false" ht="16.5" hidden="false" customHeight="true" outlineLevel="0" collapsed="false">
      <c r="B68" s="15" t="s">
        <v>14085</v>
      </c>
      <c r="C68" s="15" t="s">
        <v>14086</v>
      </c>
      <c r="D68" s="15" t="s">
        <v>14087</v>
      </c>
      <c r="E68" s="153" t="s">
        <v>306</v>
      </c>
    </row>
    <row r="69" customFormat="false" ht="16.5" hidden="false" customHeight="true" outlineLevel="0" collapsed="false">
      <c r="B69" s="15" t="s">
        <v>6396</v>
      </c>
      <c r="C69" s="15" t="s">
        <v>14088</v>
      </c>
      <c r="D69" s="15" t="s">
        <v>14089</v>
      </c>
      <c r="E69" s="153" t="s">
        <v>306</v>
      </c>
    </row>
    <row r="70" customFormat="false" ht="16.5" hidden="false" customHeight="true" outlineLevel="0" collapsed="false">
      <c r="B70" s="15" t="s">
        <v>6395</v>
      </c>
      <c r="C70" s="15" t="s">
        <v>14090</v>
      </c>
      <c r="D70" s="15" t="s">
        <v>14091</v>
      </c>
      <c r="E70" s="153" t="s">
        <v>306</v>
      </c>
    </row>
    <row r="71" customFormat="false" ht="16.5" hidden="false" customHeight="true" outlineLevel="0" collapsed="false">
      <c r="B71" s="15" t="s">
        <v>14092</v>
      </c>
      <c r="C71" s="15" t="s">
        <v>14093</v>
      </c>
      <c r="D71" s="15" t="s">
        <v>14094</v>
      </c>
      <c r="E71" s="153" t="s">
        <v>306</v>
      </c>
    </row>
    <row r="72" customFormat="false" ht="16.5" hidden="false" customHeight="true" outlineLevel="0" collapsed="false">
      <c r="B72" s="15" t="s">
        <v>14095</v>
      </c>
      <c r="C72" s="15" t="s">
        <v>14096</v>
      </c>
      <c r="D72" s="15" t="s">
        <v>14097</v>
      </c>
      <c r="E72" s="153" t="s">
        <v>392</v>
      </c>
    </row>
    <row r="74" customFormat="false" ht="15" hidden="false" customHeight="true" outlineLevel="0" collapsed="false">
      <c r="B74" s="105" t="s">
        <v>12660</v>
      </c>
    </row>
    <row r="75" customFormat="false" ht="16.5" hidden="false" customHeight="true" outlineLevel="0" collapsed="false">
      <c r="B75" s="152" t="s">
        <v>3526</v>
      </c>
      <c r="C75" s="152" t="s">
        <v>7506</v>
      </c>
      <c r="D75" s="152" t="s">
        <v>13991</v>
      </c>
      <c r="E75" s="152" t="s">
        <v>961</v>
      </c>
    </row>
    <row r="76" customFormat="false" ht="16.5" hidden="false" customHeight="true" outlineLevel="0" collapsed="false">
      <c r="B76" s="15" t="s">
        <v>6475</v>
      </c>
      <c r="C76" s="15" t="s">
        <v>14098</v>
      </c>
      <c r="D76" s="15" t="s">
        <v>14099</v>
      </c>
      <c r="E76" s="153" t="s">
        <v>316</v>
      </c>
    </row>
    <row r="77" customFormat="false" ht="16.5" hidden="false" customHeight="true" outlineLevel="0" collapsed="false">
      <c r="B77" s="15" t="s">
        <v>14100</v>
      </c>
      <c r="C77" s="15" t="s">
        <v>14101</v>
      </c>
      <c r="D77" s="15" t="s">
        <v>14102</v>
      </c>
      <c r="E77" s="153" t="s">
        <v>316</v>
      </c>
    </row>
    <row r="78" customFormat="false" ht="16.5" hidden="false" customHeight="true" outlineLevel="0" collapsed="false">
      <c r="B78" s="15" t="s">
        <v>14103</v>
      </c>
      <c r="C78" s="15" t="s">
        <v>14104</v>
      </c>
      <c r="D78" s="15" t="s">
        <v>14105</v>
      </c>
      <c r="E78" s="153" t="s">
        <v>316</v>
      </c>
    </row>
    <row r="79" customFormat="false" ht="16.5" hidden="false" customHeight="true" outlineLevel="0" collapsed="false">
      <c r="B79" s="15" t="s">
        <v>14106</v>
      </c>
      <c r="C79" s="15" t="s">
        <v>14107</v>
      </c>
      <c r="D79" s="15" t="s">
        <v>14108</v>
      </c>
      <c r="E79" s="153" t="s">
        <v>316</v>
      </c>
    </row>
    <row r="80" customFormat="false" ht="16.5" hidden="false" customHeight="true" outlineLevel="0" collapsed="false">
      <c r="B80" s="15" t="s">
        <v>6470</v>
      </c>
      <c r="C80" s="15" t="s">
        <v>14109</v>
      </c>
      <c r="D80" s="15" t="s">
        <v>14110</v>
      </c>
      <c r="E80" s="153" t="s">
        <v>316</v>
      </c>
    </row>
    <row r="81" customFormat="false" ht="16.5" hidden="false" customHeight="true" outlineLevel="0" collapsed="false">
      <c r="B81" s="15" t="s">
        <v>6481</v>
      </c>
      <c r="C81" s="15" t="s">
        <v>14111</v>
      </c>
      <c r="D81" s="15" t="s">
        <v>14112</v>
      </c>
      <c r="E81" s="153" t="s">
        <v>316</v>
      </c>
    </row>
    <row r="82" customFormat="false" ht="16.5" hidden="false" customHeight="true" outlineLevel="0" collapsed="false">
      <c r="B82" s="15" t="s">
        <v>14113</v>
      </c>
      <c r="C82" s="15" t="s">
        <v>14114</v>
      </c>
      <c r="D82" s="15" t="s">
        <v>14115</v>
      </c>
      <c r="E82" s="153" t="s">
        <v>321</v>
      </c>
    </row>
    <row r="84" customFormat="false" ht="15" hidden="false" customHeight="true" outlineLevel="0" collapsed="false">
      <c r="B84" s="105" t="s">
        <v>14116</v>
      </c>
    </row>
    <row r="85" customFormat="false" ht="16.5" hidden="false" customHeight="true" outlineLevel="0" collapsed="false">
      <c r="B85" s="152" t="s">
        <v>3526</v>
      </c>
      <c r="C85" s="152" t="s">
        <v>7506</v>
      </c>
      <c r="D85" s="152" t="s">
        <v>13991</v>
      </c>
      <c r="E85" s="152" t="s">
        <v>961</v>
      </c>
    </row>
    <row r="86" customFormat="false" ht="16.5" hidden="false" customHeight="true" outlineLevel="0" collapsed="false">
      <c r="B86" s="15" t="s">
        <v>6773</v>
      </c>
      <c r="C86" s="15" t="s">
        <v>14117</v>
      </c>
      <c r="D86" s="15" t="s">
        <v>14118</v>
      </c>
      <c r="E86" s="153" t="s">
        <v>341</v>
      </c>
    </row>
    <row r="87" customFormat="false" ht="16.5" hidden="false" customHeight="true" outlineLevel="0" collapsed="false">
      <c r="B87" s="15" t="s">
        <v>14119</v>
      </c>
      <c r="C87" s="15" t="s">
        <v>14120</v>
      </c>
      <c r="D87" s="15" t="s">
        <v>14121</v>
      </c>
      <c r="E87" s="153" t="s">
        <v>500</v>
      </c>
    </row>
    <row r="88" customFormat="false" ht="16.5" hidden="false" customHeight="true" outlineLevel="0" collapsed="false">
      <c r="B88" s="15" t="s">
        <v>14122</v>
      </c>
      <c r="C88" s="15" t="s">
        <v>14123</v>
      </c>
      <c r="D88" s="15" t="s">
        <v>14124</v>
      </c>
      <c r="E88" s="153" t="s">
        <v>341</v>
      </c>
    </row>
    <row r="89" customFormat="false" ht="16.5" hidden="false" customHeight="true" outlineLevel="0" collapsed="false">
      <c r="B89" s="15" t="s">
        <v>7884</v>
      </c>
      <c r="C89" s="15" t="s">
        <v>7885</v>
      </c>
      <c r="D89" s="15" t="s">
        <v>14125</v>
      </c>
      <c r="E89" s="153" t="s">
        <v>346</v>
      </c>
    </row>
    <row r="90" customFormat="false" ht="16.5" hidden="false" customHeight="true" outlineLevel="0" collapsed="false">
      <c r="B90" s="15" t="s">
        <v>7865</v>
      </c>
      <c r="C90" s="15" t="s">
        <v>14126</v>
      </c>
      <c r="D90" s="15" t="s">
        <v>14127</v>
      </c>
      <c r="E90" s="153" t="s">
        <v>346</v>
      </c>
    </row>
    <row r="91" customFormat="false" ht="16.5" hidden="false" customHeight="true" outlineLevel="0" collapsed="false">
      <c r="B91" s="15" t="s">
        <v>7868</v>
      </c>
      <c r="C91" s="15" t="s">
        <v>14128</v>
      </c>
      <c r="D91" s="15" t="s">
        <v>14129</v>
      </c>
      <c r="E91" s="153" t="s">
        <v>346</v>
      </c>
    </row>
    <row r="92" customFormat="false" ht="16.5" hidden="false" customHeight="true" outlineLevel="0" collapsed="false">
      <c r="B92" s="15" t="s">
        <v>7029</v>
      </c>
      <c r="C92" s="15" t="s">
        <v>14130</v>
      </c>
      <c r="D92" s="15" t="s">
        <v>14131</v>
      </c>
      <c r="E92" s="153" t="s">
        <v>346</v>
      </c>
    </row>
    <row r="93" customFormat="false" ht="16.5" hidden="false" customHeight="true" outlineLevel="0" collapsed="false">
      <c r="B93" s="15" t="s">
        <v>7887</v>
      </c>
      <c r="C93" s="15" t="s">
        <v>7888</v>
      </c>
      <c r="D93" s="15" t="s">
        <v>14132</v>
      </c>
      <c r="E93" s="153" t="s">
        <v>346</v>
      </c>
    </row>
    <row r="94" customFormat="false" ht="16.5" hidden="false" customHeight="true" outlineLevel="0" collapsed="false">
      <c r="B94" s="15" t="s">
        <v>7312</v>
      </c>
      <c r="C94" s="15" t="s">
        <v>14133</v>
      </c>
      <c r="D94" s="15" t="s">
        <v>14134</v>
      </c>
      <c r="E94" s="153" t="s">
        <v>495</v>
      </c>
    </row>
    <row r="95" customFormat="false" ht="16.5" hidden="false" customHeight="true" outlineLevel="0" collapsed="false">
      <c r="B95" s="15" t="s">
        <v>7760</v>
      </c>
      <c r="C95" s="15" t="s">
        <v>14135</v>
      </c>
      <c r="D95" s="15" t="s">
        <v>14136</v>
      </c>
      <c r="E95" s="153" t="s">
        <v>572</v>
      </c>
    </row>
    <row r="96" customFormat="false" ht="16.5" hidden="false" customHeight="true" outlineLevel="0" collapsed="false">
      <c r="B96" s="15" t="s">
        <v>14137</v>
      </c>
      <c r="C96" s="15" t="s">
        <v>14138</v>
      </c>
      <c r="D96" s="15" t="s">
        <v>14139</v>
      </c>
      <c r="E96" s="153" t="s">
        <v>597</v>
      </c>
    </row>
    <row r="97" customFormat="false" ht="16.5" hidden="false" customHeight="true" outlineLevel="0" collapsed="false">
      <c r="B97" s="15" t="s">
        <v>9126</v>
      </c>
      <c r="C97" s="15" t="s">
        <v>14140</v>
      </c>
      <c r="D97" s="15" t="s">
        <v>14141</v>
      </c>
      <c r="E97" s="153" t="s">
        <v>602</v>
      </c>
    </row>
    <row r="98" customFormat="false" ht="16.5" hidden="false" customHeight="true" outlineLevel="0" collapsed="false">
      <c r="B98" s="15" t="s">
        <v>8612</v>
      </c>
      <c r="C98" s="15" t="s">
        <v>14142</v>
      </c>
      <c r="D98" s="15" t="s">
        <v>14143</v>
      </c>
      <c r="E98" s="153" t="s">
        <v>587</v>
      </c>
    </row>
    <row r="99" customFormat="false" ht="16.5" hidden="false" customHeight="true" outlineLevel="0" collapsed="false">
      <c r="B99" s="15" t="s">
        <v>8615</v>
      </c>
      <c r="C99" s="15" t="s">
        <v>14144</v>
      </c>
      <c r="D99" s="15" t="s">
        <v>14145</v>
      </c>
      <c r="E99" s="153" t="s">
        <v>587</v>
      </c>
    </row>
    <row r="100" customFormat="false" ht="16.5" hidden="false" customHeight="true" outlineLevel="0" collapsed="false">
      <c r="B100" s="15" t="s">
        <v>8556</v>
      </c>
      <c r="C100" s="15" t="s">
        <v>8557</v>
      </c>
      <c r="D100" s="15" t="s">
        <v>14146</v>
      </c>
      <c r="E100" s="153" t="s">
        <v>587</v>
      </c>
    </row>
    <row r="102" customFormat="false" ht="15" hidden="false" customHeight="true" outlineLevel="0" collapsed="false">
      <c r="B102" s="105" t="s">
        <v>14147</v>
      </c>
    </row>
    <row r="103" customFormat="false" ht="16.5" hidden="false" customHeight="true" outlineLevel="0" collapsed="false">
      <c r="B103" s="152" t="s">
        <v>3526</v>
      </c>
      <c r="C103" s="152" t="s">
        <v>7506</v>
      </c>
      <c r="D103" s="152" t="s">
        <v>13991</v>
      </c>
      <c r="E103" s="152" t="s">
        <v>961</v>
      </c>
    </row>
    <row r="104" customFormat="false" ht="16.5" hidden="false" customHeight="true" outlineLevel="0" collapsed="false">
      <c r="B104" s="15" t="s">
        <v>13231</v>
      </c>
      <c r="C104" s="15" t="s">
        <v>14148</v>
      </c>
      <c r="D104" s="15" t="s">
        <v>14149</v>
      </c>
      <c r="E104" s="153" t="s">
        <v>770</v>
      </c>
    </row>
    <row r="105" customFormat="false" ht="16.5" hidden="false" customHeight="true" outlineLevel="0" collapsed="false">
      <c r="B105" s="15" t="s">
        <v>14150</v>
      </c>
      <c r="C105" s="15" t="s">
        <v>14151</v>
      </c>
      <c r="D105" s="15" t="s">
        <v>14152</v>
      </c>
      <c r="E105" s="153" t="s">
        <v>770</v>
      </c>
    </row>
    <row r="106" customFormat="false" ht="16.5" hidden="false" customHeight="true" outlineLevel="0" collapsed="false">
      <c r="B106" s="15" t="s">
        <v>14153</v>
      </c>
      <c r="C106" s="15" t="s">
        <v>14154</v>
      </c>
      <c r="D106" s="15" t="s">
        <v>14155</v>
      </c>
      <c r="E106" s="153" t="s">
        <v>770</v>
      </c>
    </row>
    <row r="107" customFormat="false" ht="16.5" hidden="false" customHeight="true" outlineLevel="0" collapsed="false">
      <c r="B107" s="15" t="s">
        <v>14156</v>
      </c>
      <c r="C107" s="15" t="s">
        <v>14157</v>
      </c>
      <c r="D107" s="15" t="s">
        <v>14158</v>
      </c>
      <c r="E107" s="153" t="s">
        <v>770</v>
      </c>
    </row>
    <row r="108" customFormat="false" ht="16.5" hidden="false" customHeight="true" outlineLevel="0" collapsed="false">
      <c r="B108" s="15" t="s">
        <v>14159</v>
      </c>
      <c r="C108" s="15" t="s">
        <v>14160</v>
      </c>
      <c r="D108" s="15" t="s">
        <v>14161</v>
      </c>
      <c r="E108" s="153" t="s">
        <v>201</v>
      </c>
    </row>
    <row r="109" customFormat="false" ht="16.5" hidden="false" customHeight="true" outlineLevel="0" collapsed="false">
      <c r="B109" s="15" t="s">
        <v>14162</v>
      </c>
      <c r="C109" s="15" t="s">
        <v>14163</v>
      </c>
      <c r="D109" s="15" t="s">
        <v>14164</v>
      </c>
      <c r="E109" s="153" t="s">
        <v>201</v>
      </c>
    </row>
    <row r="110" customFormat="false" ht="16.5" hidden="false" customHeight="true" outlineLevel="0" collapsed="false">
      <c r="B110" s="15" t="s">
        <v>10045</v>
      </c>
      <c r="C110" s="15" t="s">
        <v>14165</v>
      </c>
      <c r="D110" s="15" t="s">
        <v>14166</v>
      </c>
      <c r="E110" s="153" t="s">
        <v>201</v>
      </c>
    </row>
    <row r="111" customFormat="false" ht="16.5" hidden="false" customHeight="true" outlineLevel="0" collapsed="false">
      <c r="B111" s="15" t="s">
        <v>14167</v>
      </c>
      <c r="C111" s="15" t="s">
        <v>14168</v>
      </c>
      <c r="D111" s="15" t="s">
        <v>14169</v>
      </c>
      <c r="E111" s="153" t="s">
        <v>201</v>
      </c>
    </row>
    <row r="112" customFormat="false" ht="16.5" hidden="false" customHeight="true" outlineLevel="0" collapsed="false">
      <c r="B112" s="15" t="s">
        <v>13142</v>
      </c>
      <c r="C112" s="15" t="s">
        <v>14170</v>
      </c>
      <c r="D112" s="15" t="s">
        <v>14171</v>
      </c>
      <c r="E112" s="153" t="s">
        <v>765</v>
      </c>
    </row>
    <row r="115" customFormat="false" ht="15.75" hidden="false" customHeight="true" outlineLevel="0" collapsed="false">
      <c r="B115" s="103" t="s">
        <v>13754</v>
      </c>
      <c r="C115" s="8"/>
      <c r="D115" s="8"/>
      <c r="E115" s="8"/>
      <c r="F115" s="8"/>
      <c r="G115" s="8"/>
      <c r="H115" s="8"/>
      <c r="I115" s="8"/>
      <c r="J115" s="8"/>
      <c r="K115" s="8"/>
    </row>
    <row r="116" customFormat="false" ht="16.5" hidden="false" customHeight="true" outlineLevel="0" collapsed="false">
      <c r="B116" s="152" t="s">
        <v>1523</v>
      </c>
      <c r="C116" s="152" t="s">
        <v>1524</v>
      </c>
      <c r="D116" s="152" t="s">
        <v>6719</v>
      </c>
    </row>
    <row r="117" customFormat="false" ht="16.5" hidden="false" customHeight="true" outlineLevel="0" collapsed="false">
      <c r="B117" s="170" t="s">
        <v>13984</v>
      </c>
      <c r="C117" s="170" t="s">
        <v>13756</v>
      </c>
      <c r="D117" s="170" t="s">
        <v>14172</v>
      </c>
    </row>
  </sheetData>
  <mergeCells count="4">
    <mergeCell ref="B2:J2"/>
    <mergeCell ref="D3:E3"/>
    <mergeCell ref="B6:C8"/>
    <mergeCell ref="B9:C11"/>
  </mergeCells>
  <hyperlinks>
    <hyperlink ref="B3" location="'N-03 Index DMAIC'!A1" display="← Back to Index"/>
    <hyperlink ref="E15" location="'E-03 Descriptive Stats'!A1" display="E-03"/>
    <hyperlink ref="E16" location="'H-08 Run Chart'!A1" display="H-08"/>
    <hyperlink ref="E17" location="'E-03 Descriptive Stats'!A1" display="E-03"/>
    <hyperlink ref="E18" location="'E-03 Descriptive Stats'!A1" display="E-03"/>
    <hyperlink ref="E19" location="'E-50 Xbar-R Chart'!A1" display="E-50"/>
    <hyperlink ref="E20" location="'E-03 Descriptive Stats'!A1" display="E-03"/>
    <hyperlink ref="E21" location="'E-14 Standard Error'!A1" display="E-14"/>
    <hyperlink ref="E22" location="'E-04 Skewness Kurtosis'!A1" display="E-04"/>
    <hyperlink ref="E26" location="'E-15 CI Mean'!A1" display="E-15"/>
    <hyperlink ref="E27" location="'E-15 CI Mean'!A1" display="E-15"/>
    <hyperlink ref="E28" location="'E-16 CI Proportion StdDev'!A1" display="E-16"/>
    <hyperlink ref="E29" location="'E-16 CI Proportion StdDev'!A1" display="E-16"/>
    <hyperlink ref="E30" location="'E-24 2-Sample t-Test'!A1" display="E-24"/>
    <hyperlink ref="E34" location="'E-23 1-Sample t-Test'!A1" display="E-23"/>
    <hyperlink ref="E35" location="'E-24 2-Sample t-Test'!A1" display="E-24"/>
    <hyperlink ref="E36" location="'E-24 2-Sample t-Test'!A1" display="E-24"/>
    <hyperlink ref="E37" location="'E-25 Paired t-Test'!A1" display="E-25"/>
    <hyperlink ref="E38" location="'E-26 One-Way ANOVA'!A1" display="E-26"/>
    <hyperlink ref="E39" location="'E-28 Variance Tests'!A1" display="E-28"/>
    <hyperlink ref="E40" location="'E-29 Proportion Tests'!A1" display="E-29"/>
    <hyperlink ref="E41" location="'E-30 Chi-Square Tests'!A1" display="E-30"/>
    <hyperlink ref="E45" location="'E-20 Sample Size'!A1" display="E-20"/>
    <hyperlink ref="E46" location="'E-20 Sample Size'!A1" display="E-20"/>
    <hyperlink ref="E47" location="'E-20 Sample Size'!A1" display="E-20"/>
    <hyperlink ref="E48" location="'L-26 Pilot and Confirmation'!A1" display="L-26"/>
    <hyperlink ref="E52" location="'E-50 Xbar-R Chart'!A1" display="E-50"/>
    <hyperlink ref="E53" location="'E-50 Xbar-R Chart'!A1" display="E-50"/>
    <hyperlink ref="E54" location="'E-51 Xbar-S Chart'!A1" display="E-51"/>
    <hyperlink ref="E55" location="'E-51 Xbar-S Chart'!A1" display="E-51"/>
    <hyperlink ref="E56" location="'E-49 I-MR Chart'!A1" display="E-49"/>
    <hyperlink ref="E57" location="'E-52 p and np Charts'!A1" display="E-52"/>
    <hyperlink ref="E58" location="'E-53 c and u Charts'!A1" display="E-53"/>
    <hyperlink ref="E59" location="'E-53 c and u Charts'!A1" display="E-53"/>
    <hyperlink ref="E60" location="'U-02 Chart Constants'!A1" display="U-02"/>
    <hyperlink ref="E61" location="'U-02 Chart Constants'!A1" display="U-02"/>
    <hyperlink ref="E65" location="'E-57 Process Capability'!A1" display="E-57"/>
    <hyperlink ref="E66" location="'E-57 Process Capability'!A1" display="E-57"/>
    <hyperlink ref="E67" location="'E-57 Process Capability'!A1" display="E-57"/>
    <hyperlink ref="E68" location="'E-57 Process Capability'!A1" display="E-57"/>
    <hyperlink ref="E69" location="'E-57 Process Capability'!A1" display="E-57"/>
    <hyperlink ref="E70" location="'E-57 Process Capability'!A1" display="E-57"/>
    <hyperlink ref="E71" location="'E-57 Process Capability'!A1" display="E-57"/>
    <hyperlink ref="E72" location="'E-21 Statistical vs Practical'!A1" display="E-21"/>
    <hyperlink ref="E76" location="'E-59 Gage R and R'!A1" display="E-59"/>
    <hyperlink ref="E77" location="'E-59 Gage R and R'!A1" display="E-59"/>
    <hyperlink ref="E78" location="'E-59 Gage R and R'!A1" display="E-59"/>
    <hyperlink ref="E79" location="'E-59 Gage R and R'!A1" display="E-59"/>
    <hyperlink ref="E80" location="'E-59 Gage R and R'!A1" display="E-59"/>
    <hyperlink ref="E81" location="'E-59 Gage R and R'!A1" display="E-59"/>
    <hyperlink ref="E82" location="'E-60 MSA Bias Linearity'!A1" display="E-60"/>
    <hyperlink ref="E86" location="'L-07 Takt Cycle Lead Time'!A1" display="L-07"/>
    <hyperlink ref="E87" location="'L-08 Littles Law and WIP'!A1" display="L-08"/>
    <hyperlink ref="E88" location="'L-07 Takt Cycle Lead Time'!A1" display="L-07"/>
    <hyperlink ref="E89" location="'L-11 OEE'!A1" display="L-11"/>
    <hyperlink ref="E90" location="'L-11 OEE'!A1" display="L-11"/>
    <hyperlink ref="E91" location="'L-11 OEE'!A1" display="L-11"/>
    <hyperlink ref="E92" location="'L-11 OEE'!A1" display="L-11"/>
    <hyperlink ref="E93" location="'L-11 OEE'!A1" display="L-11"/>
    <hyperlink ref="E94" location="'L-06 Value Added Analysis'!A1" display="L-06"/>
    <hyperlink ref="E95" location="'L-10 Line Balancing'!A1" display="L-10"/>
    <hyperlink ref="E96" location="'L-19 Kanban Pull Systems'!A1" display="L-19"/>
    <hyperlink ref="E97" location="'L-20 Heijunka'!A1" display="L-20"/>
    <hyperlink ref="E98" location="'L-16 TPM'!A1" display="L-16"/>
    <hyperlink ref="E99" location="'L-16 TPM'!A1" display="L-16"/>
    <hyperlink ref="E100" location="'L-16 TPM'!A1" display="L-16"/>
    <hyperlink ref="E104" location="'G-08 Schedule and CPM'!A1" display="G-08"/>
    <hyperlink ref="E105" location="'G-08 Schedule and CPM'!A1" display="G-08"/>
    <hyperlink ref="E106" location="'G-08 Schedule and CPM'!A1" display="G-08"/>
    <hyperlink ref="E107" location="'G-08 Schedule and CPM'!A1" display="G-08"/>
    <hyperlink ref="E108" location="'G-02 Business Case COPQ'!A1" display="G-02"/>
    <hyperlink ref="E109" location="'G-02 Business Case COPQ'!A1" display="G-02"/>
    <hyperlink ref="E110" location="'G-02 Business Case COPQ'!A1" display="G-02"/>
    <hyperlink ref="E111" location="'G-02 Business Case COPQ'!A1" display="G-02"/>
    <hyperlink ref="E112" location="'G-07 Risk Register'!A1" display="G-07"/>
    <hyperlink ref="B117" location="'U-01 Statistical Tables'!A1" display="U-01  Statistical Tables"/>
    <hyperlink ref="C117" location="'U-03 Excel Function Guide'!A1" display="U-03  Excel Function Guide"/>
    <hyperlink ref="D117" location="'U-05 Glossary EN-ES'!A1" display="U-05  Glossary EN-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3" min="2" style="1" width="34"/>
    <col collapsed="false" customWidth="true" hidden="false" outlineLevel="0" max="4" min="4" style="1" width="40"/>
    <col collapsed="false" customWidth="true" hidden="false" outlineLevel="0" max="5" min="5" style="1" width="82"/>
    <col collapsed="false" customWidth="true" hidden="false" outlineLevel="0" max="6" min="6" style="1" width="30"/>
    <col collapsed="false" customWidth="true" hidden="false" outlineLevel="0" max="10" min="7"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14173</v>
      </c>
      <c r="C2" s="148"/>
      <c r="D2" s="148"/>
      <c r="E2" s="148"/>
      <c r="F2" s="148"/>
      <c r="G2" s="148"/>
      <c r="H2" s="148"/>
      <c r="I2" s="148"/>
      <c r="J2" s="148"/>
      <c r="K2" s="202" t="s">
        <v>2</v>
      </c>
    </row>
    <row r="3" customFormat="false" ht="15.75" hidden="false" customHeight="true" outlineLevel="0" collapsed="false">
      <c r="B3" s="150" t="s">
        <v>3</v>
      </c>
      <c r="D3" s="151" t="s">
        <v>14174</v>
      </c>
      <c r="E3" s="151"/>
    </row>
    <row r="5" customFormat="false" ht="15.75" hidden="false" customHeight="true" outlineLevel="0" collapsed="false">
      <c r="B5" s="103" t="s">
        <v>5</v>
      </c>
      <c r="C5" s="8"/>
      <c r="D5" s="8"/>
      <c r="E5" s="8"/>
      <c r="F5" s="8"/>
      <c r="G5" s="8"/>
      <c r="H5" s="8"/>
      <c r="I5" s="8"/>
      <c r="J5" s="8"/>
      <c r="K5" s="8"/>
    </row>
    <row r="6" customFormat="false" ht="15.75" hidden="false" customHeight="true" outlineLevel="0" collapsed="false">
      <c r="B6" s="106" t="s">
        <v>14175</v>
      </c>
      <c r="C6" s="106"/>
      <c r="D6" s="106"/>
    </row>
    <row r="7" customFormat="false" ht="15.75" hidden="false" customHeight="true" outlineLevel="0" collapsed="false">
      <c r="B7" s="106"/>
      <c r="C7" s="106"/>
      <c r="D7" s="106"/>
    </row>
    <row r="8" customFormat="false" ht="15" hidden="false" customHeight="true" outlineLevel="0" collapsed="false">
      <c r="B8" s="106" t="s">
        <v>14176</v>
      </c>
      <c r="C8" s="106"/>
      <c r="D8" s="106"/>
    </row>
    <row r="9" customFormat="false" ht="15" hidden="false" customHeight="true" outlineLevel="0" collapsed="false">
      <c r="B9" s="106"/>
      <c r="C9" s="106"/>
      <c r="D9" s="106"/>
    </row>
    <row r="10" customFormat="false" ht="15" hidden="false" customHeight="true" outlineLevel="0" collapsed="false">
      <c r="B10" s="106"/>
      <c r="C10" s="106"/>
      <c r="D10" s="106"/>
    </row>
    <row r="11" customFormat="false" ht="15" hidden="false" customHeight="true" outlineLevel="0" collapsed="false">
      <c r="B11" s="106"/>
      <c r="C11" s="106"/>
      <c r="D11" s="106"/>
    </row>
    <row r="12" customFormat="false" ht="22.5" hidden="false" customHeight="true" outlineLevel="0" collapsed="false">
      <c r="B12" s="106" t="s">
        <v>14177</v>
      </c>
      <c r="C12" s="106"/>
      <c r="D12" s="106"/>
    </row>
    <row r="13" customFormat="false" ht="22.5" hidden="false" customHeight="true" outlineLevel="0" collapsed="false">
      <c r="B13" s="106"/>
      <c r="C13" s="106"/>
      <c r="D13" s="106"/>
    </row>
    <row r="14" customFormat="false" ht="15.75" hidden="false" customHeight="true" outlineLevel="0" collapsed="false">
      <c r="B14" s="106" t="s">
        <v>14178</v>
      </c>
      <c r="C14" s="106"/>
      <c r="D14" s="106"/>
    </row>
    <row r="15" customFormat="false" ht="15.75" hidden="false" customHeight="true" outlineLevel="0" collapsed="false">
      <c r="B15" s="106"/>
      <c r="C15" s="106"/>
      <c r="D15" s="106"/>
    </row>
    <row r="17" customFormat="false" ht="17.25" hidden="false" customHeight="true" outlineLevel="0" collapsed="false">
      <c r="B17" s="107" t="s">
        <v>14179</v>
      </c>
      <c r="C17" s="107"/>
      <c r="D17" s="107"/>
    </row>
    <row r="18" customFormat="false" ht="42" hidden="false" customHeight="true" outlineLevel="0" collapsed="false">
      <c r="B18" s="182" t="s">
        <v>14180</v>
      </c>
      <c r="C18" s="182"/>
      <c r="D18" s="182"/>
    </row>
    <row r="20" customFormat="false" ht="16.5" hidden="false" customHeight="true" outlineLevel="0" collapsed="false">
      <c r="B20" s="152" t="s">
        <v>6912</v>
      </c>
      <c r="C20" s="152" t="s">
        <v>14181</v>
      </c>
      <c r="D20" s="152" t="s">
        <v>14182</v>
      </c>
      <c r="E20" s="152" t="s">
        <v>14183</v>
      </c>
      <c r="F20" s="152" t="s">
        <v>1419</v>
      </c>
    </row>
    <row r="21" customFormat="false" ht="16.5" hidden="false" customHeight="true" outlineLevel="0" collapsed="false">
      <c r="B21" s="15" t="n">
        <v>1</v>
      </c>
      <c r="C21" s="15" t="s">
        <v>521</v>
      </c>
      <c r="D21" s="15" t="s">
        <v>14184</v>
      </c>
      <c r="E21" s="15" t="s">
        <v>14185</v>
      </c>
      <c r="F21" s="153" t="s">
        <v>14186</v>
      </c>
    </row>
    <row r="22" customFormat="false" ht="30.75" hidden="false" customHeight="true" outlineLevel="0" collapsed="false">
      <c r="B22" s="15" t="n">
        <v>2</v>
      </c>
      <c r="C22" s="15" t="s">
        <v>14187</v>
      </c>
      <c r="D22" s="15" t="s">
        <v>14188</v>
      </c>
      <c r="E22" s="15" t="s">
        <v>14189</v>
      </c>
      <c r="F22" s="153" t="s">
        <v>14190</v>
      </c>
    </row>
    <row r="23" customFormat="false" ht="16.5" hidden="false" customHeight="true" outlineLevel="0" collapsed="false">
      <c r="B23" s="15" t="n">
        <v>3</v>
      </c>
      <c r="C23" s="15" t="s">
        <v>1363</v>
      </c>
      <c r="D23" s="15" t="s">
        <v>14191</v>
      </c>
      <c r="E23" s="15" t="s">
        <v>14192</v>
      </c>
      <c r="F23" s="153" t="s">
        <v>14193</v>
      </c>
    </row>
    <row r="24" customFormat="false" ht="16.5" hidden="false" customHeight="true" outlineLevel="0" collapsed="false">
      <c r="B24" s="15" t="n">
        <v>4</v>
      </c>
      <c r="C24" s="15" t="s">
        <v>1358</v>
      </c>
      <c r="D24" s="15" t="s">
        <v>1358</v>
      </c>
      <c r="E24" s="15" t="s">
        <v>14194</v>
      </c>
      <c r="F24" s="153" t="s">
        <v>14195</v>
      </c>
    </row>
    <row r="25" customFormat="false" ht="16.5" hidden="false" customHeight="true" outlineLevel="0" collapsed="false">
      <c r="B25" s="15" t="n">
        <v>5</v>
      </c>
      <c r="C25" s="15" t="s">
        <v>14196</v>
      </c>
      <c r="D25" s="15" t="s">
        <v>14197</v>
      </c>
      <c r="E25" s="15" t="s">
        <v>14198</v>
      </c>
      <c r="F25" s="153" t="s">
        <v>14199</v>
      </c>
    </row>
    <row r="26" customFormat="false" ht="30.75" hidden="false" customHeight="true" outlineLevel="0" collapsed="false">
      <c r="B26" s="15" t="n">
        <v>6</v>
      </c>
      <c r="C26" s="15" t="s">
        <v>14200</v>
      </c>
      <c r="D26" s="15" t="s">
        <v>14201</v>
      </c>
      <c r="E26" s="15" t="s">
        <v>14202</v>
      </c>
      <c r="F26" s="153" t="s">
        <v>14203</v>
      </c>
    </row>
    <row r="27" customFormat="false" ht="16.5" hidden="false" customHeight="true" outlineLevel="0" collapsed="false">
      <c r="B27" s="15" t="n">
        <v>7</v>
      </c>
      <c r="C27" s="15" t="s">
        <v>14204</v>
      </c>
      <c r="D27" s="15" t="s">
        <v>14204</v>
      </c>
      <c r="E27" s="15" t="s">
        <v>14205</v>
      </c>
      <c r="F27" s="153" t="s">
        <v>14206</v>
      </c>
    </row>
    <row r="28" customFormat="false" ht="30.75" hidden="false" customHeight="true" outlineLevel="0" collapsed="false">
      <c r="B28" s="15" t="n">
        <v>8</v>
      </c>
      <c r="C28" s="15" t="s">
        <v>14207</v>
      </c>
      <c r="D28" s="15" t="s">
        <v>14208</v>
      </c>
      <c r="E28" s="15" t="s">
        <v>14209</v>
      </c>
      <c r="F28" s="153" t="s">
        <v>14210</v>
      </c>
    </row>
    <row r="29" customFormat="false" ht="16.5" hidden="false" customHeight="true" outlineLevel="0" collapsed="false">
      <c r="B29" s="15" t="n">
        <v>9</v>
      </c>
      <c r="C29" s="15" t="s">
        <v>14211</v>
      </c>
      <c r="D29" s="15" t="s">
        <v>14212</v>
      </c>
      <c r="E29" s="15" t="s">
        <v>14213</v>
      </c>
      <c r="F29" s="153" t="s">
        <v>14214</v>
      </c>
    </row>
    <row r="30" customFormat="false" ht="30.75" hidden="false" customHeight="true" outlineLevel="0" collapsed="false">
      <c r="B30" s="15" t="n">
        <v>10</v>
      </c>
      <c r="C30" s="15" t="s">
        <v>14215</v>
      </c>
      <c r="D30" s="15" t="s">
        <v>14216</v>
      </c>
      <c r="E30" s="15" t="s">
        <v>14217</v>
      </c>
      <c r="F30" s="153" t="s">
        <v>14218</v>
      </c>
    </row>
    <row r="31" customFormat="false" ht="16.5" hidden="false" customHeight="true" outlineLevel="0" collapsed="false">
      <c r="B31" s="15" t="n">
        <v>11</v>
      </c>
      <c r="C31" s="15" t="s">
        <v>14219</v>
      </c>
      <c r="D31" s="15" t="s">
        <v>14219</v>
      </c>
      <c r="E31" s="15" t="s">
        <v>14220</v>
      </c>
      <c r="F31" s="153" t="s">
        <v>14221</v>
      </c>
    </row>
    <row r="32" customFormat="false" ht="16.5" hidden="false" customHeight="true" outlineLevel="0" collapsed="false">
      <c r="B32" s="15" t="n">
        <v>12</v>
      </c>
      <c r="C32" s="15" t="s">
        <v>14222</v>
      </c>
      <c r="D32" s="15" t="s">
        <v>14223</v>
      </c>
      <c r="E32" s="15" t="s">
        <v>14224</v>
      </c>
      <c r="F32" s="153" t="s">
        <v>2927</v>
      </c>
    </row>
    <row r="33" customFormat="false" ht="16.5" hidden="false" customHeight="true" outlineLevel="0" collapsed="false">
      <c r="B33" s="15" t="n">
        <v>13</v>
      </c>
      <c r="C33" s="15" t="s">
        <v>14225</v>
      </c>
      <c r="D33" s="15" t="s">
        <v>14226</v>
      </c>
      <c r="E33" s="15" t="s">
        <v>14227</v>
      </c>
      <c r="F33" s="153" t="s">
        <v>14228</v>
      </c>
    </row>
    <row r="34" customFormat="false" ht="30.75" hidden="false" customHeight="true" outlineLevel="0" collapsed="false">
      <c r="B34" s="15" t="n">
        <v>14</v>
      </c>
      <c r="C34" s="15" t="s">
        <v>14229</v>
      </c>
      <c r="D34" s="15" t="s">
        <v>14230</v>
      </c>
      <c r="E34" s="15" t="s">
        <v>14231</v>
      </c>
      <c r="F34" s="153" t="s">
        <v>14232</v>
      </c>
    </row>
    <row r="35" customFormat="false" ht="16.5" hidden="false" customHeight="true" outlineLevel="0" collapsed="false">
      <c r="B35" s="15" t="n">
        <v>15</v>
      </c>
      <c r="C35" s="15" t="s">
        <v>14233</v>
      </c>
      <c r="D35" s="15" t="s">
        <v>14234</v>
      </c>
      <c r="E35" s="15" t="s">
        <v>14235</v>
      </c>
      <c r="F35" s="153" t="s">
        <v>14236</v>
      </c>
    </row>
    <row r="36" customFormat="false" ht="30.75" hidden="false" customHeight="true" outlineLevel="0" collapsed="false">
      <c r="B36" s="15" t="n">
        <v>16</v>
      </c>
      <c r="C36" s="15" t="s">
        <v>8621</v>
      </c>
      <c r="D36" s="15" t="s">
        <v>14237</v>
      </c>
      <c r="E36" s="15" t="s">
        <v>14238</v>
      </c>
      <c r="F36" s="153" t="s">
        <v>14239</v>
      </c>
    </row>
    <row r="37" customFormat="false" ht="16.5" hidden="false" customHeight="true" outlineLevel="0" collapsed="false">
      <c r="B37" s="15" t="n">
        <v>17</v>
      </c>
      <c r="C37" s="15" t="s">
        <v>7865</v>
      </c>
      <c r="D37" s="15" t="s">
        <v>14240</v>
      </c>
      <c r="E37" s="15" t="s">
        <v>14241</v>
      </c>
      <c r="F37" s="153" t="s">
        <v>14242</v>
      </c>
    </row>
    <row r="38" customFormat="false" ht="16.5" hidden="false" customHeight="true" outlineLevel="0" collapsed="false">
      <c r="B38" s="15" t="n">
        <v>18</v>
      </c>
      <c r="C38" s="15" t="s">
        <v>14243</v>
      </c>
      <c r="D38" s="15" t="s">
        <v>14244</v>
      </c>
      <c r="E38" s="15" t="s">
        <v>14245</v>
      </c>
      <c r="F38" s="153" t="s">
        <v>14246</v>
      </c>
    </row>
    <row r="39" customFormat="false" ht="16.5" hidden="false" customHeight="true" outlineLevel="0" collapsed="false">
      <c r="B39" s="15" t="n">
        <v>19</v>
      </c>
      <c r="C39" s="15" t="s">
        <v>8042</v>
      </c>
      <c r="D39" s="15" t="s">
        <v>14247</v>
      </c>
      <c r="E39" s="15" t="s">
        <v>14248</v>
      </c>
      <c r="F39" s="153" t="s">
        <v>14249</v>
      </c>
    </row>
    <row r="40" customFormat="false" ht="16.5" hidden="false" customHeight="true" outlineLevel="0" collapsed="false">
      <c r="B40" s="15" t="n">
        <v>20</v>
      </c>
      <c r="C40" s="15" t="s">
        <v>14250</v>
      </c>
      <c r="D40" s="15" t="s">
        <v>14251</v>
      </c>
      <c r="E40" s="15" t="s">
        <v>14252</v>
      </c>
      <c r="F40" s="153" t="s">
        <v>14253</v>
      </c>
    </row>
    <row r="41" customFormat="false" ht="16.5" hidden="false" customHeight="true" outlineLevel="0" collapsed="false">
      <c r="B41" s="15" t="n">
        <v>21</v>
      </c>
      <c r="C41" s="15" t="s">
        <v>3095</v>
      </c>
      <c r="D41" s="15" t="s">
        <v>14254</v>
      </c>
      <c r="E41" s="15" t="s">
        <v>14255</v>
      </c>
      <c r="F41" s="153" t="s">
        <v>14214</v>
      </c>
    </row>
    <row r="42" customFormat="false" ht="16.5" hidden="false" customHeight="true" outlineLevel="0" collapsed="false">
      <c r="B42" s="15" t="n">
        <v>22</v>
      </c>
      <c r="C42" s="15" t="s">
        <v>6557</v>
      </c>
      <c r="D42" s="15" t="s">
        <v>14256</v>
      </c>
      <c r="E42" s="15" t="s">
        <v>14257</v>
      </c>
      <c r="F42" s="153" t="s">
        <v>14199</v>
      </c>
    </row>
    <row r="43" customFormat="false" ht="16.5" hidden="false" customHeight="true" outlineLevel="0" collapsed="false">
      <c r="B43" s="15" t="n">
        <v>23</v>
      </c>
      <c r="C43" s="15" t="s">
        <v>14258</v>
      </c>
      <c r="D43" s="15" t="s">
        <v>14258</v>
      </c>
      <c r="E43" s="15" t="s">
        <v>14259</v>
      </c>
      <c r="F43" s="153" t="s">
        <v>14260</v>
      </c>
    </row>
    <row r="44" customFormat="false" ht="30.75" hidden="false" customHeight="true" outlineLevel="0" collapsed="false">
      <c r="B44" s="15" t="n">
        <v>24</v>
      </c>
      <c r="C44" s="15" t="s">
        <v>14261</v>
      </c>
      <c r="D44" s="15" t="s">
        <v>14262</v>
      </c>
      <c r="E44" s="15" t="s">
        <v>14263</v>
      </c>
      <c r="F44" s="153" t="s">
        <v>14264</v>
      </c>
    </row>
    <row r="45" customFormat="false" ht="16.5" hidden="false" customHeight="true" outlineLevel="0" collapsed="false">
      <c r="B45" s="15" t="n">
        <v>25</v>
      </c>
      <c r="C45" s="15" t="s">
        <v>10001</v>
      </c>
      <c r="D45" s="15" t="s">
        <v>14265</v>
      </c>
      <c r="E45" s="15" t="s">
        <v>14266</v>
      </c>
      <c r="F45" s="153" t="s">
        <v>14267</v>
      </c>
    </row>
    <row r="46" customFormat="false" ht="16.5" hidden="false" customHeight="true" outlineLevel="0" collapsed="false">
      <c r="B46" s="15" t="n">
        <v>26</v>
      </c>
      <c r="C46" s="15" t="s">
        <v>14268</v>
      </c>
      <c r="D46" s="15" t="s">
        <v>14269</v>
      </c>
      <c r="E46" s="15" t="s">
        <v>14270</v>
      </c>
      <c r="F46" s="153" t="s">
        <v>14271</v>
      </c>
    </row>
    <row r="47" customFormat="false" ht="16.5" hidden="false" customHeight="true" outlineLevel="0" collapsed="false">
      <c r="B47" s="15" t="n">
        <v>27</v>
      </c>
      <c r="C47" s="15" t="s">
        <v>14272</v>
      </c>
      <c r="D47" s="15" t="s">
        <v>14273</v>
      </c>
      <c r="E47" s="15" t="s">
        <v>14274</v>
      </c>
      <c r="F47" s="153" t="s">
        <v>14275</v>
      </c>
    </row>
    <row r="48" customFormat="false" ht="16.5" hidden="false" customHeight="true" outlineLevel="0" collapsed="false">
      <c r="B48" s="15" t="n">
        <v>28</v>
      </c>
      <c r="C48" s="15" t="s">
        <v>14276</v>
      </c>
      <c r="D48" s="15" t="s">
        <v>14277</v>
      </c>
      <c r="E48" s="15" t="s">
        <v>14278</v>
      </c>
      <c r="F48" s="153" t="s">
        <v>14260</v>
      </c>
    </row>
    <row r="49" customFormat="false" ht="30.75" hidden="false" customHeight="true" outlineLevel="0" collapsed="false">
      <c r="B49" s="15" t="n">
        <v>29</v>
      </c>
      <c r="C49" s="15" t="s">
        <v>14279</v>
      </c>
      <c r="D49" s="15" t="s">
        <v>14280</v>
      </c>
      <c r="E49" s="15" t="s">
        <v>14281</v>
      </c>
      <c r="F49" s="153" t="s">
        <v>14282</v>
      </c>
    </row>
    <row r="50" customFormat="false" ht="16.5" hidden="false" customHeight="true" outlineLevel="0" collapsed="false">
      <c r="B50" s="15" t="n">
        <v>30</v>
      </c>
      <c r="C50" s="15" t="s">
        <v>14283</v>
      </c>
      <c r="D50" s="15" t="s">
        <v>14284</v>
      </c>
      <c r="E50" s="15" t="s">
        <v>14285</v>
      </c>
      <c r="F50" s="153" t="s">
        <v>14210</v>
      </c>
    </row>
    <row r="51" customFormat="false" ht="30.75" hidden="false" customHeight="true" outlineLevel="0" collapsed="false">
      <c r="B51" s="15" t="n">
        <v>31</v>
      </c>
      <c r="C51" s="15" t="s">
        <v>14286</v>
      </c>
      <c r="D51" s="15" t="s">
        <v>14286</v>
      </c>
      <c r="E51" s="15" t="s">
        <v>14287</v>
      </c>
      <c r="F51" s="153" t="s">
        <v>14210</v>
      </c>
    </row>
    <row r="52" customFormat="false" ht="16.5" hidden="false" customHeight="true" outlineLevel="0" collapsed="false">
      <c r="B52" s="15" t="n">
        <v>32</v>
      </c>
      <c r="C52" s="15" t="s">
        <v>5738</v>
      </c>
      <c r="D52" s="15" t="s">
        <v>14288</v>
      </c>
      <c r="E52" s="15" t="s">
        <v>14289</v>
      </c>
      <c r="F52" s="153" t="s">
        <v>5739</v>
      </c>
    </row>
    <row r="53" customFormat="false" ht="16.5" hidden="false" customHeight="true" outlineLevel="0" collapsed="false">
      <c r="B53" s="15" t="n">
        <v>33</v>
      </c>
      <c r="C53" s="15" t="s">
        <v>13766</v>
      </c>
      <c r="D53" s="15" t="s">
        <v>13766</v>
      </c>
      <c r="E53" s="15" t="s">
        <v>14290</v>
      </c>
      <c r="F53" s="153" t="s">
        <v>14291</v>
      </c>
    </row>
    <row r="54" customFormat="false" ht="16.5" hidden="false" customHeight="true" outlineLevel="0" collapsed="false">
      <c r="B54" s="15" t="n">
        <v>34</v>
      </c>
      <c r="C54" s="15" t="s">
        <v>14292</v>
      </c>
      <c r="D54" s="15" t="s">
        <v>14293</v>
      </c>
      <c r="E54" s="15" t="s">
        <v>14294</v>
      </c>
      <c r="F54" s="153" t="s">
        <v>14193</v>
      </c>
    </row>
    <row r="55" customFormat="false" ht="16.5" hidden="false" customHeight="true" outlineLevel="0" collapsed="false">
      <c r="B55" s="15" t="n">
        <v>35</v>
      </c>
      <c r="C55" s="15" t="s">
        <v>14076</v>
      </c>
      <c r="D55" s="15" t="s">
        <v>14295</v>
      </c>
      <c r="E55" s="15" t="s">
        <v>14296</v>
      </c>
      <c r="F55" s="153" t="s">
        <v>14297</v>
      </c>
    </row>
    <row r="56" customFormat="false" ht="30.75" hidden="false" customHeight="true" outlineLevel="0" collapsed="false">
      <c r="B56" s="15" t="n">
        <v>36</v>
      </c>
      <c r="C56" s="15" t="s">
        <v>14298</v>
      </c>
      <c r="D56" s="15" t="s">
        <v>14299</v>
      </c>
      <c r="E56" s="15" t="s">
        <v>14300</v>
      </c>
      <c r="F56" s="153" t="s">
        <v>14301</v>
      </c>
    </row>
    <row r="57" customFormat="false" ht="30.75" hidden="false" customHeight="true" outlineLevel="0" collapsed="false">
      <c r="B57" s="15" t="n">
        <v>37</v>
      </c>
      <c r="C57" s="15" t="s">
        <v>14302</v>
      </c>
      <c r="D57" s="15" t="s">
        <v>14303</v>
      </c>
      <c r="E57" s="15" t="s">
        <v>14304</v>
      </c>
      <c r="F57" s="153" t="s">
        <v>14305</v>
      </c>
    </row>
    <row r="58" customFormat="false" ht="16.5" hidden="false" customHeight="true" outlineLevel="0" collapsed="false">
      <c r="B58" s="15" t="n">
        <v>38</v>
      </c>
      <c r="C58" s="15" t="s">
        <v>14306</v>
      </c>
      <c r="D58" s="15" t="s">
        <v>14307</v>
      </c>
      <c r="E58" s="15" t="s">
        <v>14308</v>
      </c>
      <c r="F58" s="153" t="s">
        <v>5192</v>
      </c>
    </row>
    <row r="59" customFormat="false" ht="16.5" hidden="false" customHeight="true" outlineLevel="0" collapsed="false">
      <c r="B59" s="15" t="n">
        <v>39</v>
      </c>
      <c r="C59" s="15" t="s">
        <v>12264</v>
      </c>
      <c r="D59" s="15" t="s">
        <v>14309</v>
      </c>
      <c r="E59" s="15" t="s">
        <v>14310</v>
      </c>
      <c r="F59" s="153" t="s">
        <v>14249</v>
      </c>
    </row>
    <row r="60" customFormat="false" ht="16.5" hidden="false" customHeight="true" outlineLevel="0" collapsed="false">
      <c r="B60" s="15" t="n">
        <v>40</v>
      </c>
      <c r="C60" s="15" t="s">
        <v>8692</v>
      </c>
      <c r="D60" s="15" t="s">
        <v>14311</v>
      </c>
      <c r="E60" s="15" t="s">
        <v>14312</v>
      </c>
      <c r="F60" s="153" t="s">
        <v>14313</v>
      </c>
    </row>
    <row r="61" customFormat="false" ht="16.5" hidden="false" customHeight="true" outlineLevel="0" collapsed="false">
      <c r="B61" s="15" t="n">
        <v>41</v>
      </c>
      <c r="C61" s="15" t="s">
        <v>14314</v>
      </c>
      <c r="D61" s="15" t="s">
        <v>14315</v>
      </c>
      <c r="E61" s="15" t="s">
        <v>14316</v>
      </c>
      <c r="F61" s="153" t="s">
        <v>14249</v>
      </c>
    </row>
    <row r="62" customFormat="false" ht="16.5" hidden="false" customHeight="true" outlineLevel="0" collapsed="false">
      <c r="B62" s="15" t="n">
        <v>42</v>
      </c>
      <c r="C62" s="15" t="s">
        <v>14317</v>
      </c>
      <c r="D62" s="15" t="s">
        <v>14318</v>
      </c>
      <c r="E62" s="15" t="s">
        <v>14319</v>
      </c>
      <c r="F62" s="153" t="s">
        <v>14320</v>
      </c>
    </row>
    <row r="63" customFormat="false" ht="30.75" hidden="false" customHeight="true" outlineLevel="0" collapsed="false">
      <c r="B63" s="15" t="n">
        <v>43</v>
      </c>
      <c r="C63" s="15" t="s">
        <v>14321</v>
      </c>
      <c r="D63" s="15" t="s">
        <v>14322</v>
      </c>
      <c r="E63" s="15" t="s">
        <v>14323</v>
      </c>
      <c r="F63" s="153" t="s">
        <v>14324</v>
      </c>
    </row>
    <row r="64" customFormat="false" ht="16.5" hidden="false" customHeight="true" outlineLevel="0" collapsed="false">
      <c r="B64" s="15" t="n">
        <v>44</v>
      </c>
      <c r="C64" s="15" t="s">
        <v>14325</v>
      </c>
      <c r="D64" s="15" t="s">
        <v>14326</v>
      </c>
      <c r="E64" s="15" t="s">
        <v>14327</v>
      </c>
      <c r="F64" s="153" t="s">
        <v>14232</v>
      </c>
    </row>
    <row r="65" customFormat="false" ht="30.75" hidden="false" customHeight="true" outlineLevel="0" collapsed="false">
      <c r="B65" s="15" t="n">
        <v>45</v>
      </c>
      <c r="C65" s="15" t="s">
        <v>3446</v>
      </c>
      <c r="D65" s="15" t="s">
        <v>14328</v>
      </c>
      <c r="E65" s="15" t="s">
        <v>14329</v>
      </c>
      <c r="F65" s="153" t="s">
        <v>14330</v>
      </c>
    </row>
    <row r="66" customFormat="false" ht="16.5" hidden="false" customHeight="true" outlineLevel="0" collapsed="false">
      <c r="B66" s="15" t="n">
        <v>46</v>
      </c>
      <c r="C66" s="15" t="s">
        <v>14331</v>
      </c>
      <c r="D66" s="15" t="s">
        <v>14332</v>
      </c>
      <c r="E66" s="15" t="s">
        <v>14333</v>
      </c>
      <c r="F66" s="153" t="s">
        <v>5184</v>
      </c>
    </row>
    <row r="67" customFormat="false" ht="16.5" hidden="false" customHeight="true" outlineLevel="0" collapsed="false">
      <c r="B67" s="15" t="n">
        <v>47</v>
      </c>
      <c r="C67" s="15" t="s">
        <v>11397</v>
      </c>
      <c r="D67" s="15" t="s">
        <v>14334</v>
      </c>
      <c r="E67" s="15" t="s">
        <v>14335</v>
      </c>
      <c r="F67" s="153" t="s">
        <v>14193</v>
      </c>
    </row>
    <row r="68" customFormat="false" ht="30.75" hidden="false" customHeight="true" outlineLevel="0" collapsed="false">
      <c r="B68" s="15" t="n">
        <v>48</v>
      </c>
      <c r="C68" s="15" t="s">
        <v>14336</v>
      </c>
      <c r="D68" s="15" t="s">
        <v>14337</v>
      </c>
      <c r="E68" s="15" t="s">
        <v>14338</v>
      </c>
      <c r="F68" s="153" t="s">
        <v>14236</v>
      </c>
    </row>
    <row r="69" customFormat="false" ht="16.5" hidden="false" customHeight="true" outlineLevel="0" collapsed="false">
      <c r="B69" s="15" t="n">
        <v>49</v>
      </c>
      <c r="C69" s="15" t="s">
        <v>14339</v>
      </c>
      <c r="D69" s="15" t="s">
        <v>14340</v>
      </c>
      <c r="E69" s="15" t="s">
        <v>14341</v>
      </c>
      <c r="F69" s="153" t="s">
        <v>5724</v>
      </c>
    </row>
    <row r="70" customFormat="false" ht="16.5" hidden="false" customHeight="true" outlineLevel="0" collapsed="false">
      <c r="B70" s="15" t="n">
        <v>50</v>
      </c>
      <c r="C70" s="15" t="s">
        <v>14342</v>
      </c>
      <c r="D70" s="15" t="s">
        <v>14343</v>
      </c>
      <c r="E70" s="15" t="s">
        <v>14344</v>
      </c>
      <c r="F70" s="153" t="s">
        <v>14232</v>
      </c>
    </row>
    <row r="71" customFormat="false" ht="16.5" hidden="false" customHeight="true" outlineLevel="0" collapsed="false">
      <c r="B71" s="15" t="n">
        <v>51</v>
      </c>
      <c r="C71" s="15" t="s">
        <v>14345</v>
      </c>
      <c r="D71" s="15" t="s">
        <v>14346</v>
      </c>
      <c r="E71" s="15" t="s">
        <v>14347</v>
      </c>
      <c r="F71" s="153" t="s">
        <v>14348</v>
      </c>
    </row>
    <row r="72" customFormat="false" ht="16.5" hidden="false" customHeight="true" outlineLevel="0" collapsed="false">
      <c r="B72" s="15" t="n">
        <v>52</v>
      </c>
      <c r="C72" s="15" t="s">
        <v>14349</v>
      </c>
      <c r="D72" s="15" t="s">
        <v>14350</v>
      </c>
      <c r="E72" s="15" t="s">
        <v>14351</v>
      </c>
      <c r="F72" s="153" t="s">
        <v>14228</v>
      </c>
    </row>
    <row r="73" customFormat="false" ht="16.5" hidden="false" customHeight="true" outlineLevel="0" collapsed="false">
      <c r="B73" s="15" t="n">
        <v>53</v>
      </c>
      <c r="C73" s="15" t="s">
        <v>14352</v>
      </c>
      <c r="D73" s="15" t="s">
        <v>14353</v>
      </c>
      <c r="E73" s="15" t="s">
        <v>14354</v>
      </c>
      <c r="F73" s="153" t="s">
        <v>14355</v>
      </c>
    </row>
    <row r="74" customFormat="false" ht="16.5" hidden="false" customHeight="true" outlineLevel="0" collapsed="false">
      <c r="B74" s="15" t="n">
        <v>54</v>
      </c>
      <c r="C74" s="15" t="s">
        <v>14356</v>
      </c>
      <c r="D74" s="15" t="s">
        <v>14357</v>
      </c>
      <c r="E74" s="15" t="s">
        <v>14358</v>
      </c>
      <c r="F74" s="153" t="s">
        <v>14359</v>
      </c>
    </row>
    <row r="75" customFormat="false" ht="16.5" hidden="false" customHeight="true" outlineLevel="0" collapsed="false">
      <c r="B75" s="15" t="n">
        <v>55</v>
      </c>
      <c r="C75" s="15" t="s">
        <v>14077</v>
      </c>
      <c r="D75" s="15" t="s">
        <v>14077</v>
      </c>
      <c r="E75" s="15" t="s">
        <v>14360</v>
      </c>
      <c r="F75" s="153" t="s">
        <v>14297</v>
      </c>
    </row>
    <row r="76" customFormat="false" ht="16.5" hidden="false" customHeight="true" outlineLevel="0" collapsed="false">
      <c r="B76" s="15" t="n">
        <v>56</v>
      </c>
      <c r="C76" s="15" t="s">
        <v>6318</v>
      </c>
      <c r="D76" s="15" t="s">
        <v>6318</v>
      </c>
      <c r="E76" s="15" t="s">
        <v>14361</v>
      </c>
      <c r="F76" s="153" t="s">
        <v>14297</v>
      </c>
    </row>
    <row r="77" customFormat="false" ht="16.5" hidden="false" customHeight="true" outlineLevel="0" collapsed="false">
      <c r="B77" s="15" t="n">
        <v>57</v>
      </c>
      <c r="C77" s="15" t="s">
        <v>14085</v>
      </c>
      <c r="D77" s="15" t="s">
        <v>14085</v>
      </c>
      <c r="E77" s="15" t="s">
        <v>14362</v>
      </c>
      <c r="F77" s="153" t="s">
        <v>14297</v>
      </c>
    </row>
    <row r="78" customFormat="false" ht="16.5" hidden="false" customHeight="true" outlineLevel="0" collapsed="false">
      <c r="B78" s="15" t="n">
        <v>58</v>
      </c>
      <c r="C78" s="15" t="s">
        <v>14363</v>
      </c>
      <c r="D78" s="15" t="s">
        <v>14364</v>
      </c>
      <c r="E78" s="15" t="s">
        <v>14365</v>
      </c>
      <c r="F78" s="153" t="s">
        <v>14366</v>
      </c>
    </row>
    <row r="79" customFormat="false" ht="16.5" hidden="false" customHeight="true" outlineLevel="0" collapsed="false">
      <c r="B79" s="15" t="n">
        <v>59</v>
      </c>
      <c r="C79" s="15" t="s">
        <v>14367</v>
      </c>
      <c r="D79" s="15" t="s">
        <v>14368</v>
      </c>
      <c r="E79" s="15" t="s">
        <v>14369</v>
      </c>
      <c r="F79" s="153" t="s">
        <v>14370</v>
      </c>
    </row>
    <row r="80" customFormat="false" ht="16.5" hidden="false" customHeight="true" outlineLevel="0" collapsed="false">
      <c r="B80" s="15" t="n">
        <v>60</v>
      </c>
      <c r="C80" s="15" t="s">
        <v>5208</v>
      </c>
      <c r="D80" s="15" t="s">
        <v>14371</v>
      </c>
      <c r="E80" s="15" t="s">
        <v>14372</v>
      </c>
      <c r="F80" s="153" t="s">
        <v>5192</v>
      </c>
    </row>
    <row r="81" customFormat="false" ht="16.5" hidden="false" customHeight="true" outlineLevel="0" collapsed="false">
      <c r="B81" s="15" t="n">
        <v>61</v>
      </c>
      <c r="C81" s="15" t="s">
        <v>14373</v>
      </c>
      <c r="D81" s="15" t="s">
        <v>14374</v>
      </c>
      <c r="E81" s="15" t="s">
        <v>14375</v>
      </c>
      <c r="F81" s="153" t="s">
        <v>5748</v>
      </c>
    </row>
    <row r="82" customFormat="false" ht="16.5" hidden="false" customHeight="true" outlineLevel="0" collapsed="false">
      <c r="B82" s="15" t="n">
        <v>62</v>
      </c>
      <c r="C82" s="15" t="s">
        <v>14376</v>
      </c>
      <c r="D82" s="15" t="s">
        <v>14377</v>
      </c>
      <c r="E82" s="15" t="s">
        <v>14378</v>
      </c>
      <c r="F82" s="153" t="s">
        <v>14379</v>
      </c>
    </row>
    <row r="83" customFormat="false" ht="16.5" hidden="false" customHeight="true" outlineLevel="0" collapsed="false">
      <c r="B83" s="15" t="n">
        <v>63</v>
      </c>
      <c r="C83" s="15" t="s">
        <v>13764</v>
      </c>
      <c r="D83" s="15" t="s">
        <v>13764</v>
      </c>
      <c r="E83" s="15" t="s">
        <v>14380</v>
      </c>
      <c r="F83" s="153" t="s">
        <v>14291</v>
      </c>
    </row>
    <row r="84" customFormat="false" ht="16.5" hidden="false" customHeight="true" outlineLevel="0" collapsed="false">
      <c r="B84" s="15" t="n">
        <v>64</v>
      </c>
      <c r="C84" s="15" t="s">
        <v>14381</v>
      </c>
      <c r="D84" s="15" t="s">
        <v>14382</v>
      </c>
      <c r="E84" s="15" t="s">
        <v>14383</v>
      </c>
      <c r="F84" s="153" t="s">
        <v>14236</v>
      </c>
    </row>
    <row r="85" customFormat="false" ht="16.5" hidden="false" customHeight="true" outlineLevel="0" collapsed="false">
      <c r="B85" s="15" t="n">
        <v>65</v>
      </c>
      <c r="C85" s="15" t="s">
        <v>14384</v>
      </c>
      <c r="D85" s="15" t="s">
        <v>14385</v>
      </c>
      <c r="E85" s="15" t="s">
        <v>14386</v>
      </c>
      <c r="F85" s="153" t="s">
        <v>14264</v>
      </c>
    </row>
    <row r="86" customFormat="false" ht="30.75" hidden="false" customHeight="true" outlineLevel="0" collapsed="false">
      <c r="B86" s="15" t="n">
        <v>66</v>
      </c>
      <c r="C86" s="15" t="s">
        <v>2834</v>
      </c>
      <c r="D86" s="15" t="s">
        <v>14387</v>
      </c>
      <c r="E86" s="15" t="s">
        <v>14388</v>
      </c>
      <c r="F86" s="153" t="s">
        <v>14389</v>
      </c>
    </row>
    <row r="87" customFormat="false" ht="30.75" hidden="false" customHeight="true" outlineLevel="0" collapsed="false">
      <c r="B87" s="15" t="n">
        <v>67</v>
      </c>
      <c r="C87" s="15" t="s">
        <v>14390</v>
      </c>
      <c r="D87" s="15" t="s">
        <v>14391</v>
      </c>
      <c r="E87" s="15" t="s">
        <v>14392</v>
      </c>
      <c r="F87" s="153" t="s">
        <v>14271</v>
      </c>
    </row>
    <row r="88" customFormat="false" ht="16.5" hidden="false" customHeight="true" outlineLevel="0" collapsed="false">
      <c r="B88" s="15" t="n">
        <v>68</v>
      </c>
      <c r="C88" s="15" t="s">
        <v>8701</v>
      </c>
      <c r="D88" s="15" t="s">
        <v>14393</v>
      </c>
      <c r="E88" s="15" t="s">
        <v>14394</v>
      </c>
      <c r="F88" s="153" t="s">
        <v>14203</v>
      </c>
    </row>
    <row r="89" customFormat="false" ht="16.5" hidden="false" customHeight="true" outlineLevel="0" collapsed="false">
      <c r="B89" s="15" t="n">
        <v>69</v>
      </c>
      <c r="C89" s="15" t="s">
        <v>14395</v>
      </c>
      <c r="D89" s="15" t="s">
        <v>14395</v>
      </c>
      <c r="E89" s="15" t="s">
        <v>14396</v>
      </c>
      <c r="F89" s="153" t="s">
        <v>143</v>
      </c>
    </row>
    <row r="90" customFormat="false" ht="30.75" hidden="false" customHeight="true" outlineLevel="0" collapsed="false">
      <c r="B90" s="15" t="n">
        <v>70</v>
      </c>
      <c r="C90" s="15" t="s">
        <v>14092</v>
      </c>
      <c r="D90" s="15" t="s">
        <v>14397</v>
      </c>
      <c r="E90" s="15" t="s">
        <v>14398</v>
      </c>
      <c r="F90" s="153" t="s">
        <v>14297</v>
      </c>
    </row>
    <row r="91" customFormat="false" ht="16.5" hidden="false" customHeight="true" outlineLevel="0" collapsed="false">
      <c r="B91" s="15" t="n">
        <v>71</v>
      </c>
      <c r="C91" s="15" t="s">
        <v>5379</v>
      </c>
      <c r="D91" s="15" t="s">
        <v>14399</v>
      </c>
      <c r="E91" s="15" t="s">
        <v>14400</v>
      </c>
      <c r="F91" s="153" t="s">
        <v>14401</v>
      </c>
    </row>
    <row r="92" customFormat="false" ht="16.5" hidden="false" customHeight="true" outlineLevel="0" collapsed="false">
      <c r="B92" s="15" t="n">
        <v>72</v>
      </c>
      <c r="C92" s="15" t="s">
        <v>9208</v>
      </c>
      <c r="D92" s="15" t="s">
        <v>14402</v>
      </c>
      <c r="E92" s="15" t="s">
        <v>14403</v>
      </c>
      <c r="F92" s="153" t="s">
        <v>14249</v>
      </c>
    </row>
    <row r="93" customFormat="false" ht="16.5" hidden="false" customHeight="true" outlineLevel="0" collapsed="false">
      <c r="B93" s="15" t="n">
        <v>73</v>
      </c>
      <c r="C93" s="15" t="s">
        <v>9126</v>
      </c>
      <c r="D93" s="15" t="s">
        <v>14404</v>
      </c>
      <c r="E93" s="15" t="s">
        <v>14405</v>
      </c>
      <c r="F93" s="153" t="s">
        <v>14406</v>
      </c>
    </row>
    <row r="94" customFormat="false" ht="16.5" hidden="false" customHeight="true" outlineLevel="0" collapsed="false">
      <c r="B94" s="15" t="n">
        <v>74</v>
      </c>
      <c r="C94" s="15" t="s">
        <v>14407</v>
      </c>
      <c r="D94" s="15" t="s">
        <v>14408</v>
      </c>
      <c r="E94" s="15" t="s">
        <v>14409</v>
      </c>
      <c r="F94" s="153" t="s">
        <v>5748</v>
      </c>
    </row>
    <row r="95" customFormat="false" ht="30.75" hidden="false" customHeight="true" outlineLevel="0" collapsed="false">
      <c r="B95" s="15" t="n">
        <v>75</v>
      </c>
      <c r="C95" s="15" t="s">
        <v>14410</v>
      </c>
      <c r="D95" s="15" t="s">
        <v>14411</v>
      </c>
      <c r="E95" s="15" t="s">
        <v>14412</v>
      </c>
      <c r="F95" s="153" t="s">
        <v>14228</v>
      </c>
    </row>
    <row r="96" customFormat="false" ht="16.5" hidden="false" customHeight="true" outlineLevel="0" collapsed="false">
      <c r="B96" s="15" t="n">
        <v>76</v>
      </c>
      <c r="C96" s="15" t="s">
        <v>14413</v>
      </c>
      <c r="D96" s="15" t="s">
        <v>14414</v>
      </c>
      <c r="E96" s="15" t="s">
        <v>14415</v>
      </c>
      <c r="F96" s="153" t="s">
        <v>14389</v>
      </c>
    </row>
    <row r="97" customFormat="false" ht="30.75" hidden="false" customHeight="true" outlineLevel="0" collapsed="false">
      <c r="B97" s="15" t="n">
        <v>77</v>
      </c>
      <c r="C97" s="15" t="s">
        <v>14416</v>
      </c>
      <c r="D97" s="15" t="s">
        <v>14417</v>
      </c>
      <c r="E97" s="15" t="s">
        <v>14418</v>
      </c>
      <c r="F97" s="153" t="s">
        <v>14242</v>
      </c>
    </row>
    <row r="98" customFormat="false" ht="30.75" hidden="false" customHeight="true" outlineLevel="0" collapsed="false">
      <c r="B98" s="15" t="n">
        <v>78</v>
      </c>
      <c r="C98" s="15" t="s">
        <v>14419</v>
      </c>
      <c r="D98" s="15" t="s">
        <v>14420</v>
      </c>
      <c r="E98" s="15" t="s">
        <v>14421</v>
      </c>
      <c r="F98" s="153" t="s">
        <v>14422</v>
      </c>
    </row>
    <row r="99" customFormat="false" ht="16.5" hidden="false" customHeight="true" outlineLevel="0" collapsed="false">
      <c r="B99" s="15" t="n">
        <v>79</v>
      </c>
      <c r="C99" s="15" t="s">
        <v>14423</v>
      </c>
      <c r="D99" s="15" t="s">
        <v>14424</v>
      </c>
      <c r="E99" s="15" t="s">
        <v>14425</v>
      </c>
      <c r="F99" s="153" t="s">
        <v>14366</v>
      </c>
    </row>
    <row r="100" customFormat="false" ht="16.5" hidden="false" customHeight="true" outlineLevel="0" collapsed="false">
      <c r="B100" s="15" t="n">
        <v>80</v>
      </c>
      <c r="C100" s="15" t="s">
        <v>14426</v>
      </c>
      <c r="D100" s="15" t="s">
        <v>14427</v>
      </c>
      <c r="E100" s="15" t="s">
        <v>14428</v>
      </c>
      <c r="F100" s="153" t="s">
        <v>14203</v>
      </c>
    </row>
    <row r="101" customFormat="false" ht="30.75" hidden="false" customHeight="true" outlineLevel="0" collapsed="false">
      <c r="B101" s="15" t="n">
        <v>81</v>
      </c>
      <c r="C101" s="15" t="s">
        <v>14429</v>
      </c>
      <c r="D101" s="15" t="s">
        <v>14430</v>
      </c>
      <c r="E101" s="15" t="s">
        <v>14431</v>
      </c>
      <c r="F101" s="153" t="s">
        <v>5184</v>
      </c>
    </row>
    <row r="102" customFormat="false" ht="16.5" hidden="false" customHeight="true" outlineLevel="0" collapsed="false">
      <c r="B102" s="15" t="n">
        <v>82</v>
      </c>
      <c r="C102" s="15" t="s">
        <v>14432</v>
      </c>
      <c r="D102" s="15" t="s">
        <v>14433</v>
      </c>
      <c r="E102" s="15" t="s">
        <v>14434</v>
      </c>
      <c r="F102" s="153" t="s">
        <v>5180</v>
      </c>
    </row>
    <row r="103" customFormat="false" ht="16.5" hidden="false" customHeight="true" outlineLevel="0" collapsed="false">
      <c r="B103" s="15" t="n">
        <v>83</v>
      </c>
      <c r="C103" s="15" t="s">
        <v>14435</v>
      </c>
      <c r="D103" s="15" t="s">
        <v>14436</v>
      </c>
      <c r="E103" s="15" t="s">
        <v>14437</v>
      </c>
      <c r="F103" s="153" t="s">
        <v>14438</v>
      </c>
    </row>
    <row r="104" customFormat="false" ht="16.5" hidden="false" customHeight="true" outlineLevel="0" collapsed="false">
      <c r="B104" s="15" t="n">
        <v>84</v>
      </c>
      <c r="C104" s="15" t="s">
        <v>14439</v>
      </c>
      <c r="D104" s="15" t="s">
        <v>14440</v>
      </c>
      <c r="E104" s="15" t="s">
        <v>14441</v>
      </c>
      <c r="F104" s="153" t="s">
        <v>14366</v>
      </c>
    </row>
    <row r="105" customFormat="false" ht="16.5" hidden="false" customHeight="true" outlineLevel="0" collapsed="false">
      <c r="B105" s="15" t="n">
        <v>85</v>
      </c>
      <c r="C105" s="15" t="s">
        <v>14442</v>
      </c>
      <c r="D105" s="15" t="s">
        <v>14443</v>
      </c>
      <c r="E105" s="15" t="s">
        <v>14444</v>
      </c>
      <c r="F105" s="153" t="s">
        <v>14445</v>
      </c>
    </row>
    <row r="106" customFormat="false" ht="16.5" hidden="false" customHeight="true" outlineLevel="0" collapsed="false">
      <c r="B106" s="15" t="n">
        <v>86</v>
      </c>
      <c r="C106" s="15" t="s">
        <v>14446</v>
      </c>
      <c r="D106" s="15" t="s">
        <v>14447</v>
      </c>
      <c r="E106" s="15" t="s">
        <v>14448</v>
      </c>
      <c r="F106" s="153" t="s">
        <v>14267</v>
      </c>
    </row>
    <row r="107" customFormat="false" ht="16.5" hidden="false" customHeight="true" outlineLevel="0" collapsed="false">
      <c r="B107" s="15" t="n">
        <v>87</v>
      </c>
      <c r="C107" s="15" t="s">
        <v>14449</v>
      </c>
      <c r="D107" s="15" t="s">
        <v>14450</v>
      </c>
      <c r="E107" s="15" t="s">
        <v>14451</v>
      </c>
      <c r="F107" s="153" t="s">
        <v>14359</v>
      </c>
    </row>
    <row r="108" customFormat="false" ht="16.5" hidden="false" customHeight="true" outlineLevel="0" collapsed="false">
      <c r="B108" s="15" t="n">
        <v>88</v>
      </c>
      <c r="C108" s="15" t="s">
        <v>14452</v>
      </c>
      <c r="D108" s="15" t="s">
        <v>14453</v>
      </c>
      <c r="E108" s="15" t="s">
        <v>14454</v>
      </c>
      <c r="F108" s="153" t="s">
        <v>14406</v>
      </c>
    </row>
    <row r="109" customFormat="false" ht="16.5" hidden="false" customHeight="true" outlineLevel="0" collapsed="false">
      <c r="B109" s="15" t="n">
        <v>89</v>
      </c>
      <c r="C109" s="15" t="s">
        <v>14455</v>
      </c>
      <c r="D109" s="15" t="s">
        <v>14456</v>
      </c>
      <c r="E109" s="15" t="s">
        <v>14457</v>
      </c>
      <c r="F109" s="153" t="s">
        <v>14458</v>
      </c>
    </row>
    <row r="110" customFormat="false" ht="16.5" hidden="false" customHeight="true" outlineLevel="0" collapsed="false">
      <c r="B110" s="15" t="n">
        <v>90</v>
      </c>
      <c r="C110" s="15" t="s">
        <v>14459</v>
      </c>
      <c r="D110" s="15" t="s">
        <v>14460</v>
      </c>
      <c r="E110" s="15" t="s">
        <v>14461</v>
      </c>
      <c r="F110" s="153" t="s">
        <v>14260</v>
      </c>
    </row>
    <row r="111" customFormat="false" ht="30.75" hidden="false" customHeight="true" outlineLevel="0" collapsed="false">
      <c r="B111" s="15" t="n">
        <v>91</v>
      </c>
      <c r="C111" s="15" t="s">
        <v>11413</v>
      </c>
      <c r="D111" s="15" t="s">
        <v>14462</v>
      </c>
      <c r="E111" s="15" t="s">
        <v>14463</v>
      </c>
      <c r="F111" s="153" t="s">
        <v>14464</v>
      </c>
    </row>
    <row r="112" customFormat="false" ht="30.75" hidden="false" customHeight="true" outlineLevel="0" collapsed="false">
      <c r="B112" s="15" t="n">
        <v>92</v>
      </c>
      <c r="C112" s="15" t="s">
        <v>14465</v>
      </c>
      <c r="D112" s="15" t="s">
        <v>14466</v>
      </c>
      <c r="E112" s="15" t="s">
        <v>14467</v>
      </c>
      <c r="F112" s="153" t="s">
        <v>14218</v>
      </c>
    </row>
    <row r="113" customFormat="false" ht="16.5" hidden="false" customHeight="true" outlineLevel="0" collapsed="false">
      <c r="B113" s="15" t="n">
        <v>93</v>
      </c>
      <c r="C113" s="15" t="s">
        <v>14468</v>
      </c>
      <c r="D113" s="15" t="s">
        <v>14469</v>
      </c>
      <c r="E113" s="15" t="s">
        <v>14470</v>
      </c>
      <c r="F113" s="153" t="s">
        <v>5724</v>
      </c>
    </row>
    <row r="114" customFormat="false" ht="16.5" hidden="false" customHeight="true" outlineLevel="0" collapsed="false">
      <c r="B114" s="15" t="n">
        <v>94</v>
      </c>
      <c r="C114" s="15" t="s">
        <v>5123</v>
      </c>
      <c r="D114" s="15" t="s">
        <v>14471</v>
      </c>
      <c r="E114" s="15" t="s">
        <v>14472</v>
      </c>
      <c r="F114" s="153" t="s">
        <v>5180</v>
      </c>
    </row>
    <row r="115" customFormat="false" ht="30.75" hidden="false" customHeight="true" outlineLevel="0" collapsed="false">
      <c r="B115" s="15" t="n">
        <v>95</v>
      </c>
      <c r="C115" s="15" t="s">
        <v>14473</v>
      </c>
      <c r="D115" s="15" t="s">
        <v>14474</v>
      </c>
      <c r="E115" s="15" t="s">
        <v>14475</v>
      </c>
      <c r="F115" s="153" t="s">
        <v>14228</v>
      </c>
    </row>
    <row r="116" customFormat="false" ht="16.5" hidden="false" customHeight="true" outlineLevel="0" collapsed="false">
      <c r="B116" s="15" t="n">
        <v>96</v>
      </c>
      <c r="C116" s="15" t="s">
        <v>10835</v>
      </c>
      <c r="D116" s="15" t="s">
        <v>14476</v>
      </c>
      <c r="E116" s="15" t="s">
        <v>14477</v>
      </c>
      <c r="F116" s="153" t="s">
        <v>14260</v>
      </c>
    </row>
    <row r="117" customFormat="false" ht="30.75" hidden="false" customHeight="true" outlineLevel="0" collapsed="false">
      <c r="B117" s="15" t="n">
        <v>97</v>
      </c>
      <c r="C117" s="15" t="s">
        <v>14478</v>
      </c>
      <c r="D117" s="15" t="s">
        <v>14479</v>
      </c>
      <c r="E117" s="15" t="s">
        <v>14480</v>
      </c>
      <c r="F117" s="153" t="s">
        <v>14422</v>
      </c>
    </row>
    <row r="118" customFormat="false" ht="16.5" hidden="false" customHeight="true" outlineLevel="0" collapsed="false">
      <c r="B118" s="15" t="n">
        <v>98</v>
      </c>
      <c r="C118" s="15" t="s">
        <v>14481</v>
      </c>
      <c r="D118" s="15" t="s">
        <v>14481</v>
      </c>
      <c r="E118" s="15" t="s">
        <v>14482</v>
      </c>
      <c r="F118" s="153" t="s">
        <v>14221</v>
      </c>
    </row>
    <row r="119" customFormat="false" ht="16.5" hidden="false" customHeight="true" outlineLevel="0" collapsed="false">
      <c r="B119" s="15" t="n">
        <v>99</v>
      </c>
      <c r="C119" s="15" t="s">
        <v>1368</v>
      </c>
      <c r="D119" s="15" t="s">
        <v>14483</v>
      </c>
      <c r="E119" s="15" t="s">
        <v>14484</v>
      </c>
      <c r="F119" s="153" t="s">
        <v>14485</v>
      </c>
    </row>
    <row r="120" customFormat="false" ht="16.5" hidden="false" customHeight="true" outlineLevel="0" collapsed="false">
      <c r="B120" s="15" t="n">
        <v>100</v>
      </c>
      <c r="C120" s="15" t="s">
        <v>14486</v>
      </c>
      <c r="D120" s="15" t="s">
        <v>14487</v>
      </c>
      <c r="E120" s="15" t="s">
        <v>14488</v>
      </c>
      <c r="F120" s="153" t="s">
        <v>14489</v>
      </c>
    </row>
    <row r="121" customFormat="false" ht="16.5" hidden="false" customHeight="true" outlineLevel="0" collapsed="false">
      <c r="B121" s="15" t="n">
        <v>101</v>
      </c>
      <c r="C121" s="15" t="s">
        <v>14490</v>
      </c>
      <c r="D121" s="15" t="s">
        <v>14491</v>
      </c>
      <c r="E121" s="15" t="s">
        <v>14492</v>
      </c>
      <c r="F121" s="153" t="s">
        <v>14489</v>
      </c>
    </row>
    <row r="122" customFormat="false" ht="16.5" hidden="false" customHeight="true" outlineLevel="0" collapsed="false">
      <c r="B122" s="15" t="n">
        <v>102</v>
      </c>
      <c r="C122" s="15" t="s">
        <v>14493</v>
      </c>
      <c r="D122" s="15" t="s">
        <v>14493</v>
      </c>
      <c r="E122" s="15" t="s">
        <v>14494</v>
      </c>
      <c r="F122" s="153" t="s">
        <v>14495</v>
      </c>
    </row>
    <row r="123" customFormat="false" ht="16.5" hidden="false" customHeight="true" outlineLevel="0" collapsed="false">
      <c r="B123" s="15" t="n">
        <v>103</v>
      </c>
      <c r="C123" s="15" t="s">
        <v>14496</v>
      </c>
      <c r="D123" s="15" t="s">
        <v>14497</v>
      </c>
      <c r="E123" s="15" t="s">
        <v>14498</v>
      </c>
      <c r="F123" s="153" t="s">
        <v>14499</v>
      </c>
    </row>
    <row r="124" customFormat="false" ht="30.75" hidden="false" customHeight="true" outlineLevel="0" collapsed="false">
      <c r="B124" s="15" t="n">
        <v>104</v>
      </c>
      <c r="C124" s="15" t="s">
        <v>14500</v>
      </c>
      <c r="D124" s="15" t="s">
        <v>14501</v>
      </c>
      <c r="E124" s="15" t="s">
        <v>14502</v>
      </c>
      <c r="F124" s="153" t="s">
        <v>14199</v>
      </c>
    </row>
    <row r="125" customFormat="false" ht="16.5" hidden="false" customHeight="true" outlineLevel="0" collapsed="false">
      <c r="B125" s="15" t="n">
        <v>105</v>
      </c>
      <c r="C125" s="15" t="s">
        <v>14503</v>
      </c>
      <c r="D125" s="15" t="s">
        <v>14504</v>
      </c>
      <c r="E125" s="15" t="s">
        <v>14505</v>
      </c>
      <c r="F125" s="153" t="s">
        <v>14506</v>
      </c>
    </row>
    <row r="126" customFormat="false" ht="16.5" hidden="false" customHeight="true" outlineLevel="0" collapsed="false">
      <c r="B126" s="15" t="n">
        <v>106</v>
      </c>
      <c r="C126" s="15" t="s">
        <v>14507</v>
      </c>
      <c r="D126" s="15" t="s">
        <v>14508</v>
      </c>
      <c r="E126" s="15" t="s">
        <v>14509</v>
      </c>
      <c r="F126" s="153" t="s">
        <v>14506</v>
      </c>
    </row>
    <row r="127" customFormat="false" ht="30.75" hidden="false" customHeight="true" outlineLevel="0" collapsed="false">
      <c r="B127" s="15" t="n">
        <v>107</v>
      </c>
      <c r="C127" s="15" t="s">
        <v>14510</v>
      </c>
      <c r="D127" s="15" t="s">
        <v>14511</v>
      </c>
      <c r="E127" s="15" t="s">
        <v>14512</v>
      </c>
      <c r="F127" s="153" t="s">
        <v>14513</v>
      </c>
    </row>
    <row r="128" customFormat="false" ht="16.5" hidden="false" customHeight="true" outlineLevel="0" collapsed="false">
      <c r="B128" s="15" t="n">
        <v>108</v>
      </c>
      <c r="C128" s="15" t="s">
        <v>7507</v>
      </c>
      <c r="D128" s="15" t="s">
        <v>14514</v>
      </c>
      <c r="E128" s="15" t="s">
        <v>14515</v>
      </c>
      <c r="F128" s="153" t="s">
        <v>14516</v>
      </c>
    </row>
    <row r="129" customFormat="false" ht="16.5" hidden="false" customHeight="true" outlineLevel="0" collapsed="false">
      <c r="B129" s="15" t="n">
        <v>109</v>
      </c>
      <c r="C129" s="15" t="s">
        <v>14517</v>
      </c>
      <c r="D129" s="15" t="s">
        <v>14518</v>
      </c>
      <c r="E129" s="15" t="s">
        <v>14519</v>
      </c>
      <c r="F129" s="153" t="s">
        <v>14520</v>
      </c>
    </row>
    <row r="130" customFormat="false" ht="16.5" hidden="false" customHeight="true" outlineLevel="0" collapsed="false">
      <c r="B130" s="15" t="n">
        <v>110</v>
      </c>
      <c r="C130" s="15" t="s">
        <v>14521</v>
      </c>
      <c r="D130" s="15" t="s">
        <v>14522</v>
      </c>
      <c r="E130" s="15" t="s">
        <v>14523</v>
      </c>
      <c r="F130" s="153" t="s">
        <v>14246</v>
      </c>
    </row>
    <row r="131" customFormat="false" ht="16.5" hidden="false" customHeight="true" outlineLevel="0" collapsed="false">
      <c r="B131" s="15" t="n">
        <v>111</v>
      </c>
      <c r="C131" s="15" t="s">
        <v>14524</v>
      </c>
      <c r="D131" s="15" t="s">
        <v>14525</v>
      </c>
      <c r="E131" s="15" t="s">
        <v>14526</v>
      </c>
      <c r="F131" s="153" t="s">
        <v>14199</v>
      </c>
    </row>
    <row r="132" customFormat="false" ht="16.5" hidden="false" customHeight="true" outlineLevel="0" collapsed="false">
      <c r="B132" s="15" t="n">
        <v>112</v>
      </c>
      <c r="C132" s="15" t="s">
        <v>14119</v>
      </c>
      <c r="D132" s="15" t="s">
        <v>14527</v>
      </c>
      <c r="E132" s="15" t="s">
        <v>14528</v>
      </c>
      <c r="F132" s="153" t="s">
        <v>14516</v>
      </c>
    </row>
    <row r="133" customFormat="false" ht="30.75" hidden="false" customHeight="true" outlineLevel="0" collapsed="false">
      <c r="B133" s="15" t="n">
        <v>113</v>
      </c>
      <c r="C133" s="15" t="s">
        <v>14529</v>
      </c>
      <c r="D133" s="15" t="s">
        <v>14530</v>
      </c>
      <c r="E133" s="15" t="s">
        <v>14531</v>
      </c>
      <c r="F133" s="153" t="s">
        <v>14532</v>
      </c>
    </row>
    <row r="134" customFormat="false" ht="16.5" hidden="false" customHeight="true" outlineLevel="0" collapsed="false">
      <c r="B134" s="15" t="n">
        <v>114</v>
      </c>
      <c r="C134" s="15" t="s">
        <v>14533</v>
      </c>
      <c r="D134" s="15" t="s">
        <v>14534</v>
      </c>
      <c r="E134" s="15" t="s">
        <v>14535</v>
      </c>
      <c r="F134" s="153" t="s">
        <v>5180</v>
      </c>
    </row>
    <row r="135" customFormat="false" ht="30.75" hidden="false" customHeight="true" outlineLevel="0" collapsed="false">
      <c r="B135" s="15" t="n">
        <v>115</v>
      </c>
      <c r="C135" s="15" t="s">
        <v>14536</v>
      </c>
      <c r="D135" s="15" t="s">
        <v>14537</v>
      </c>
      <c r="E135" s="15" t="s">
        <v>14538</v>
      </c>
      <c r="F135" s="153" t="s">
        <v>14513</v>
      </c>
    </row>
    <row r="136" customFormat="false" ht="30.75" hidden="false" customHeight="true" outlineLevel="0" collapsed="false">
      <c r="B136" s="15" t="n">
        <v>116</v>
      </c>
      <c r="C136" s="15" t="s">
        <v>14539</v>
      </c>
      <c r="D136" s="15" t="s">
        <v>14539</v>
      </c>
      <c r="E136" s="15" t="s">
        <v>14540</v>
      </c>
      <c r="F136" s="153" t="s">
        <v>14267</v>
      </c>
    </row>
    <row r="137" customFormat="false" ht="16.5" hidden="false" customHeight="true" outlineLevel="0" collapsed="false">
      <c r="B137" s="15" t="n">
        <v>117</v>
      </c>
      <c r="C137" s="15" t="s">
        <v>2085</v>
      </c>
      <c r="D137" s="15" t="s">
        <v>14541</v>
      </c>
      <c r="E137" s="15" t="s">
        <v>14542</v>
      </c>
      <c r="F137" s="153" t="s">
        <v>14543</v>
      </c>
    </row>
    <row r="138" customFormat="false" ht="16.5" hidden="false" customHeight="true" outlineLevel="0" collapsed="false">
      <c r="B138" s="15" t="n">
        <v>118</v>
      </c>
      <c r="C138" s="15" t="s">
        <v>10873</v>
      </c>
      <c r="D138" s="15" t="s">
        <v>14544</v>
      </c>
      <c r="E138" s="15" t="s">
        <v>14545</v>
      </c>
      <c r="F138" s="153" t="s">
        <v>14543</v>
      </c>
    </row>
    <row r="139" customFormat="false" ht="16.5" hidden="false" customHeight="true" outlineLevel="0" collapsed="false">
      <c r="B139" s="15" t="n">
        <v>119</v>
      </c>
      <c r="C139" s="15" t="s">
        <v>14546</v>
      </c>
      <c r="D139" s="15" t="s">
        <v>14547</v>
      </c>
      <c r="E139" s="15" t="s">
        <v>14548</v>
      </c>
      <c r="F139" s="153" t="s">
        <v>14242</v>
      </c>
    </row>
    <row r="140" customFormat="false" ht="30.75" hidden="false" customHeight="true" outlineLevel="0" collapsed="false">
      <c r="B140" s="15" t="n">
        <v>120</v>
      </c>
      <c r="C140" s="15" t="s">
        <v>14549</v>
      </c>
      <c r="D140" s="15" t="s">
        <v>14550</v>
      </c>
      <c r="E140" s="15" t="s">
        <v>14551</v>
      </c>
      <c r="F140" s="153" t="s">
        <v>14552</v>
      </c>
    </row>
    <row r="141" customFormat="false" ht="16.5" hidden="false" customHeight="true" outlineLevel="0" collapsed="false">
      <c r="B141" s="15" t="n">
        <v>121</v>
      </c>
      <c r="C141" s="15" t="s">
        <v>1464</v>
      </c>
      <c r="D141" s="15" t="s">
        <v>14553</v>
      </c>
      <c r="E141" s="15" t="s">
        <v>14554</v>
      </c>
      <c r="F141" s="153" t="s">
        <v>14543</v>
      </c>
    </row>
    <row r="142" customFormat="false" ht="16.5" hidden="false" customHeight="true" outlineLevel="0" collapsed="false">
      <c r="B142" s="15" t="n">
        <v>122</v>
      </c>
      <c r="C142" s="15" t="s">
        <v>14555</v>
      </c>
      <c r="D142" s="15" t="s">
        <v>14556</v>
      </c>
      <c r="E142" s="15" t="s">
        <v>14557</v>
      </c>
      <c r="F142" s="153" t="s">
        <v>14438</v>
      </c>
    </row>
    <row r="143" customFormat="false" ht="16.5" hidden="false" customHeight="true" outlineLevel="0" collapsed="false">
      <c r="B143" s="15" t="n">
        <v>123</v>
      </c>
      <c r="C143" s="15" t="s">
        <v>8612</v>
      </c>
      <c r="D143" s="15" t="s">
        <v>14558</v>
      </c>
      <c r="E143" s="15" t="s">
        <v>14559</v>
      </c>
      <c r="F143" s="153" t="s">
        <v>14239</v>
      </c>
    </row>
    <row r="144" customFormat="false" ht="16.5" hidden="false" customHeight="true" outlineLevel="0" collapsed="false">
      <c r="B144" s="15" t="n">
        <v>124</v>
      </c>
      <c r="C144" s="15" t="s">
        <v>8615</v>
      </c>
      <c r="D144" s="15" t="s">
        <v>14560</v>
      </c>
      <c r="E144" s="15" t="s">
        <v>14561</v>
      </c>
      <c r="F144" s="153" t="s">
        <v>14239</v>
      </c>
    </row>
    <row r="145" customFormat="false" ht="16.5" hidden="false" customHeight="true" outlineLevel="0" collapsed="false">
      <c r="B145" s="15" t="n">
        <v>125</v>
      </c>
      <c r="C145" s="15" t="s">
        <v>14562</v>
      </c>
      <c r="D145" s="15" t="s">
        <v>14563</v>
      </c>
      <c r="E145" s="15" t="s">
        <v>14564</v>
      </c>
      <c r="F145" s="153" t="s">
        <v>14565</v>
      </c>
    </row>
    <row r="146" customFormat="false" ht="30.75" hidden="false" customHeight="true" outlineLevel="0" collapsed="false">
      <c r="B146" s="15" t="n">
        <v>126</v>
      </c>
      <c r="C146" s="15" t="s">
        <v>14566</v>
      </c>
      <c r="D146" s="15" t="s">
        <v>14567</v>
      </c>
      <c r="E146" s="15" t="s">
        <v>14568</v>
      </c>
      <c r="F146" s="153" t="s">
        <v>14569</v>
      </c>
    </row>
    <row r="147" customFormat="false" ht="16.5" hidden="false" customHeight="true" outlineLevel="0" collapsed="false">
      <c r="B147" s="15" t="n">
        <v>127</v>
      </c>
      <c r="C147" s="15" t="s">
        <v>14570</v>
      </c>
      <c r="D147" s="15" t="s">
        <v>14571</v>
      </c>
      <c r="E147" s="15" t="s">
        <v>14572</v>
      </c>
      <c r="F147" s="153" t="s">
        <v>14406</v>
      </c>
    </row>
    <row r="148" customFormat="false" ht="16.5" hidden="false" customHeight="true" outlineLevel="0" collapsed="false">
      <c r="B148" s="15" t="n">
        <v>128</v>
      </c>
      <c r="C148" s="15" t="s">
        <v>14573</v>
      </c>
      <c r="D148" s="15" t="s">
        <v>14574</v>
      </c>
      <c r="E148" s="15" t="s">
        <v>14575</v>
      </c>
      <c r="F148" s="153" t="s">
        <v>14246</v>
      </c>
    </row>
    <row r="149" customFormat="false" ht="16.5" hidden="false" customHeight="true" outlineLevel="0" collapsed="false">
      <c r="B149" s="15" t="n">
        <v>129</v>
      </c>
      <c r="C149" s="15" t="s">
        <v>6481</v>
      </c>
      <c r="D149" s="15" t="s">
        <v>14576</v>
      </c>
      <c r="E149" s="15" t="s">
        <v>14577</v>
      </c>
      <c r="F149" s="153" t="s">
        <v>14438</v>
      </c>
    </row>
    <row r="150" customFormat="false" ht="30.75" hidden="false" customHeight="true" outlineLevel="0" collapsed="false">
      <c r="B150" s="15" t="n">
        <v>130</v>
      </c>
      <c r="C150" s="15" t="s">
        <v>14578</v>
      </c>
      <c r="D150" s="15" t="s">
        <v>14579</v>
      </c>
      <c r="E150" s="15" t="s">
        <v>14580</v>
      </c>
      <c r="F150" s="153" t="s">
        <v>14513</v>
      </c>
    </row>
    <row r="151" customFormat="false" ht="30.75" hidden="false" customHeight="true" outlineLevel="0" collapsed="false">
      <c r="B151" s="15" t="n">
        <v>131</v>
      </c>
      <c r="C151" s="15" t="s">
        <v>14581</v>
      </c>
      <c r="D151" s="15" t="s">
        <v>14582</v>
      </c>
      <c r="E151" s="15" t="s">
        <v>14583</v>
      </c>
      <c r="F151" s="153" t="s">
        <v>14584</v>
      </c>
    </row>
    <row r="152" customFormat="false" ht="16.5" hidden="false" customHeight="true" outlineLevel="0" collapsed="false">
      <c r="B152" s="15" t="n">
        <v>132</v>
      </c>
      <c r="C152" s="15" t="s">
        <v>14585</v>
      </c>
      <c r="D152" s="15" t="s">
        <v>14586</v>
      </c>
      <c r="E152" s="15" t="s">
        <v>14587</v>
      </c>
      <c r="F152" s="153" t="s">
        <v>14588</v>
      </c>
    </row>
    <row r="153" customFormat="false" ht="16.5" hidden="false" customHeight="true" outlineLevel="0" collapsed="false">
      <c r="B153" s="15" t="n">
        <v>133</v>
      </c>
      <c r="C153" s="15" t="s">
        <v>5733</v>
      </c>
      <c r="D153" s="15" t="s">
        <v>14589</v>
      </c>
      <c r="E153" s="15" t="s">
        <v>14590</v>
      </c>
      <c r="F153" s="153" t="s">
        <v>5734</v>
      </c>
    </row>
    <row r="154" customFormat="false" ht="30.75" hidden="false" customHeight="true" outlineLevel="0" collapsed="false">
      <c r="B154" s="15" t="n">
        <v>134</v>
      </c>
      <c r="C154" s="15" t="s">
        <v>14591</v>
      </c>
      <c r="D154" s="15" t="s">
        <v>14592</v>
      </c>
      <c r="E154" s="15" t="s">
        <v>14593</v>
      </c>
      <c r="F154" s="153" t="s">
        <v>14218</v>
      </c>
    </row>
    <row r="155" customFormat="false" ht="16.5" hidden="false" customHeight="true" outlineLevel="0" collapsed="false">
      <c r="B155" s="15" t="n">
        <v>135</v>
      </c>
      <c r="C155" s="15" t="s">
        <v>14594</v>
      </c>
      <c r="D155" s="15" t="s">
        <v>14595</v>
      </c>
      <c r="E155" s="15" t="s">
        <v>14596</v>
      </c>
      <c r="F155" s="153" t="s">
        <v>14348</v>
      </c>
    </row>
    <row r="156" customFormat="false" ht="16.5" hidden="false" customHeight="true" outlineLevel="0" collapsed="false">
      <c r="B156" s="15" t="n">
        <v>136</v>
      </c>
      <c r="C156" s="15" t="s">
        <v>11722</v>
      </c>
      <c r="D156" s="15" t="s">
        <v>14597</v>
      </c>
      <c r="E156" s="15" t="s">
        <v>14598</v>
      </c>
      <c r="F156" s="153" t="s">
        <v>14203</v>
      </c>
    </row>
    <row r="157" customFormat="false" ht="16.5" hidden="false" customHeight="true" outlineLevel="0" collapsed="false">
      <c r="B157" s="15" t="n">
        <v>137</v>
      </c>
      <c r="C157" s="15" t="s">
        <v>7884</v>
      </c>
      <c r="D157" s="15" t="s">
        <v>14599</v>
      </c>
      <c r="E157" s="15" t="s">
        <v>14600</v>
      </c>
      <c r="F157" s="153" t="s">
        <v>14242</v>
      </c>
    </row>
    <row r="158" customFormat="false" ht="16.5" hidden="false" customHeight="true" outlineLevel="0" collapsed="false">
      <c r="B158" s="15" t="n">
        <v>138</v>
      </c>
      <c r="C158" s="15" t="s">
        <v>14601</v>
      </c>
      <c r="D158" s="15" t="s">
        <v>14602</v>
      </c>
      <c r="E158" s="15" t="s">
        <v>14603</v>
      </c>
      <c r="F158" s="153" t="s">
        <v>14604</v>
      </c>
    </row>
    <row r="159" customFormat="false" ht="30.75" hidden="false" customHeight="true" outlineLevel="0" collapsed="false">
      <c r="B159" s="15" t="n">
        <v>139</v>
      </c>
      <c r="C159" s="15" t="s">
        <v>1930</v>
      </c>
      <c r="D159" s="15" t="s">
        <v>14605</v>
      </c>
      <c r="E159" s="15" t="s">
        <v>14606</v>
      </c>
      <c r="F159" s="153" t="s">
        <v>14320</v>
      </c>
    </row>
    <row r="160" customFormat="false" ht="16.5" hidden="false" customHeight="true" outlineLevel="0" collapsed="false">
      <c r="B160" s="15" t="n">
        <v>140</v>
      </c>
      <c r="C160" s="15" t="s">
        <v>14607</v>
      </c>
      <c r="D160" s="15" t="s">
        <v>14608</v>
      </c>
      <c r="E160" s="15" t="s">
        <v>14609</v>
      </c>
      <c r="F160" s="153" t="s">
        <v>14260</v>
      </c>
    </row>
    <row r="161" customFormat="false" ht="16.5" hidden="false" customHeight="true" outlineLevel="0" collapsed="false">
      <c r="B161" s="15" t="n">
        <v>141</v>
      </c>
      <c r="C161" s="15" t="s">
        <v>14610</v>
      </c>
      <c r="D161" s="15" t="s">
        <v>14611</v>
      </c>
      <c r="E161" s="15" t="s">
        <v>14612</v>
      </c>
      <c r="F161" s="153" t="s">
        <v>14565</v>
      </c>
    </row>
    <row r="162" customFormat="false" ht="16.5" hidden="false" customHeight="true" outlineLevel="0" collapsed="false">
      <c r="B162" s="15" t="n">
        <v>142</v>
      </c>
      <c r="C162" s="15" t="s">
        <v>5736</v>
      </c>
      <c r="D162" s="15" t="s">
        <v>14613</v>
      </c>
      <c r="E162" s="15" t="s">
        <v>14614</v>
      </c>
      <c r="F162" s="153" t="s">
        <v>5734</v>
      </c>
    </row>
    <row r="163" customFormat="false" ht="16.5" hidden="false" customHeight="true" outlineLevel="0" collapsed="false">
      <c r="B163" s="15" t="n">
        <v>143</v>
      </c>
      <c r="C163" s="15" t="s">
        <v>3007</v>
      </c>
      <c r="D163" s="15" t="s">
        <v>14615</v>
      </c>
      <c r="E163" s="15" t="s">
        <v>14616</v>
      </c>
      <c r="F163" s="153" t="s">
        <v>14617</v>
      </c>
    </row>
    <row r="164" customFormat="false" ht="16.5" hidden="false" customHeight="true" outlineLevel="0" collapsed="false">
      <c r="B164" s="15" t="n">
        <v>144</v>
      </c>
      <c r="C164" s="15" t="s">
        <v>6932</v>
      </c>
      <c r="D164" s="15" t="s">
        <v>14618</v>
      </c>
      <c r="E164" s="15" t="s">
        <v>14619</v>
      </c>
      <c r="F164" s="153" t="s">
        <v>14620</v>
      </c>
    </row>
    <row r="165" customFormat="false" ht="16.5" hidden="false" customHeight="true" outlineLevel="0" collapsed="false">
      <c r="B165" s="15" t="n">
        <v>145</v>
      </c>
      <c r="C165" s="15" t="s">
        <v>3382</v>
      </c>
      <c r="D165" s="15" t="s">
        <v>14621</v>
      </c>
      <c r="E165" s="15" t="s">
        <v>14622</v>
      </c>
      <c r="F165" s="153" t="s">
        <v>14623</v>
      </c>
    </row>
    <row r="166" customFormat="false" ht="30.75" hidden="false" customHeight="true" outlineLevel="0" collapsed="false">
      <c r="B166" s="15" t="n">
        <v>146</v>
      </c>
      <c r="C166" s="15" t="s">
        <v>14624</v>
      </c>
      <c r="D166" s="15" t="s">
        <v>14625</v>
      </c>
      <c r="E166" s="15" t="s">
        <v>14626</v>
      </c>
      <c r="F166" s="153" t="s">
        <v>14627</v>
      </c>
    </row>
    <row r="167" customFormat="false" ht="16.5" hidden="false" customHeight="true" outlineLevel="0" collapsed="false">
      <c r="B167" s="15" t="n">
        <v>147</v>
      </c>
      <c r="C167" s="15" t="s">
        <v>7312</v>
      </c>
      <c r="D167" s="15" t="s">
        <v>14628</v>
      </c>
      <c r="E167" s="15" t="s">
        <v>14629</v>
      </c>
      <c r="F167" s="153" t="s">
        <v>14458</v>
      </c>
    </row>
    <row r="168" customFormat="false" ht="16.5" hidden="false" customHeight="true" outlineLevel="0" collapsed="false">
      <c r="B168" s="15" t="n">
        <v>148</v>
      </c>
      <c r="C168" s="15" t="s">
        <v>14630</v>
      </c>
      <c r="D168" s="15" t="s">
        <v>14631</v>
      </c>
      <c r="E168" s="15" t="s">
        <v>14632</v>
      </c>
      <c r="F168" s="153" t="s">
        <v>14633</v>
      </c>
    </row>
    <row r="169" customFormat="false" ht="16.5" hidden="false" customHeight="true" outlineLevel="0" collapsed="false">
      <c r="B169" s="15" t="n">
        <v>149</v>
      </c>
      <c r="C169" s="15" t="s">
        <v>7868</v>
      </c>
      <c r="D169" s="15" t="s">
        <v>14634</v>
      </c>
      <c r="E169" s="15" t="s">
        <v>14635</v>
      </c>
      <c r="F169" s="153" t="s">
        <v>14242</v>
      </c>
    </row>
    <row r="170" customFormat="false" ht="16.5" hidden="false" customHeight="true" outlineLevel="0" collapsed="false">
      <c r="B170" s="15" t="n">
        <v>150</v>
      </c>
      <c r="C170" s="15" t="s">
        <v>14636</v>
      </c>
      <c r="D170" s="15" t="s">
        <v>14636</v>
      </c>
      <c r="E170" s="15" t="s">
        <v>14637</v>
      </c>
      <c r="F170" s="153" t="s">
        <v>14366</v>
      </c>
    </row>
    <row r="171" customFormat="false" ht="16.5" hidden="false" customHeight="true" outlineLevel="0" collapsed="false">
      <c r="B171" s="15" t="n">
        <v>151</v>
      </c>
      <c r="C171" s="15" t="s">
        <v>14638</v>
      </c>
      <c r="D171" s="15" t="s">
        <v>14639</v>
      </c>
      <c r="E171" s="15" t="s">
        <v>14640</v>
      </c>
      <c r="F171" s="153" t="s">
        <v>14401</v>
      </c>
    </row>
    <row r="172" customFormat="false" ht="16.5" hidden="false" customHeight="true" outlineLevel="0" collapsed="false">
      <c r="B172" s="15" t="n">
        <v>152</v>
      </c>
      <c r="C172" s="15" t="s">
        <v>9135</v>
      </c>
      <c r="D172" s="15" t="s">
        <v>14641</v>
      </c>
      <c r="E172" s="15" t="s">
        <v>14642</v>
      </c>
      <c r="F172" s="153" t="s">
        <v>14406</v>
      </c>
    </row>
    <row r="173" customFormat="false" ht="30.75" hidden="false" customHeight="true" outlineLevel="0" collapsed="false">
      <c r="B173" s="15" t="n">
        <v>153</v>
      </c>
      <c r="C173" s="15" t="s">
        <v>14643</v>
      </c>
      <c r="D173" s="15" t="s">
        <v>14644</v>
      </c>
      <c r="E173" s="15" t="s">
        <v>14645</v>
      </c>
      <c r="F173" s="153" t="s">
        <v>14646</v>
      </c>
    </row>
    <row r="174" customFormat="false" ht="16.5" hidden="false" customHeight="true" outlineLevel="0" collapsed="false">
      <c r="B174" s="15" t="n">
        <v>154</v>
      </c>
      <c r="C174" s="15" t="s">
        <v>14647</v>
      </c>
      <c r="D174" s="15" t="s">
        <v>14648</v>
      </c>
      <c r="E174" s="15" t="s">
        <v>14649</v>
      </c>
      <c r="F174" s="153" t="s">
        <v>14552</v>
      </c>
    </row>
    <row r="175" customFormat="false" ht="16.5" hidden="false" customHeight="true" outlineLevel="0" collapsed="false">
      <c r="B175" s="15" t="n">
        <v>155</v>
      </c>
      <c r="C175" s="15" t="s">
        <v>3094</v>
      </c>
      <c r="D175" s="15" t="s">
        <v>14650</v>
      </c>
      <c r="E175" s="15" t="s">
        <v>14651</v>
      </c>
      <c r="F175" s="153" t="s">
        <v>14214</v>
      </c>
    </row>
    <row r="176" customFormat="false" ht="16.5" hidden="false" customHeight="true" outlineLevel="0" collapsed="false">
      <c r="B176" s="15" t="n">
        <v>156</v>
      </c>
      <c r="C176" s="15" t="s">
        <v>14652</v>
      </c>
      <c r="D176" s="15" t="s">
        <v>14652</v>
      </c>
      <c r="E176" s="15" t="s">
        <v>14653</v>
      </c>
      <c r="F176" s="153" t="s">
        <v>14297</v>
      </c>
    </row>
    <row r="177" customFormat="false" ht="16.5" hidden="false" customHeight="true" outlineLevel="0" collapsed="false">
      <c r="B177" s="15" t="n">
        <v>157</v>
      </c>
      <c r="C177" s="15" t="s">
        <v>14654</v>
      </c>
      <c r="D177" s="15" t="s">
        <v>14655</v>
      </c>
      <c r="E177" s="15" t="s">
        <v>14656</v>
      </c>
      <c r="F177" s="153" t="s">
        <v>14438</v>
      </c>
    </row>
    <row r="178" customFormat="false" ht="30.75" hidden="false" customHeight="true" outlineLevel="0" collapsed="false">
      <c r="B178" s="15" t="n">
        <v>158</v>
      </c>
      <c r="C178" s="15" t="s">
        <v>14657</v>
      </c>
      <c r="D178" s="15" t="s">
        <v>14658</v>
      </c>
      <c r="E178" s="15" t="s">
        <v>14659</v>
      </c>
      <c r="F178" s="153" t="s">
        <v>14228</v>
      </c>
    </row>
    <row r="179" customFormat="false" ht="16.5" hidden="false" customHeight="true" outlineLevel="0" collapsed="false">
      <c r="B179" s="15" t="n">
        <v>159</v>
      </c>
      <c r="C179" s="15" t="s">
        <v>14660</v>
      </c>
      <c r="D179" s="15" t="s">
        <v>14661</v>
      </c>
      <c r="E179" s="15" t="s">
        <v>14662</v>
      </c>
      <c r="F179" s="153" t="s">
        <v>14663</v>
      </c>
    </row>
    <row r="180" customFormat="false" ht="16.5" hidden="false" customHeight="true" outlineLevel="0" collapsed="false">
      <c r="B180" s="15" t="n">
        <v>160</v>
      </c>
      <c r="C180" s="15" t="s">
        <v>14664</v>
      </c>
      <c r="D180" s="15" t="s">
        <v>14665</v>
      </c>
      <c r="E180" s="15" t="s">
        <v>14666</v>
      </c>
      <c r="F180" s="153" t="s">
        <v>14667</v>
      </c>
    </row>
    <row r="181" customFormat="false" ht="16.5" hidden="false" customHeight="true" outlineLevel="0" collapsed="false">
      <c r="B181" s="15" t="n">
        <v>161</v>
      </c>
      <c r="C181" s="15" t="s">
        <v>14668</v>
      </c>
      <c r="D181" s="15" t="s">
        <v>14669</v>
      </c>
      <c r="E181" s="15" t="s">
        <v>14670</v>
      </c>
      <c r="F181" s="153" t="s">
        <v>14495</v>
      </c>
    </row>
    <row r="182" customFormat="false" ht="16.5" hidden="false" customHeight="true" outlineLevel="0" collapsed="false">
      <c r="B182" s="15" t="n">
        <v>162</v>
      </c>
      <c r="C182" s="15" t="s">
        <v>14671</v>
      </c>
      <c r="D182" s="15" t="s">
        <v>14672</v>
      </c>
      <c r="E182" s="15" t="s">
        <v>14673</v>
      </c>
      <c r="F182" s="153" t="s">
        <v>14495</v>
      </c>
    </row>
    <row r="183" customFormat="false" ht="16.5" hidden="false" customHeight="true" outlineLevel="0" collapsed="false">
      <c r="B183" s="15" t="n">
        <v>163</v>
      </c>
      <c r="C183" s="15" t="s">
        <v>7029</v>
      </c>
      <c r="D183" s="15" t="s">
        <v>14674</v>
      </c>
      <c r="E183" s="15" t="s">
        <v>14675</v>
      </c>
      <c r="F183" s="153" t="s">
        <v>14242</v>
      </c>
    </row>
    <row r="184" customFormat="false" ht="16.5" hidden="false" customHeight="true" outlineLevel="0" collapsed="false">
      <c r="B184" s="15" t="n">
        <v>164</v>
      </c>
      <c r="C184" s="15" t="s">
        <v>14676</v>
      </c>
      <c r="D184" s="15" t="s">
        <v>14677</v>
      </c>
      <c r="E184" s="15" t="s">
        <v>14678</v>
      </c>
      <c r="F184" s="153" t="s">
        <v>5727</v>
      </c>
    </row>
    <row r="185" customFormat="false" ht="16.5" hidden="false" customHeight="true" outlineLevel="0" collapsed="false">
      <c r="B185" s="15" t="n">
        <v>165</v>
      </c>
      <c r="C185" s="15" t="s">
        <v>14679</v>
      </c>
      <c r="D185" s="15" t="s">
        <v>14679</v>
      </c>
      <c r="E185" s="15" t="s">
        <v>14680</v>
      </c>
      <c r="F185" s="153" t="s">
        <v>14681</v>
      </c>
    </row>
    <row r="186" customFormat="false" ht="16.5" hidden="false" customHeight="true" outlineLevel="0" collapsed="false">
      <c r="B186" s="15" t="n">
        <v>166</v>
      </c>
      <c r="C186" s="15" t="s">
        <v>14682</v>
      </c>
      <c r="D186" s="15" t="s">
        <v>14683</v>
      </c>
      <c r="E186" s="15" t="s">
        <v>14684</v>
      </c>
      <c r="F186" s="153" t="s">
        <v>14271</v>
      </c>
    </row>
    <row r="187" customFormat="false" ht="16.5" hidden="false" customHeight="true" outlineLevel="0" collapsed="false">
      <c r="B187" s="15" t="n">
        <v>167</v>
      </c>
      <c r="C187" s="15" t="s">
        <v>6298</v>
      </c>
      <c r="D187" s="15" t="s">
        <v>14685</v>
      </c>
      <c r="E187" s="15" t="s">
        <v>14686</v>
      </c>
      <c r="F187" s="153" t="s">
        <v>14543</v>
      </c>
    </row>
    <row r="188" customFormat="false" ht="30.75" hidden="false" customHeight="true" outlineLevel="0" collapsed="false">
      <c r="B188" s="15" t="n">
        <v>168</v>
      </c>
      <c r="C188" s="15" t="s">
        <v>14687</v>
      </c>
      <c r="D188" s="15" t="s">
        <v>14688</v>
      </c>
      <c r="E188" s="15" t="s">
        <v>14689</v>
      </c>
      <c r="F188" s="153" t="s">
        <v>14690</v>
      </c>
    </row>
    <row r="189" customFormat="false" ht="16.5" hidden="false" customHeight="true" outlineLevel="0" collapsed="false">
      <c r="B189" s="15" t="n">
        <v>169</v>
      </c>
      <c r="C189" s="15" t="s">
        <v>12087</v>
      </c>
      <c r="D189" s="15" t="s">
        <v>14595</v>
      </c>
      <c r="E189" s="15" t="s">
        <v>14691</v>
      </c>
      <c r="F189" s="153" t="s">
        <v>14348</v>
      </c>
    </row>
    <row r="190" customFormat="false" ht="16.5" hidden="false" customHeight="true" outlineLevel="0" collapsed="false">
      <c r="B190" s="15" t="n">
        <v>170</v>
      </c>
      <c r="C190" s="15" t="s">
        <v>14692</v>
      </c>
      <c r="D190" s="15" t="s">
        <v>14693</v>
      </c>
      <c r="E190" s="15" t="s">
        <v>14694</v>
      </c>
      <c r="F190" s="153" t="s">
        <v>14695</v>
      </c>
    </row>
    <row r="191" customFormat="false" ht="16.5" hidden="false" customHeight="true" outlineLevel="0" collapsed="false">
      <c r="B191" s="15" t="n">
        <v>171</v>
      </c>
      <c r="C191" s="15" t="s">
        <v>14696</v>
      </c>
      <c r="D191" s="15" t="s">
        <v>14697</v>
      </c>
      <c r="E191" s="15" t="s">
        <v>14698</v>
      </c>
      <c r="F191" s="153" t="s">
        <v>14438</v>
      </c>
    </row>
    <row r="192" customFormat="false" ht="16.5" hidden="false" customHeight="true" outlineLevel="0" collapsed="false">
      <c r="B192" s="15" t="n">
        <v>172</v>
      </c>
      <c r="C192" s="15" t="s">
        <v>14699</v>
      </c>
      <c r="D192" s="15" t="s">
        <v>14700</v>
      </c>
      <c r="E192" s="15" t="s">
        <v>14701</v>
      </c>
      <c r="F192" s="153" t="s">
        <v>14464</v>
      </c>
    </row>
    <row r="193" customFormat="false" ht="30.75" hidden="false" customHeight="true" outlineLevel="0" collapsed="false">
      <c r="B193" s="15" t="n">
        <v>173</v>
      </c>
      <c r="C193" s="15" t="s">
        <v>14702</v>
      </c>
      <c r="D193" s="15" t="s">
        <v>14703</v>
      </c>
      <c r="E193" s="15" t="s">
        <v>14704</v>
      </c>
      <c r="F193" s="153" t="s">
        <v>14438</v>
      </c>
    </row>
    <row r="194" customFormat="false" ht="16.5" hidden="false" customHeight="true" outlineLevel="0" collapsed="false">
      <c r="B194" s="15" t="n">
        <v>174</v>
      </c>
      <c r="C194" s="15" t="s">
        <v>4785</v>
      </c>
      <c r="D194" s="15" t="s">
        <v>14705</v>
      </c>
      <c r="E194" s="15" t="s">
        <v>14706</v>
      </c>
      <c r="F194" s="153" t="s">
        <v>14707</v>
      </c>
    </row>
    <row r="195" customFormat="false" ht="30.75" hidden="false" customHeight="true" outlineLevel="0" collapsed="false">
      <c r="B195" s="15" t="n">
        <v>175</v>
      </c>
      <c r="C195" s="15" t="s">
        <v>14708</v>
      </c>
      <c r="D195" s="15" t="s">
        <v>14709</v>
      </c>
      <c r="E195" s="15" t="s">
        <v>14710</v>
      </c>
      <c r="F195" s="153" t="s">
        <v>5184</v>
      </c>
    </row>
    <row r="196" customFormat="false" ht="30.75" hidden="false" customHeight="true" outlineLevel="0" collapsed="false">
      <c r="B196" s="15" t="n">
        <v>176</v>
      </c>
      <c r="C196" s="15" t="s">
        <v>14711</v>
      </c>
      <c r="D196" s="15" t="s">
        <v>14712</v>
      </c>
      <c r="E196" s="15" t="s">
        <v>14713</v>
      </c>
      <c r="F196" s="153" t="s">
        <v>5196</v>
      </c>
    </row>
    <row r="197" customFormat="false" ht="16.5" hidden="false" customHeight="true" outlineLevel="0" collapsed="false">
      <c r="B197" s="15" t="n">
        <v>177</v>
      </c>
      <c r="C197" s="15" t="s">
        <v>14714</v>
      </c>
      <c r="D197" s="15" t="s">
        <v>14715</v>
      </c>
      <c r="E197" s="15" t="s">
        <v>14716</v>
      </c>
      <c r="F197" s="153" t="s">
        <v>14458</v>
      </c>
    </row>
    <row r="198" customFormat="false" ht="16.5" hidden="false" customHeight="true" outlineLevel="0" collapsed="false">
      <c r="B198" s="15" t="n">
        <v>178</v>
      </c>
      <c r="C198" s="15" t="s">
        <v>14717</v>
      </c>
      <c r="D198" s="15" t="s">
        <v>14718</v>
      </c>
      <c r="E198" s="15" t="s">
        <v>14719</v>
      </c>
      <c r="F198" s="153" t="s">
        <v>14720</v>
      </c>
    </row>
    <row r="199" customFormat="false" ht="16.5" hidden="false" customHeight="true" outlineLevel="0" collapsed="false">
      <c r="B199" s="15" t="n">
        <v>179</v>
      </c>
      <c r="C199" s="15" t="s">
        <v>14721</v>
      </c>
      <c r="D199" s="15" t="s">
        <v>14722</v>
      </c>
      <c r="E199" s="15" t="s">
        <v>14723</v>
      </c>
      <c r="F199" s="153" t="s">
        <v>14186</v>
      </c>
    </row>
    <row r="200" customFormat="false" ht="16.5" hidden="false" customHeight="true" outlineLevel="0" collapsed="false">
      <c r="B200" s="15" t="n">
        <v>180</v>
      </c>
      <c r="C200" s="15" t="s">
        <v>11752</v>
      </c>
      <c r="D200" s="15" t="s">
        <v>14724</v>
      </c>
      <c r="E200" s="15" t="s">
        <v>14725</v>
      </c>
      <c r="F200" s="153" t="s">
        <v>14203</v>
      </c>
    </row>
    <row r="201" customFormat="false" ht="16.5" hidden="false" customHeight="true" outlineLevel="0" collapsed="false">
      <c r="B201" s="15" t="n">
        <v>181</v>
      </c>
      <c r="C201" s="15" t="s">
        <v>14726</v>
      </c>
      <c r="D201" s="15" t="s">
        <v>14727</v>
      </c>
      <c r="E201" s="15" t="s">
        <v>14728</v>
      </c>
      <c r="F201" s="153" t="s">
        <v>14729</v>
      </c>
    </row>
    <row r="202" customFormat="false" ht="16.5" hidden="false" customHeight="true" outlineLevel="0" collapsed="false">
      <c r="B202" s="15" t="n">
        <v>182</v>
      </c>
      <c r="C202" s="15" t="s">
        <v>14730</v>
      </c>
      <c r="D202" s="15" t="s">
        <v>14731</v>
      </c>
      <c r="E202" s="15" t="s">
        <v>14732</v>
      </c>
      <c r="F202" s="153" t="s">
        <v>14733</v>
      </c>
    </row>
    <row r="203" customFormat="false" ht="16.5" hidden="false" customHeight="true" outlineLevel="0" collapsed="false">
      <c r="B203" s="15" t="n">
        <v>183</v>
      </c>
      <c r="C203" s="15" t="s">
        <v>14734</v>
      </c>
      <c r="D203" s="15" t="s">
        <v>14735</v>
      </c>
      <c r="E203" s="15" t="s">
        <v>14736</v>
      </c>
      <c r="F203" s="153" t="s">
        <v>14733</v>
      </c>
    </row>
    <row r="204" customFormat="false" ht="16.5" hidden="false" customHeight="true" outlineLevel="0" collapsed="false">
      <c r="B204" s="15" t="n">
        <v>184</v>
      </c>
      <c r="C204" s="15" t="s">
        <v>14737</v>
      </c>
      <c r="D204" s="15" t="s">
        <v>14737</v>
      </c>
      <c r="E204" s="15" t="s">
        <v>14738</v>
      </c>
      <c r="F204" s="153" t="s">
        <v>14210</v>
      </c>
    </row>
    <row r="205" customFormat="false" ht="16.5" hidden="false" customHeight="true" outlineLevel="0" collapsed="false">
      <c r="B205" s="15" t="n">
        <v>185</v>
      </c>
      <c r="C205" s="15" t="s">
        <v>14739</v>
      </c>
      <c r="D205" s="15" t="s">
        <v>14740</v>
      </c>
      <c r="E205" s="15" t="s">
        <v>14741</v>
      </c>
      <c r="F205" s="153" t="s">
        <v>14355</v>
      </c>
    </row>
    <row r="206" customFormat="false" ht="30.75" hidden="false" customHeight="true" outlineLevel="0" collapsed="false">
      <c r="B206" s="15" t="n">
        <v>186</v>
      </c>
      <c r="C206" s="15" t="s">
        <v>14742</v>
      </c>
      <c r="D206" s="15" t="s">
        <v>14743</v>
      </c>
      <c r="E206" s="15" t="s">
        <v>14744</v>
      </c>
      <c r="F206" s="153" t="s">
        <v>5188</v>
      </c>
    </row>
    <row r="207" customFormat="false" ht="16.5" hidden="false" customHeight="true" outlineLevel="0" collapsed="false">
      <c r="B207" s="15" t="n">
        <v>187</v>
      </c>
      <c r="C207" s="15" t="s">
        <v>14745</v>
      </c>
      <c r="D207" s="15" t="s">
        <v>14746</v>
      </c>
      <c r="E207" s="15" t="s">
        <v>14747</v>
      </c>
      <c r="F207" s="153" t="s">
        <v>14203</v>
      </c>
    </row>
    <row r="208" customFormat="false" ht="16.5" hidden="false" customHeight="true" outlineLevel="0" collapsed="false">
      <c r="B208" s="15" t="n">
        <v>188</v>
      </c>
      <c r="C208" s="15" t="s">
        <v>14095</v>
      </c>
      <c r="D208" s="15" t="s">
        <v>14748</v>
      </c>
      <c r="E208" s="15" t="s">
        <v>14749</v>
      </c>
      <c r="F208" s="153" t="s">
        <v>14297</v>
      </c>
    </row>
    <row r="209" customFormat="false" ht="16.5" hidden="false" customHeight="true" outlineLevel="0" collapsed="false">
      <c r="B209" s="15" t="n">
        <v>189</v>
      </c>
      <c r="C209" s="15" t="s">
        <v>182</v>
      </c>
      <c r="D209" s="15" t="s">
        <v>182</v>
      </c>
      <c r="E209" s="15" t="s">
        <v>14750</v>
      </c>
      <c r="F209" s="153" t="s">
        <v>14506</v>
      </c>
    </row>
    <row r="210" customFormat="false" ht="16.5" hidden="false" customHeight="true" outlineLevel="0" collapsed="false">
      <c r="B210" s="15" t="n">
        <v>190</v>
      </c>
      <c r="C210" s="15" t="s">
        <v>14751</v>
      </c>
      <c r="D210" s="15" t="s">
        <v>14752</v>
      </c>
      <c r="E210" s="15" t="s">
        <v>14753</v>
      </c>
      <c r="F210" s="153" t="s">
        <v>14267</v>
      </c>
    </row>
    <row r="211" customFormat="false" ht="16.5" hidden="false" customHeight="true" outlineLevel="0" collapsed="false">
      <c r="B211" s="15" t="n">
        <v>191</v>
      </c>
      <c r="C211" s="15" t="s">
        <v>7912</v>
      </c>
      <c r="D211" s="15" t="s">
        <v>14754</v>
      </c>
      <c r="E211" s="15" t="s">
        <v>14755</v>
      </c>
      <c r="F211" s="153" t="s">
        <v>14313</v>
      </c>
    </row>
    <row r="212" customFormat="false" ht="16.5" hidden="false" customHeight="true" outlineLevel="0" collapsed="false">
      <c r="B212" s="15" t="n">
        <v>192</v>
      </c>
      <c r="C212" s="15" t="s">
        <v>14756</v>
      </c>
      <c r="D212" s="15" t="s">
        <v>14757</v>
      </c>
      <c r="E212" s="15" t="s">
        <v>13383</v>
      </c>
      <c r="F212" s="153" t="s">
        <v>14359</v>
      </c>
    </row>
    <row r="213" customFormat="false" ht="30.75" hidden="false" customHeight="true" outlineLevel="0" collapsed="false">
      <c r="B213" s="15" t="n">
        <v>193</v>
      </c>
      <c r="C213" s="15" t="s">
        <v>14758</v>
      </c>
      <c r="D213" s="15" t="s">
        <v>14759</v>
      </c>
      <c r="E213" s="15" t="s">
        <v>14760</v>
      </c>
      <c r="F213" s="153" t="s">
        <v>14761</v>
      </c>
    </row>
    <row r="214" customFormat="false" ht="16.5" hidden="false" customHeight="true" outlineLevel="0" collapsed="false">
      <c r="B214" s="15" t="n">
        <v>194</v>
      </c>
      <c r="C214" s="15" t="s">
        <v>14762</v>
      </c>
      <c r="D214" s="15" t="s">
        <v>14763</v>
      </c>
      <c r="E214" s="15" t="s">
        <v>14764</v>
      </c>
      <c r="F214" s="153" t="s">
        <v>5724</v>
      </c>
    </row>
    <row r="215" customFormat="false" ht="16.5" hidden="false" customHeight="true" outlineLevel="0" collapsed="false">
      <c r="B215" s="15" t="n">
        <v>195</v>
      </c>
      <c r="C215" s="15" t="s">
        <v>14765</v>
      </c>
      <c r="D215" s="15" t="s">
        <v>14766</v>
      </c>
      <c r="E215" s="15" t="s">
        <v>14767</v>
      </c>
      <c r="F215" s="153" t="s">
        <v>14232</v>
      </c>
    </row>
    <row r="216" customFormat="false" ht="30.75" hidden="false" customHeight="true" outlineLevel="0" collapsed="false">
      <c r="B216" s="15" t="n">
        <v>196</v>
      </c>
      <c r="C216" s="15" t="s">
        <v>14768</v>
      </c>
      <c r="D216" s="15" t="s">
        <v>14769</v>
      </c>
      <c r="E216" s="15" t="s">
        <v>14770</v>
      </c>
      <c r="F216" s="153" t="s">
        <v>14297</v>
      </c>
    </row>
    <row r="217" customFormat="false" ht="16.5" hidden="false" customHeight="true" outlineLevel="0" collapsed="false">
      <c r="B217" s="15" t="n">
        <v>197</v>
      </c>
      <c r="C217" s="15" t="s">
        <v>12520</v>
      </c>
      <c r="D217" s="15" t="s">
        <v>14771</v>
      </c>
      <c r="E217" s="15" t="s">
        <v>14772</v>
      </c>
      <c r="F217" s="153" t="s">
        <v>14773</v>
      </c>
    </row>
    <row r="218" customFormat="false" ht="30.75" hidden="false" customHeight="true" outlineLevel="0" collapsed="false">
      <c r="B218" s="15" t="n">
        <v>198</v>
      </c>
      <c r="C218" s="15" t="s">
        <v>1477</v>
      </c>
      <c r="D218" s="15" t="s">
        <v>14774</v>
      </c>
      <c r="E218" s="15" t="s">
        <v>14775</v>
      </c>
      <c r="F218" s="153" t="s">
        <v>14543</v>
      </c>
    </row>
    <row r="219" customFormat="false" ht="16.5" hidden="false" customHeight="true" outlineLevel="0" collapsed="false">
      <c r="B219" s="15" t="n">
        <v>199</v>
      </c>
      <c r="C219" s="15" t="s">
        <v>14776</v>
      </c>
      <c r="D219" s="15" t="s">
        <v>14777</v>
      </c>
      <c r="E219" s="15" t="s">
        <v>14778</v>
      </c>
      <c r="F219" s="153" t="s">
        <v>14779</v>
      </c>
    </row>
    <row r="220" customFormat="false" ht="30.75" hidden="false" customHeight="true" outlineLevel="0" collapsed="false">
      <c r="B220" s="15" t="n">
        <v>200</v>
      </c>
      <c r="C220" s="15" t="s">
        <v>14780</v>
      </c>
      <c r="D220" s="15" t="s">
        <v>14781</v>
      </c>
      <c r="E220" s="15" t="s">
        <v>14782</v>
      </c>
      <c r="F220" s="153" t="s">
        <v>14783</v>
      </c>
    </row>
    <row r="221" customFormat="false" ht="16.5" hidden="false" customHeight="true" outlineLevel="0" collapsed="false">
      <c r="B221" s="15" t="n">
        <v>201</v>
      </c>
      <c r="C221" s="15" t="s">
        <v>511</v>
      </c>
      <c r="D221" s="15" t="s">
        <v>14784</v>
      </c>
      <c r="E221" s="15" t="s">
        <v>14785</v>
      </c>
      <c r="F221" s="153" t="s">
        <v>14786</v>
      </c>
    </row>
    <row r="222" customFormat="false" ht="16.5" hidden="false" customHeight="true" outlineLevel="0" collapsed="false">
      <c r="B222" s="15" t="n">
        <v>202</v>
      </c>
      <c r="C222" s="15" t="s">
        <v>14787</v>
      </c>
      <c r="D222" s="15" t="s">
        <v>14788</v>
      </c>
      <c r="E222" s="15" t="s">
        <v>14789</v>
      </c>
      <c r="F222" s="153" t="s">
        <v>14495</v>
      </c>
    </row>
    <row r="223" customFormat="false" ht="16.5" hidden="false" customHeight="true" outlineLevel="0" collapsed="false">
      <c r="B223" s="15" t="n">
        <v>203</v>
      </c>
      <c r="C223" s="15" t="s">
        <v>14790</v>
      </c>
      <c r="D223" s="15" t="s">
        <v>14791</v>
      </c>
      <c r="E223" s="15" t="s">
        <v>14792</v>
      </c>
      <c r="F223" s="153" t="s">
        <v>14359</v>
      </c>
    </row>
    <row r="224" customFormat="false" ht="16.5" hidden="false" customHeight="true" outlineLevel="0" collapsed="false">
      <c r="B224" s="15" t="n">
        <v>204</v>
      </c>
      <c r="C224" s="15" t="s">
        <v>14793</v>
      </c>
      <c r="D224" s="15" t="s">
        <v>14794</v>
      </c>
      <c r="E224" s="15" t="s">
        <v>14795</v>
      </c>
      <c r="F224" s="153" t="s">
        <v>14779</v>
      </c>
    </row>
    <row r="225" customFormat="false" ht="16.5" hidden="false" customHeight="true" outlineLevel="0" collapsed="false">
      <c r="B225" s="15" t="n">
        <v>205</v>
      </c>
      <c r="C225" s="15" t="s">
        <v>14796</v>
      </c>
      <c r="D225" s="15" t="s">
        <v>14797</v>
      </c>
      <c r="E225" s="15" t="s">
        <v>14798</v>
      </c>
      <c r="F225" s="153" t="s">
        <v>14389</v>
      </c>
    </row>
    <row r="226" customFormat="false" ht="16.5" hidden="false" customHeight="true" outlineLevel="0" collapsed="false">
      <c r="B226" s="15" t="n">
        <v>206</v>
      </c>
      <c r="C226" s="15" t="s">
        <v>6773</v>
      </c>
      <c r="D226" s="15" t="s">
        <v>14799</v>
      </c>
      <c r="E226" s="15" t="s">
        <v>14800</v>
      </c>
      <c r="F226" s="153" t="s">
        <v>14379</v>
      </c>
    </row>
    <row r="227" customFormat="false" ht="16.5" hidden="false" customHeight="true" outlineLevel="0" collapsed="false">
      <c r="B227" s="15" t="n">
        <v>207</v>
      </c>
      <c r="C227" s="15" t="s">
        <v>7887</v>
      </c>
      <c r="D227" s="15" t="s">
        <v>7887</v>
      </c>
      <c r="E227" s="15" t="s">
        <v>14801</v>
      </c>
      <c r="F227" s="153" t="s">
        <v>14242</v>
      </c>
    </row>
    <row r="228" customFormat="false" ht="30.75" hidden="false" customHeight="true" outlineLevel="0" collapsed="false">
      <c r="B228" s="15" t="n">
        <v>208</v>
      </c>
      <c r="C228" s="15" t="s">
        <v>14802</v>
      </c>
      <c r="D228" s="15" t="s">
        <v>14803</v>
      </c>
      <c r="E228" s="15" t="s">
        <v>14804</v>
      </c>
      <c r="F228" s="153" t="s">
        <v>14275</v>
      </c>
    </row>
    <row r="229" customFormat="false" ht="16.5" hidden="false" customHeight="true" outlineLevel="0" collapsed="false">
      <c r="B229" s="15" t="n">
        <v>209</v>
      </c>
      <c r="C229" s="15" t="s">
        <v>14805</v>
      </c>
      <c r="D229" s="15" t="s">
        <v>14806</v>
      </c>
      <c r="E229" s="15" t="s">
        <v>14807</v>
      </c>
      <c r="F229" s="153" t="s">
        <v>14516</v>
      </c>
    </row>
    <row r="230" customFormat="false" ht="16.5" hidden="false" customHeight="true" outlineLevel="0" collapsed="false">
      <c r="B230" s="15" t="n">
        <v>210</v>
      </c>
      <c r="C230" s="15" t="s">
        <v>14808</v>
      </c>
      <c r="D230" s="15" t="s">
        <v>14809</v>
      </c>
      <c r="E230" s="15" t="s">
        <v>14810</v>
      </c>
      <c r="F230" s="153" t="s">
        <v>14811</v>
      </c>
    </row>
    <row r="231" customFormat="false" ht="16.5" hidden="false" customHeight="true" outlineLevel="0" collapsed="false">
      <c r="B231" s="15" t="n">
        <v>211</v>
      </c>
      <c r="C231" s="15" t="s">
        <v>14812</v>
      </c>
      <c r="D231" s="15" t="s">
        <v>14813</v>
      </c>
      <c r="E231" s="15" t="s">
        <v>14814</v>
      </c>
      <c r="F231" s="153" t="s">
        <v>14239</v>
      </c>
    </row>
    <row r="232" customFormat="false" ht="16.5" hidden="false" customHeight="true" outlineLevel="0" collapsed="false">
      <c r="B232" s="15" t="n">
        <v>212</v>
      </c>
      <c r="C232" s="15" t="s">
        <v>14815</v>
      </c>
      <c r="D232" s="15" t="s">
        <v>14816</v>
      </c>
      <c r="E232" s="15" t="s">
        <v>14817</v>
      </c>
      <c r="F232" s="153" t="s">
        <v>14729</v>
      </c>
    </row>
    <row r="233" customFormat="false" ht="16.5" hidden="false" customHeight="true" outlineLevel="0" collapsed="false">
      <c r="B233" s="15" t="n">
        <v>213</v>
      </c>
      <c r="C233" s="15" t="s">
        <v>3750</v>
      </c>
      <c r="D233" s="15" t="s">
        <v>3750</v>
      </c>
      <c r="E233" s="15" t="s">
        <v>14818</v>
      </c>
      <c r="F233" s="153" t="s">
        <v>2927</v>
      </c>
    </row>
    <row r="234" customFormat="false" ht="16.5" hidden="false" customHeight="true" outlineLevel="0" collapsed="false">
      <c r="B234" s="15" t="n">
        <v>214</v>
      </c>
      <c r="C234" s="15" t="s">
        <v>14819</v>
      </c>
      <c r="D234" s="15" t="s">
        <v>14820</v>
      </c>
      <c r="E234" s="15" t="s">
        <v>14821</v>
      </c>
      <c r="F234" s="153" t="s">
        <v>14214</v>
      </c>
    </row>
    <row r="235" customFormat="false" ht="16.5" hidden="false" customHeight="true" outlineLevel="0" collapsed="false">
      <c r="B235" s="15" t="n">
        <v>215</v>
      </c>
      <c r="C235" s="15" t="s">
        <v>14822</v>
      </c>
      <c r="D235" s="15" t="s">
        <v>14823</v>
      </c>
      <c r="E235" s="15" t="s">
        <v>14824</v>
      </c>
      <c r="F235" s="153" t="s">
        <v>14214</v>
      </c>
    </row>
    <row r="236" customFormat="false" ht="16.5" hidden="false" customHeight="true" outlineLevel="0" collapsed="false">
      <c r="B236" s="15" t="n">
        <v>216</v>
      </c>
      <c r="C236" s="15" t="s">
        <v>5741</v>
      </c>
      <c r="D236" s="15" t="s">
        <v>14825</v>
      </c>
      <c r="E236" s="15" t="s">
        <v>14826</v>
      </c>
      <c r="F236" s="153" t="s">
        <v>5739</v>
      </c>
    </row>
    <row r="237" customFormat="false" ht="16.5" hidden="false" customHeight="true" outlineLevel="0" collapsed="false">
      <c r="B237" s="15" t="n">
        <v>217</v>
      </c>
      <c r="C237" s="15" t="s">
        <v>14827</v>
      </c>
      <c r="D237" s="15" t="s">
        <v>14828</v>
      </c>
      <c r="E237" s="15" t="s">
        <v>14829</v>
      </c>
      <c r="F237" s="153" t="s">
        <v>14458</v>
      </c>
    </row>
    <row r="238" customFormat="false" ht="16.5" hidden="false" customHeight="true" outlineLevel="0" collapsed="false">
      <c r="B238" s="15" t="n">
        <v>218</v>
      </c>
      <c r="C238" s="15" t="s">
        <v>14830</v>
      </c>
      <c r="D238" s="15" t="s">
        <v>14831</v>
      </c>
      <c r="E238" s="15" t="s">
        <v>14832</v>
      </c>
      <c r="F238" s="153" t="s">
        <v>14604</v>
      </c>
    </row>
    <row r="239" customFormat="false" ht="30.75" hidden="false" customHeight="true" outlineLevel="0" collapsed="false">
      <c r="B239" s="15" t="n">
        <v>219</v>
      </c>
      <c r="C239" s="15" t="s">
        <v>14833</v>
      </c>
      <c r="D239" s="15" t="s">
        <v>14834</v>
      </c>
      <c r="E239" s="15" t="s">
        <v>14835</v>
      </c>
      <c r="F239" s="153" t="s">
        <v>14604</v>
      </c>
    </row>
    <row r="240" customFormat="false" ht="16.5" hidden="false" customHeight="true" outlineLevel="0" collapsed="false">
      <c r="B240" s="15" t="n">
        <v>220</v>
      </c>
      <c r="C240" s="15" t="s">
        <v>14836</v>
      </c>
      <c r="D240" s="15" t="s">
        <v>14837</v>
      </c>
      <c r="E240" s="15" t="s">
        <v>14838</v>
      </c>
      <c r="F240" s="153" t="s">
        <v>14236</v>
      </c>
    </row>
    <row r="241" customFormat="false" ht="16.5" hidden="false" customHeight="true" outlineLevel="0" collapsed="false">
      <c r="B241" s="15" t="n">
        <v>221</v>
      </c>
      <c r="C241" s="15" t="s">
        <v>3698</v>
      </c>
      <c r="D241" s="15" t="s">
        <v>14839</v>
      </c>
      <c r="E241" s="15" t="s">
        <v>14840</v>
      </c>
      <c r="F241" s="153" t="s">
        <v>14543</v>
      </c>
    </row>
    <row r="242" customFormat="false" ht="16.5" hidden="false" customHeight="true" outlineLevel="0" collapsed="false">
      <c r="B242" s="15" t="n">
        <v>222</v>
      </c>
      <c r="C242" s="15" t="s">
        <v>14841</v>
      </c>
      <c r="D242" s="15" t="s">
        <v>14842</v>
      </c>
      <c r="E242" s="15" t="s">
        <v>14843</v>
      </c>
      <c r="F242" s="153" t="s">
        <v>14232</v>
      </c>
    </row>
    <row r="243" customFormat="false" ht="16.5" hidden="false" customHeight="true" outlineLevel="0" collapsed="false">
      <c r="B243" s="15" t="n">
        <v>223</v>
      </c>
      <c r="C243" s="15" t="s">
        <v>4901</v>
      </c>
      <c r="D243" s="15" t="s">
        <v>14844</v>
      </c>
      <c r="E243" s="15" t="s">
        <v>14845</v>
      </c>
      <c r="F243" s="153" t="s">
        <v>14846</v>
      </c>
    </row>
    <row r="244" customFormat="false" ht="30.75" hidden="false" customHeight="true" outlineLevel="0" collapsed="false">
      <c r="B244" s="15" t="n">
        <v>224</v>
      </c>
      <c r="C244" s="15" t="s">
        <v>14847</v>
      </c>
      <c r="D244" s="15" t="s">
        <v>14848</v>
      </c>
      <c r="E244" s="15" t="s">
        <v>14849</v>
      </c>
      <c r="F244" s="153" t="s">
        <v>14850</v>
      </c>
    </row>
    <row r="245" customFormat="false" ht="16.5" hidden="false" customHeight="true" outlineLevel="0" collapsed="false">
      <c r="B245" s="15" t="n">
        <v>225</v>
      </c>
      <c r="C245" s="15" t="s">
        <v>14851</v>
      </c>
      <c r="D245" s="15" t="s">
        <v>14852</v>
      </c>
      <c r="E245" s="15" t="s">
        <v>14853</v>
      </c>
      <c r="F245" s="153" t="s">
        <v>14370</v>
      </c>
    </row>
    <row r="246" customFormat="false" ht="30.75" hidden="false" customHeight="true" outlineLevel="0" collapsed="false">
      <c r="B246" s="15" t="n">
        <v>226</v>
      </c>
      <c r="C246" s="15" t="s">
        <v>14854</v>
      </c>
      <c r="D246" s="15" t="s">
        <v>14855</v>
      </c>
      <c r="E246" s="15" t="s">
        <v>14856</v>
      </c>
      <c r="F246" s="153" t="s">
        <v>14232</v>
      </c>
    </row>
    <row r="247" customFormat="false" ht="16.5" hidden="false" customHeight="true" outlineLevel="0" collapsed="false">
      <c r="B247" s="15" t="n">
        <v>227</v>
      </c>
      <c r="C247" s="15" t="s">
        <v>14857</v>
      </c>
      <c r="D247" s="15" t="s">
        <v>14858</v>
      </c>
      <c r="E247" s="15" t="s">
        <v>14859</v>
      </c>
      <c r="F247" s="153" t="s">
        <v>14565</v>
      </c>
    </row>
    <row r="248" customFormat="false" ht="16.5" hidden="false" customHeight="true" outlineLevel="0" collapsed="false">
      <c r="B248" s="15" t="n">
        <v>228</v>
      </c>
      <c r="C248" s="15" t="s">
        <v>14860</v>
      </c>
      <c r="D248" s="15" t="s">
        <v>14861</v>
      </c>
      <c r="E248" s="15" t="s">
        <v>14862</v>
      </c>
      <c r="F248" s="153" t="s">
        <v>14863</v>
      </c>
    </row>
    <row r="249" customFormat="false" ht="30.75" hidden="false" customHeight="true" outlineLevel="0" collapsed="false">
      <c r="B249" s="15" t="n">
        <v>229</v>
      </c>
      <c r="C249" s="15" t="s">
        <v>14864</v>
      </c>
      <c r="D249" s="15" t="s">
        <v>14865</v>
      </c>
      <c r="E249" s="15" t="s">
        <v>14866</v>
      </c>
      <c r="F249" s="153" t="s">
        <v>14867</v>
      </c>
    </row>
    <row r="250" customFormat="false" ht="16.5" hidden="false" customHeight="true" outlineLevel="0" collapsed="false">
      <c r="B250" s="15" t="n">
        <v>230</v>
      </c>
      <c r="C250" s="15" t="s">
        <v>14868</v>
      </c>
      <c r="D250" s="15" t="s">
        <v>14869</v>
      </c>
      <c r="E250" s="15" t="s">
        <v>14870</v>
      </c>
      <c r="F250" s="153" t="s">
        <v>14516</v>
      </c>
    </row>
    <row r="251" customFormat="false" ht="16.5" hidden="false" customHeight="true" outlineLevel="0" collapsed="false">
      <c r="B251" s="15" t="n">
        <v>231</v>
      </c>
      <c r="C251" s="15" t="s">
        <v>14871</v>
      </c>
      <c r="D251" s="15" t="s">
        <v>14872</v>
      </c>
      <c r="E251" s="15" t="s">
        <v>14873</v>
      </c>
      <c r="F251" s="153" t="s">
        <v>5727</v>
      </c>
    </row>
    <row r="252" customFormat="false" ht="16.5" hidden="false" customHeight="true" outlineLevel="0" collapsed="false">
      <c r="B252" s="15" t="n">
        <v>232</v>
      </c>
      <c r="C252" s="15" t="s">
        <v>14874</v>
      </c>
      <c r="D252" s="15" t="s">
        <v>14874</v>
      </c>
      <c r="E252" s="15" t="s">
        <v>14875</v>
      </c>
      <c r="F252" s="153" t="s">
        <v>14246</v>
      </c>
    </row>
    <row r="253" customFormat="false" ht="16.5" hidden="false" customHeight="true" outlineLevel="0" collapsed="false">
      <c r="B253" s="15" t="n">
        <v>233</v>
      </c>
      <c r="C253" s="15" t="s">
        <v>9614</v>
      </c>
      <c r="D253" s="15" t="s">
        <v>14634</v>
      </c>
      <c r="E253" s="15" t="s">
        <v>14876</v>
      </c>
      <c r="F253" s="153" t="s">
        <v>14242</v>
      </c>
    </row>
    <row r="254" customFormat="false" ht="16.5" hidden="false" customHeight="true" outlineLevel="0" collapsed="false">
      <c r="B254" s="15" t="n">
        <v>234</v>
      </c>
      <c r="C254" s="15" t="s">
        <v>14877</v>
      </c>
      <c r="D254" s="15" t="s">
        <v>14878</v>
      </c>
      <c r="E254" s="15" t="s">
        <v>14879</v>
      </c>
      <c r="F254" s="153" t="s">
        <v>14584</v>
      </c>
    </row>
    <row r="255" customFormat="false" ht="16.5" hidden="false" customHeight="true" outlineLevel="0" collapsed="false">
      <c r="B255" s="15" t="n">
        <v>235</v>
      </c>
      <c r="C255" s="15" t="s">
        <v>6396</v>
      </c>
      <c r="D255" s="15" t="s">
        <v>6396</v>
      </c>
      <c r="E255" s="15" t="s">
        <v>14880</v>
      </c>
      <c r="F255" s="153" t="s">
        <v>14297</v>
      </c>
    </row>
    <row r="256" customFormat="false" ht="16.5" hidden="false" customHeight="true" outlineLevel="0" collapsed="false">
      <c r="B256" s="15" t="n">
        <v>236</v>
      </c>
      <c r="C256" s="15" t="s">
        <v>14881</v>
      </c>
      <c r="D256" s="15" t="s">
        <v>14882</v>
      </c>
      <c r="E256" s="15" t="s">
        <v>14883</v>
      </c>
      <c r="F256" s="153" t="s">
        <v>14552</v>
      </c>
    </row>
    <row r="258" customFormat="false" ht="30.75" hidden="false" customHeight="true" outlineLevel="0" collapsed="false">
      <c r="B258" s="162" t="s">
        <v>14884</v>
      </c>
      <c r="C258" s="185" t="n">
        <f aca="false">COUNTA(C21:C256)</f>
        <v>236</v>
      </c>
      <c r="D258" s="15" t="s">
        <v>14885</v>
      </c>
    </row>
    <row r="260" customFormat="false" ht="15.75" hidden="false" customHeight="true" outlineLevel="0" collapsed="false">
      <c r="B260" s="103" t="s">
        <v>13754</v>
      </c>
      <c r="C260" s="8"/>
      <c r="D260" s="8"/>
      <c r="E260" s="8"/>
      <c r="F260" s="8"/>
      <c r="G260" s="8"/>
      <c r="H260" s="8"/>
      <c r="I260" s="8"/>
      <c r="J260" s="8"/>
      <c r="K260" s="8"/>
    </row>
    <row r="261" customFormat="false" ht="30.75" hidden="false" customHeight="true" outlineLevel="0" collapsed="false">
      <c r="B261" s="152" t="s">
        <v>1523</v>
      </c>
      <c r="C261" s="152" t="s">
        <v>1524</v>
      </c>
      <c r="D261" s="152" t="s">
        <v>6719</v>
      </c>
    </row>
    <row r="262" customFormat="false" ht="30.75" hidden="false" customHeight="true" outlineLevel="0" collapsed="false">
      <c r="B262" s="170" t="s">
        <v>14886</v>
      </c>
      <c r="C262" s="170" t="s">
        <v>13983</v>
      </c>
      <c r="D262" s="170" t="s">
        <v>14887</v>
      </c>
    </row>
  </sheetData>
  <mergeCells count="8">
    <mergeCell ref="B2:J2"/>
    <mergeCell ref="D3:E3"/>
    <mergeCell ref="B6:D7"/>
    <mergeCell ref="B8:D11"/>
    <mergeCell ref="B12:D13"/>
    <mergeCell ref="B14:D15"/>
    <mergeCell ref="B17:D17"/>
    <mergeCell ref="B18:D18"/>
  </mergeCells>
  <hyperlinks>
    <hyperlink ref="B3" location="'N-03 Index DMAIC'!A1" display="← Back to Index"/>
    <hyperlink ref="F21" location="'H-11 5 Whys'!A1" display="H-11 5 Whys"/>
    <hyperlink ref="F22" location="'L-12 5S'!A1" display="L-12 5S"/>
    <hyperlink ref="F23" location="'H-15 8D Problem Solving'!A1" display="H-15 8D Problem Solving"/>
    <hyperlink ref="F24" location="'H-14 A3 Problem Solving'!A1" display="H-14 A3 Problem Solving"/>
    <hyperlink ref="F25" location="'E-60 MSA Bias Linearity'!A1" display="E-60 MSA Bias Linearity"/>
    <hyperlink ref="F26" location="'H-13 FMEA AIAG-VDA'!A1" display="H-13 FMEA AIAG-VDA"/>
    <hyperlink ref="F27" location="'G-06 Change Management'!A1" display="G-06 Change Management"/>
    <hyperlink ref="F28" location="'L-24 Idea Generation'!A1" display="L-24 Idea Generation"/>
    <hyperlink ref="F29" location="'E-19 Type I II Error Power'!A1" display="E-19 Type I II Error Power"/>
    <hyperlink ref="F30" location="'E-17 Hypothesis Framework'!A1" display="E-17 Hypothesis Framework"/>
    <hyperlink ref="F31" location="'L-18 Jidoka and Andon'!A1" display="L-18 Jidoka and Andon"/>
    <hyperlink ref="F32" location="'E-26 One-Way ANOVA'!A1" display="E-26 One-Way ANOVA"/>
    <hyperlink ref="F33" location="'G-02 Business Case COPQ'!A1" display="G-02 Business Case COPQ"/>
    <hyperlink ref="F34" location="'E-47 Common vs Special Cause'!A1" display="E-47 Common vs Special Cause"/>
    <hyperlink ref="F35" location="'E-01 Data Types'!A1" display="E-01 Data Types"/>
    <hyperlink ref="F36" location="'L-16 TPM'!A1" display="L-16 TPM"/>
    <hyperlink ref="F37" location="'L-11 OEE'!A1" display="L-11 OEE"/>
    <hyperlink ref="F38" location="'L-10 Line Balancing'!A1" display="L-10 Line Balancing"/>
    <hyperlink ref="F39" location="'H-01 Project Charter'!A1" display="H-01 Project Charter"/>
    <hyperlink ref="F40" location="'G-01 Project Selection'!A1" display="G-01 Project Selection"/>
    <hyperlink ref="F41" location="'E-19 Type I II Error Power'!A1" display="E-19 Type I II Error Power"/>
    <hyperlink ref="F42" location="'E-60 MSA Bias Linearity'!A1" display="E-60 MSA Bias Linearity"/>
    <hyperlink ref="F43" location="'H-07 Histogram and Box Plot'!A1" display="H-07 Histogram and Box Plot"/>
    <hyperlink ref="F44" location="'E-10 Binomial Distribution'!A1" display="E-10 Binomial Distribution"/>
    <hyperlink ref="F45" location="'N-01 Cover'!A1" display="N-01 Cover"/>
    <hyperlink ref="F46" location="'E-41 DOE Fundamentals'!A1" display="E-41 DOE Fundamentals"/>
    <hyperlink ref="F47" location="'L-09 Theory of Constraints'!A1" display="L-09 Theory of Constraints"/>
    <hyperlink ref="F48" location="'H-07 Histogram and Box Plot'!A1" display="H-07 Histogram and Box Plot"/>
    <hyperlink ref="F49" location="'E-33 When Assumptions Fail'!A1" display="E-33 When Assumptions Fail"/>
    <hyperlink ref="F50" location="'L-24 Idea Generation'!A1" display="L-24 Idea Generation"/>
    <hyperlink ref="F51" location="'L-24 Idea Generation'!A1" display="L-24 Idea Generation"/>
    <hyperlink ref="F52" location="'E-53 c and u Charts'!A1" display="E-53 c and u Charts"/>
    <hyperlink ref="F53" location="'U-02 Chart Constants'!A1" display="U-02 Chart Constants"/>
    <hyperlink ref="F54" location="'H-15 8D Problem Solving'!A1" display="H-15 8D Problem Solving"/>
    <hyperlink ref="F55" location="'E-57 Process Capability'!A1" display="E-57 Process Capability"/>
    <hyperlink ref="F56" location="'H-12 Cause Effect Matrix'!A1" display="H-12 Cause Effect Matrix"/>
    <hyperlink ref="F57" location="'E-08 Central Limit Theorem'!A1" display="E-08 Central Limit Theorem"/>
    <hyperlink ref="F58" location="'E-45 Center Points Curvature'!A1" display="E-45 Center Points Curvature"/>
    <hyperlink ref="F59" location="'H-01 Project Charter'!A1" display="H-01 Project Charter"/>
    <hyperlink ref="F60" location="'L-15 SMED'!A1" display="L-15 SMED"/>
    <hyperlink ref="F61" location="'H-01 Project Charter'!A1" display="H-01 Project Charter"/>
    <hyperlink ref="F62" location="'H-05 Check Sheets'!A1" display="H-05 Check Sheets"/>
    <hyperlink ref="F63" location="'E-30 Chi-Square Tests'!A1" display="E-30 Chi-Square Tests"/>
    <hyperlink ref="F64" location="'E-47 Common vs Special Cause'!A1" display="E-47 Common vs Special Cause"/>
    <hyperlink ref="F65" location="'E-15 CI Mean'!A1" display="E-15 CI Mean"/>
    <hyperlink ref="F66" location="'E-43 Fractional Factorial'!A1" display="E-43 Fractional Factorial"/>
    <hyperlink ref="F67" location="'H-15 8D Problem Solving'!A1" display="H-15 8D Problem Solving"/>
    <hyperlink ref="F68" location="'E-01 Data Types'!A1" display="E-01 Data Types"/>
    <hyperlink ref="F69" location="'E-49 I-MR Chart'!A1" display="E-49 I-MR Chart"/>
    <hyperlink ref="F70" location="'E-47 Common vs Special Cause'!A1" display="E-47 Common vs Special Cause"/>
    <hyperlink ref="F71" location="'H-16 Control and Reaction'!A1" display="H-16 Control and Reaction"/>
    <hyperlink ref="F72" location="'G-02 Business Case COPQ'!A1" display="G-02 Business Case COPQ"/>
    <hyperlink ref="F73" location="'E-34 Correlation'!A1" display="E-34 Correlation"/>
    <hyperlink ref="F74" location="'G-09 Benefit Validation'!A1" display="G-09 Benefit Validation"/>
    <hyperlink ref="F75" location="'E-57 Process Capability'!A1" display="E-57 Process Capability"/>
    <hyperlink ref="F76" location="'E-57 Process Capability'!A1" display="E-57 Process Capability"/>
    <hyperlink ref="F77" location="'E-57 Process Capability'!A1" display="E-57 Process Capability"/>
    <hyperlink ref="F78" location="'G-08 Schedule and CPM'!A1" display="G-08 Schedule and CPM"/>
    <hyperlink ref="F79" location="'H-03 VOC and CTQ Tree'!A1" display="H-03 VOC and CTQ Tree"/>
    <hyperlink ref="F80" location="'E-45 Center Points Curvature'!A1" display="E-45 Center Points Curvature"/>
    <hyperlink ref="F81" location="'E-55 CUSUM and EWMA'!A1" display="E-55 CUSUM and EWMA"/>
    <hyperlink ref="F82" location="'L-07 Takt Cycle Lead Time'!A1" display="L-07 Takt Cycle Lead Time"/>
    <hyperlink ref="F83" location="'U-02 Chart Constants'!A1" display="U-02 Chart Constants"/>
    <hyperlink ref="F84" location="'E-01 Data Types'!A1" display="E-01 Data Types"/>
    <hyperlink ref="F85" location="'E-10 Binomial Distribution'!A1" display="E-10 Binomial Distribution"/>
    <hyperlink ref="F86" location="'E-09 t Chi2 F Distributions'!A1" display="E-09 t Chi2 F Distributions"/>
    <hyperlink ref="F87" location="'E-41 DOE Fundamentals'!A1" display="E-41 DOE Fundamentals"/>
    <hyperlink ref="F88" location="'H-13 FMEA AIAG-VDA'!A1" display="H-13 FMEA AIAG-VDA"/>
    <hyperlink ref="F89" location="'N-03 Index DMAIC'!A1" display="N-03 Index DMAIC"/>
    <hyperlink ref="F90" location="'E-57 Process Capability'!A1" display="E-57 Process Capability"/>
    <hyperlink ref="F91" location="'L-26 Pilot and Confirmation'!A1" display="L-26 Pilot and Confirmation"/>
    <hyperlink ref="F92" location="'H-01 Project Charter'!A1" display="H-01 Project Charter"/>
    <hyperlink ref="F93" location="'L-20 Heijunka'!A1" display="L-20 Heijunka"/>
    <hyperlink ref="F94" location="'E-55 CUSUM and EWMA'!A1" display="E-55 CUSUM and EWMA"/>
    <hyperlink ref="F95" location="'G-02 Business Case COPQ'!A1" display="G-02 Business Case COPQ"/>
    <hyperlink ref="F96" location="'E-09 t Chi2 F Distributions'!A1" display="E-09 t Chi2 F Distributions"/>
    <hyperlink ref="F97" location="'L-11 OEE'!A1" display="L-11 OEE"/>
    <hyperlink ref="F98" location="'H-10 Ishikawa'!A1" display="H-10 Ishikawa"/>
    <hyperlink ref="F99" location="'G-08 Schedule and CPM'!A1" display="G-08 Schedule and CPM"/>
    <hyperlink ref="F100" location="'H-13 FMEA AIAG-VDA'!A1" display="H-13 FMEA AIAG-VDA"/>
    <hyperlink ref="F101" location="'E-43 Fractional Factorial'!A1" display="E-43 Fractional Factorial"/>
    <hyperlink ref="F102" location="'E-42 Full Factorial'!A1" display="E-42 Full Factorial"/>
    <hyperlink ref="F103" location="'E-59 Gage R and R'!A1" display="E-59 Gage R and R"/>
    <hyperlink ref="F104" location="'G-08 Schedule and CPM'!A1" display="G-08 Schedule and CPM"/>
    <hyperlink ref="F105" location="'L-22 Gemba Walk'!A1" display="L-22 Gemba Walk"/>
    <hyperlink ref="F106" location="'N-01 Cover'!A1" display="N-01 Cover"/>
    <hyperlink ref="F107" location="'G-09 Benefit Validation'!A1" display="G-09 Benefit Validation"/>
    <hyperlink ref="F108" location="'L-20 Heijunka'!A1" display="L-20 Heijunka"/>
    <hyperlink ref="F109" location="'L-06 Value Added Analysis'!A1" display="L-06 Value Added Analysis"/>
    <hyperlink ref="F110" location="'H-07 Histogram and Box Plot'!A1" display="H-07 Histogram and Box Plot"/>
    <hyperlink ref="F111" location="'G-10 Closure Replication'!A1" display="G-10 Closure Replication"/>
    <hyperlink ref="F112" location="'E-17 Hypothesis Framework'!A1" display="E-17 Hypothesis Framework"/>
    <hyperlink ref="F113" location="'E-49 I-MR Chart'!A1" display="E-49 I-MR Chart"/>
    <hyperlink ref="F114" location="'E-42 Full Factorial'!A1" display="E-42 Full Factorial"/>
    <hyperlink ref="F115" location="'G-02 Business Case COPQ'!A1" display="G-02 Business Case COPQ"/>
    <hyperlink ref="F116" location="'H-07 Histogram and Box Plot'!A1" display="H-07 Histogram and Box Plot"/>
    <hyperlink ref="F117" location="'H-10 Ishikawa'!A1" display="H-10 Ishikawa"/>
    <hyperlink ref="F118" location="'L-18 Jidoka and Andon'!A1" display="L-18 Jidoka and Andon"/>
    <hyperlink ref="F119" location="'N-08 Fast Track Routes'!A1" display="N-08 Fast Track Routes"/>
    <hyperlink ref="F120" location="'L-21 Kaizen Event'!A1" display="L-21 Kaizen Event"/>
    <hyperlink ref="F121" location="'L-21 Kaizen Event'!A1" display="L-21 Kaizen Event"/>
    <hyperlink ref="F122" location="'L-19 Kanban Pull Systems'!A1" display="L-19 Kanban Pull Systems"/>
    <hyperlink ref="F123" location="'H-04 Kano Model'!A1" display="H-04 Kano Model"/>
    <hyperlink ref="F124" location="'E-60 MSA Bias Linearity'!A1" display="E-60 MSA Bias Linearity"/>
    <hyperlink ref="F125" location="'H-02 SIPOC'!A1" display="H-02 SIPOC"/>
    <hyperlink ref="F126" location="'H-02 SIPOC'!A1" display="H-02 SIPOC"/>
    <hyperlink ref="F127" location="'E-31 Nonparametric Tests'!A1" display="E-31 Nonparametric Tests"/>
    <hyperlink ref="F128" location="'L-08 Littles Law and WIP'!A1" display="L-08 Littles Law and WIP"/>
    <hyperlink ref="F129" location="'E-28 Variance Tests'!A1" display="E-28 Variance Tests"/>
    <hyperlink ref="F130" location="'L-10 Line Balancing'!A1" display="L-10 Line Balancing"/>
    <hyperlink ref="F131" location="'E-60 MSA Bias Linearity'!A1" display="E-60 MSA Bias Linearity"/>
    <hyperlink ref="F132" location="'L-08 Littles Law and WIP'!A1" display="L-08 Littles Law and WIP"/>
    <hyperlink ref="F133" location="'E-39 Logistic Regression'!A1" display="E-39 Logistic Regression"/>
    <hyperlink ref="F134" location="'E-42 Full Factorial'!A1" display="E-42 Full Factorial"/>
    <hyperlink ref="F135" location="'E-31 Nonparametric Tests'!A1" display="E-31 Nonparametric Tests"/>
    <hyperlink ref="F136" location="'N-01 Cover'!A1" display="N-01 Cover"/>
    <hyperlink ref="F137" location="'E-03 Descriptive Stats'!A1" display="E-03 Descriptive Stats"/>
    <hyperlink ref="F138" location="'E-03 Descriptive Stats'!A1" display="E-03 Descriptive Stats"/>
    <hyperlink ref="F139" location="'L-11 OEE'!A1" display="L-11 OEE"/>
    <hyperlink ref="F140" location="'L-17 Poka-Yoke'!A1" display="L-17 Poka-Yoke"/>
    <hyperlink ref="F141" location="'E-03 Descriptive Stats'!A1" display="E-03 Descriptive Stats"/>
    <hyperlink ref="F142" location="'E-59 Gage R and R'!A1" display="E-59 Gage R and R"/>
    <hyperlink ref="F143" location="'L-16 TPM'!A1" display="L-16 TPM"/>
    <hyperlink ref="F144" location="'L-16 TPM'!A1" display="L-16 TPM"/>
    <hyperlink ref="F145" location="'L-01 Eight Wastes'!A1" display="L-01 Eight Wastes"/>
    <hyperlink ref="F146" location="'E-40 Multi-Vari Analysis'!A1" display="E-40 Multi-Vari Analysis"/>
    <hyperlink ref="F147" location="'L-20 Heijunka'!A1" display="L-20 Heijunka"/>
    <hyperlink ref="F148" location="'L-10 Line Balancing'!A1" display="L-10 Line Balancing"/>
    <hyperlink ref="F149" location="'E-59 Gage R and R'!A1" display="E-59 Gage R and R"/>
    <hyperlink ref="F150" location="'E-31 Nonparametric Tests'!A1" display="E-31 Nonparametric Tests"/>
    <hyperlink ref="F151" location="'E-07 Normal Distribution'!A1" display="E-07 Normal Distribution"/>
    <hyperlink ref="F152" location="'E-32 Normality Testing'!A1" display="E-32 Normality Testing"/>
    <hyperlink ref="F153" location="'E-52 p and np Charts'!A1" display="E-52 p and np Charts"/>
    <hyperlink ref="F154" location="'E-17 Hypothesis Framework'!A1" display="E-17 Hypothesis Framework"/>
    <hyperlink ref="F155" location="'H-16 Control and Reaction'!A1" display="H-16 Control and Reaction"/>
    <hyperlink ref="F156" location="'H-13 FMEA AIAG-VDA'!A1" display="H-13 FMEA AIAG-VDA"/>
    <hyperlink ref="F157" location="'L-11 OEE'!A1" display="L-11 OEE"/>
    <hyperlink ref="F158" location="'L-02 VSM Current State'!A1" display="L-02 VSM Current State"/>
    <hyperlink ref="F159" location="'H-05 Check Sheets'!A1" display="H-05 Check Sheets"/>
    <hyperlink ref="F160" location="'H-07 Histogram and Box Plot'!A1" display="H-07 Histogram and Box Plot"/>
    <hyperlink ref="F161" location="'L-01 Eight Wastes'!A1" display="L-01 Eight Wastes"/>
    <hyperlink ref="F162" location="'E-52 p and np Charts'!A1" display="E-52 p and np Charts"/>
    <hyperlink ref="F163" location="'E-18 The p-Value'!A1" display="E-18 The p-Value"/>
    <hyperlink ref="F164" location="'L-03 VSM Future State'!A1" display="L-03 VSM Future State"/>
    <hyperlink ref="F165" location="'E-25 Paired t-Test'!A1" display="E-25 Paired t-Test"/>
    <hyperlink ref="F166" location="'H-06 Pareto Analysis'!A1" display="H-06 Pareto Analysis"/>
    <hyperlink ref="F167" location="'L-06 Value Added Analysis'!A1" display="L-06 Value Added Analysis"/>
    <hyperlink ref="F168" location="'L-23 PDCA'!A1" display="L-23 PDCA"/>
    <hyperlink ref="F169" location="'L-11 OEE'!A1" display="L-11 OEE"/>
    <hyperlink ref="F170" location="'G-08 Schedule and CPM'!A1" display="G-08 Schedule and CPM"/>
    <hyperlink ref="F171" location="'L-26 Pilot and Confirmation'!A1" display="L-26 Pilot and Confirmation"/>
    <hyperlink ref="F172" location="'L-20 Heijunka'!A1" display="L-20 Heijunka"/>
    <hyperlink ref="F173" location="'E-11 Poisson Distribution'!A1" display="E-11 Poisson Distribution"/>
    <hyperlink ref="F174" location="'L-17 Poka-Yoke'!A1" display="L-17 Poka-Yoke"/>
    <hyperlink ref="F175" location="'E-19 Type I II Error Power'!A1" display="E-19 Type I II Error Power"/>
    <hyperlink ref="F176" location="'E-57 Process Capability'!A1" display="E-57 Process Capability"/>
    <hyperlink ref="F177" location="'E-59 Gage R and R'!A1" display="E-59 Gage R and R"/>
    <hyperlink ref="F178" location="'G-02 Business Case COPQ'!A1" display="G-02 Business Case COPQ"/>
    <hyperlink ref="F179" location="'L-04 Process Mapping'!A1" display="L-04 Process Mapping"/>
    <hyperlink ref="F180" location="'L-25 Solution Selection'!A1" display="L-25 Solution Selection"/>
    <hyperlink ref="F181" location="'L-19 Kanban Pull Systems'!A1" display="L-19 Kanban Pull Systems"/>
    <hyperlink ref="F182" location="'L-19 Kanban Pull Systems'!A1" display="L-19 Kanban Pull Systems"/>
    <hyperlink ref="F183" location="'L-11 OEE'!A1" display="L-11 OEE"/>
    <hyperlink ref="F184" location="'E-50 Xbar-R Chart'!A1" display="E-50 Xbar-R Chart"/>
    <hyperlink ref="F185" location="'G-04 RACI Matrix'!A1" display="G-04 RACI Matrix"/>
    <hyperlink ref="F186" location="'E-41 DOE Fundamentals'!A1" display="E-41 DOE Fundamentals"/>
    <hyperlink ref="F187" location="'E-03 Descriptive Stats'!A1" display="E-03 Descriptive Stats"/>
    <hyperlink ref="F188" location="'E-05 Sampling Subgroups'!A1" display="E-05 Sampling Subgroups"/>
    <hyperlink ref="F189" location="'H-16 Control and Reaction'!A1" display="H-16 Control and Reaction"/>
    <hyperlink ref="F190" location="'E-36 Simple Regression'!A1" display="E-36 Simple Regression"/>
    <hyperlink ref="F191" location="'E-59 Gage R and R'!A1" display="E-59 Gage R and R"/>
    <hyperlink ref="F192" location="'G-10 Closure Replication'!A1" display="G-10 Closure Replication"/>
    <hyperlink ref="F193" location="'E-59 Gage R and R'!A1" display="E-59 Gage R and R"/>
    <hyperlink ref="F194" location="'E-37 Residual Analysis'!A1" display="E-37 Residual Analysis"/>
    <hyperlink ref="F195" location="'E-43 Fractional Factorial'!A1" display="E-43 Fractional Factorial"/>
    <hyperlink ref="F196" location="'E-46 Response Surface'!A1" display="E-46 Response Surface"/>
    <hyperlink ref="F197" location="'L-06 Value Added Analysis'!A1" display="L-06 Value Added Analysis"/>
    <hyperlink ref="F198" location="'G-07 Risk Register'!A1" display="G-07 Risk Register"/>
    <hyperlink ref="F199" location="'H-11 5 Whys'!A1" display="H-11 5 Whys"/>
    <hyperlink ref="F200" location="'H-13 FMEA AIAG-VDA'!A1" display="H-13 FMEA AIAG-VDA"/>
    <hyperlink ref="F201" location="'H-08 Run Chart'!A1" display="H-08 Run Chart"/>
    <hyperlink ref="F202" location="'E-02 Population vs Sample'!A1" display="E-02 Population vs Sample"/>
    <hyperlink ref="F203" location="'E-02 Population vs Sample'!A1" display="E-02 Population vs Sample"/>
    <hyperlink ref="F204" location="'L-24 Idea Generation'!A1" display="L-24 Idea Generation"/>
    <hyperlink ref="F205" location="'E-34 Correlation'!A1" display="E-34 Correlation"/>
    <hyperlink ref="F206" location="'E-44 Screening Designs'!A1" display="E-44 Screening Designs"/>
    <hyperlink ref="F207" location="'H-13 FMEA AIAG-VDA'!A1" display="H-13 FMEA AIAG-VDA"/>
    <hyperlink ref="F208" location="'E-57 Process Capability'!A1" display="E-57 Process Capability"/>
    <hyperlink ref="F209" location="'H-02 SIPOC'!A1" display="H-02 SIPOC"/>
    <hyperlink ref="F210" location="'N-01 Cover'!A1" display="N-01 Cover"/>
    <hyperlink ref="F211" location="'L-15 SMED'!A1" display="L-15 SMED"/>
    <hyperlink ref="F212" location="'G-09 Benefit Validation'!A1" display="G-09 Benefit Validation"/>
    <hyperlink ref="F213" location="'L-05 Spaghetti Diagram'!A1" display="L-05 Spaghetti Diagram"/>
    <hyperlink ref="F214" location="'E-49 I-MR Chart'!A1" display="E-49 I-MR Chart"/>
    <hyperlink ref="F215" location="'E-47 Common vs Special Cause'!A1" display="E-47 Common vs Special Cause"/>
    <hyperlink ref="F216" location="'E-57 Process Capability'!A1" display="E-57 Process Capability"/>
    <hyperlink ref="F217" location="'G-03 Stakeholder Analysis'!A1" display="G-03 Stakeholder Analysis"/>
    <hyperlink ref="F218" location="'E-03 Descriptive Stats'!A1" display="E-03 Descriptive Stats"/>
    <hyperlink ref="F219" location="'L-14 Standard Work'!A1" display="L-14 Standard Work"/>
    <hyperlink ref="F220" location="'E-21 Statistical vs Practical'!A1" display="E-21 Statistical vs Practical"/>
    <hyperlink ref="F221" location="'H-09 Stratification'!A1" display="H-09 Stratification"/>
    <hyperlink ref="F222" location="'L-19 Kanban Pull Systems'!A1" display="L-19 Kanban Pull Systems"/>
    <hyperlink ref="F223" location="'G-09 Benefit Validation'!A1" display="G-09 Benefit Validation"/>
    <hyperlink ref="F224" location="'L-14 Standard Work'!A1" display="L-14 Standard Work"/>
    <hyperlink ref="F225" location="'E-09 t Chi2 F Distributions'!A1" display="E-09 t Chi2 F Distributions"/>
    <hyperlink ref="F226" location="'L-07 Takt Cycle Lead Time'!A1" display="L-07 Takt Cycle Lead Time"/>
    <hyperlink ref="F227" location="'L-11 OEE'!A1" display="L-11 OEE"/>
    <hyperlink ref="F228" location="'L-09 Theory of Constraints'!A1" display="L-09 Theory of Constraints"/>
    <hyperlink ref="F229" location="'L-08 Littles Law and WIP'!A1" display="L-08 Littles Law and WIP"/>
    <hyperlink ref="F230" location="'N-07 Tollgates'!A1" display="N-07 Tollgates"/>
    <hyperlink ref="F231" location="'L-16 TPM'!A1" display="L-16 TPM"/>
    <hyperlink ref="F232" location="'H-08 Run Chart'!A1" display="H-08 Run Chart"/>
    <hyperlink ref="F233" location="'E-26 One-Way ANOVA'!A1" display="E-26 One-Way ANOVA"/>
    <hyperlink ref="F234" location="'E-19 Type I II Error Power'!A1" display="E-19 Type I II Error Power"/>
    <hyperlink ref="F235" location="'E-19 Type I II Error Power'!A1" display="E-19 Type I II Error Power"/>
    <hyperlink ref="F236" location="'E-53 c and u Charts'!A1" display="E-53 c and u Charts"/>
    <hyperlink ref="F237" location="'L-06 Value Added Analysis'!A1" display="L-06 Value Added Analysis"/>
    <hyperlink ref="F238" location="'L-02 VSM Current State'!A1" display="L-02 VSM Current State"/>
    <hyperlink ref="F239" location="'L-02 VSM Current State'!A1" display="L-02 VSM Current State"/>
    <hyperlink ref="F240" location="'E-01 Data Types'!A1" display="E-01 Data Types"/>
    <hyperlink ref="F241" location="'E-03 Descriptive Stats'!A1" display="E-03 Descriptive Stats"/>
    <hyperlink ref="F242" location="'E-47 Common vs Special Cause'!A1" display="E-47 Common vs Special Cause"/>
    <hyperlink ref="F243" location="'E-38 Multiple Regression'!A1" display="E-38 Multiple Regression"/>
    <hyperlink ref="F244" location="'L-13 Visual Management'!A1" display="L-13 Visual Management"/>
    <hyperlink ref="F245" location="'H-03 VOC and CTQ Tree'!A1" display="H-03 VOC and CTQ Tree"/>
    <hyperlink ref="F246" location="'E-47 Common vs Special Cause'!A1" display="E-47 Common vs Special Cause"/>
    <hyperlink ref="F247" location="'L-01 Eight Wastes'!A1" display="L-01 Eight Wastes"/>
    <hyperlink ref="F248" location="'E-24 2-Sample t-Test'!A1" display="E-24 2-Sample t-Test"/>
    <hyperlink ref="F249" location="'E-56 WE and Nelson Rules'!A1" display="E-56 WE and Nelson Rules"/>
    <hyperlink ref="F250" location="'L-08 Littles Law and WIP'!A1" display="L-08 Littles Law and WIP"/>
    <hyperlink ref="F251" location="'E-50 Xbar-R Chart'!A1" display="E-50 Xbar-R Chart"/>
    <hyperlink ref="F252" location="'L-10 Line Balancing'!A1" display="L-10 Line Balancing"/>
    <hyperlink ref="F253" location="'L-11 OEE'!A1" display="L-11 OEE"/>
    <hyperlink ref="F254" location="'E-07 Normal Distribution'!A1" display="E-07 Normal Distribution"/>
    <hyperlink ref="F255" location="'E-57 Process Capability'!A1" display="E-57 Process Capability"/>
    <hyperlink ref="F256" location="'L-17 Poka-Yoke'!A1" display="L-17 Poka-Yoke"/>
    <hyperlink ref="B262" location="'N-03 Index DMAIC'!A1" display="N-03  Master Index by DMAIC Phase"/>
    <hyperlink ref="C262" location="'U-04 Formula Sheet'!A1" display="U-04  Master Formula Sheet"/>
    <hyperlink ref="D262" location="'N-04 Index by Question'!A1" display="N-04  Index by Type of Ques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6"/>
    <col collapsed="false" customWidth="true" hidden="false" outlineLevel="0" max="5" min="4" style="1" width="18"/>
    <col collapsed="false" customWidth="true" hidden="false" outlineLevel="0" max="6" min="6" style="1" width="60"/>
    <col collapsed="false" customWidth="true" hidden="false" outlineLevel="0" max="10" min="7"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14888</v>
      </c>
      <c r="C2" s="148"/>
      <c r="D2" s="148"/>
      <c r="E2" s="148"/>
      <c r="F2" s="148"/>
      <c r="G2" s="148"/>
      <c r="H2" s="148"/>
      <c r="I2" s="148"/>
      <c r="J2" s="148"/>
      <c r="K2" s="202" t="s">
        <v>2</v>
      </c>
    </row>
    <row r="3" customFormat="false" ht="28.5" hidden="false" customHeight="true" outlineLevel="0" collapsed="false">
      <c r="B3" s="150" t="s">
        <v>3</v>
      </c>
      <c r="D3" s="151" t="s">
        <v>14889</v>
      </c>
      <c r="E3" s="151"/>
      <c r="F3" s="151"/>
    </row>
    <row r="5" customFormat="false" ht="15.75" hidden="false" customHeight="true" outlineLevel="0" collapsed="false">
      <c r="B5" s="103" t="s">
        <v>5</v>
      </c>
      <c r="C5" s="8"/>
      <c r="D5" s="8"/>
      <c r="E5" s="8"/>
      <c r="F5" s="8"/>
      <c r="G5" s="8"/>
      <c r="H5" s="8"/>
      <c r="I5" s="8"/>
      <c r="J5" s="8"/>
      <c r="K5" s="8"/>
    </row>
    <row r="6" customFormat="false" ht="15.75" hidden="false" customHeight="true" outlineLevel="0" collapsed="false">
      <c r="B6" s="106" t="s">
        <v>14890</v>
      </c>
      <c r="C6" s="106"/>
      <c r="D6" s="106"/>
      <c r="E6" s="106"/>
    </row>
    <row r="7" customFormat="false" ht="15.75" hidden="false" customHeight="true" outlineLevel="0" collapsed="false">
      <c r="B7" s="106"/>
      <c r="C7" s="106"/>
      <c r="D7" s="106"/>
      <c r="E7" s="106"/>
    </row>
    <row r="8" customFormat="false" ht="11.25" hidden="false" customHeight="true" outlineLevel="0" collapsed="false">
      <c r="B8" s="106" t="s">
        <v>14891</v>
      </c>
      <c r="C8" s="106"/>
      <c r="D8" s="106"/>
      <c r="E8" s="106"/>
    </row>
    <row r="9" customFormat="false" ht="11.25" hidden="false" customHeight="true" outlineLevel="0" collapsed="false">
      <c r="B9" s="106"/>
      <c r="C9" s="106"/>
      <c r="D9" s="106"/>
      <c r="E9" s="106"/>
    </row>
    <row r="10" customFormat="false" ht="11.25" hidden="false" customHeight="true" outlineLevel="0" collapsed="false">
      <c r="B10" s="106"/>
      <c r="C10" s="106"/>
      <c r="D10" s="106"/>
      <c r="E10" s="106"/>
    </row>
    <row r="11" customFormat="false" ht="11.25" hidden="false" customHeight="true" outlineLevel="0" collapsed="false">
      <c r="B11" s="106"/>
      <c r="C11" s="106"/>
      <c r="D11" s="106"/>
      <c r="E11" s="106"/>
    </row>
    <row r="12" customFormat="false" ht="11.25" hidden="false" customHeight="true" outlineLevel="0" collapsed="false">
      <c r="B12" s="106" t="s">
        <v>14892</v>
      </c>
      <c r="C12" s="106"/>
      <c r="D12" s="106"/>
      <c r="E12" s="106"/>
    </row>
    <row r="13" customFormat="false" ht="11.25" hidden="false" customHeight="true" outlineLevel="0" collapsed="false">
      <c r="B13" s="106"/>
      <c r="C13" s="106"/>
      <c r="D13" s="106"/>
      <c r="E13" s="106"/>
    </row>
    <row r="14" customFormat="false" ht="11.25" hidden="false" customHeight="true" outlineLevel="0" collapsed="false">
      <c r="B14" s="106"/>
      <c r="C14" s="106"/>
      <c r="D14" s="106"/>
      <c r="E14" s="106"/>
    </row>
    <row r="15" customFormat="false" ht="11.25" hidden="false" customHeight="true" outlineLevel="0" collapsed="false">
      <c r="B15" s="106"/>
      <c r="C15" s="106"/>
      <c r="D15" s="106"/>
      <c r="E15" s="106"/>
    </row>
    <row r="17" customFormat="false" ht="17.25" hidden="false" customHeight="true" outlineLevel="0" collapsed="false">
      <c r="B17" s="107" t="s">
        <v>14893</v>
      </c>
      <c r="C17" s="107"/>
      <c r="D17" s="107"/>
      <c r="E17" s="107"/>
    </row>
    <row r="18" customFormat="false" ht="16.5" hidden="false" customHeight="true" outlineLevel="0" collapsed="false">
      <c r="B18" s="152" t="s">
        <v>7376</v>
      </c>
      <c r="C18" s="152" t="s">
        <v>6654</v>
      </c>
      <c r="D18" s="152" t="s">
        <v>6575</v>
      </c>
      <c r="E18" s="152" t="s">
        <v>6655</v>
      </c>
    </row>
    <row r="19" customFormat="false" ht="30.75" hidden="false" customHeight="true" outlineLevel="0" collapsed="false">
      <c r="B19" s="15" t="s">
        <v>14894</v>
      </c>
      <c r="C19" s="181" t="n">
        <v>0.05</v>
      </c>
      <c r="D19" s="15"/>
      <c r="E19" s="15" t="s">
        <v>14895</v>
      </c>
    </row>
    <row r="20" customFormat="false" ht="30.75" hidden="false" customHeight="true" outlineLevel="0" collapsed="false">
      <c r="B20" s="15" t="s">
        <v>14896</v>
      </c>
      <c r="C20" s="156" t="n">
        <v>0.9</v>
      </c>
      <c r="D20" s="15"/>
      <c r="E20" s="15" t="s">
        <v>14897</v>
      </c>
    </row>
    <row r="21" customFormat="false" ht="16.5" hidden="false" customHeight="true" outlineLevel="0" collapsed="false">
      <c r="B21" s="15" t="s">
        <v>14898</v>
      </c>
      <c r="C21" s="204" t="n">
        <f aca="false">NORMSINV(1-C19/2)</f>
        <v>1.95996398454005</v>
      </c>
      <c r="D21" s="15"/>
      <c r="E21" s="15" t="s">
        <v>14899</v>
      </c>
    </row>
    <row r="22" customFormat="false" ht="16.5" hidden="false" customHeight="true" outlineLevel="0" collapsed="false">
      <c r="B22" s="15" t="s">
        <v>14900</v>
      </c>
      <c r="C22" s="204" t="n">
        <f aca="false">NORMSINV(1-C19)</f>
        <v>1.64485362695147</v>
      </c>
      <c r="D22" s="15"/>
      <c r="E22" s="15" t="s">
        <v>14901</v>
      </c>
    </row>
    <row r="23" customFormat="false" ht="16.5" hidden="false" customHeight="true" outlineLevel="0" collapsed="false">
      <c r="B23" s="15" t="s">
        <v>9894</v>
      </c>
      <c r="C23" s="204" t="n">
        <f aca="false">NORMSINV(C20)</f>
        <v>1.2815515655446</v>
      </c>
      <c r="D23" s="15"/>
      <c r="E23" s="15" t="s">
        <v>14902</v>
      </c>
    </row>
    <row r="25" customFormat="false" ht="17.25" hidden="false" customHeight="true" outlineLevel="0" collapsed="false">
      <c r="B25" s="107" t="s">
        <v>14903</v>
      </c>
      <c r="C25" s="107"/>
      <c r="D25" s="107"/>
      <c r="E25" s="107"/>
    </row>
    <row r="26" customFormat="false" ht="16.5" hidden="false" customHeight="true" outlineLevel="0" collapsed="false">
      <c r="B26" s="152" t="s">
        <v>8423</v>
      </c>
      <c r="C26" s="152" t="s">
        <v>6654</v>
      </c>
      <c r="D26" s="152" t="s">
        <v>6575</v>
      </c>
      <c r="E26" s="152" t="s">
        <v>6655</v>
      </c>
    </row>
    <row r="27" customFormat="false" ht="30.75" hidden="false" customHeight="true" outlineLevel="0" collapsed="false">
      <c r="B27" s="15" t="s">
        <v>14904</v>
      </c>
      <c r="C27" s="181" t="n">
        <v>1.9</v>
      </c>
      <c r="D27" s="15" t="s">
        <v>10026</v>
      </c>
      <c r="E27" s="15" t="s">
        <v>14905</v>
      </c>
    </row>
    <row r="28" customFormat="false" ht="30.75" hidden="false" customHeight="true" outlineLevel="0" collapsed="false">
      <c r="B28" s="15" t="s">
        <v>14906</v>
      </c>
      <c r="C28" s="181" t="n">
        <v>1</v>
      </c>
      <c r="D28" s="15" t="s">
        <v>10026</v>
      </c>
      <c r="E28" s="15" t="s">
        <v>14907</v>
      </c>
    </row>
    <row r="29" customFormat="false" ht="16.5" hidden="false" customHeight="true" outlineLevel="0" collapsed="false">
      <c r="B29" s="15" t="s">
        <v>9895</v>
      </c>
      <c r="C29" s="161" t="n">
        <f aca="false">IFERROR(ROUNDUP(2*(($C$21+$C$23)^2)*(C27^2)/(C28^2),0),0)</f>
        <v>76</v>
      </c>
      <c r="D29" s="15" t="s">
        <v>14908</v>
      </c>
      <c r="E29" s="15" t="s">
        <v>9896</v>
      </c>
    </row>
    <row r="30" customFormat="false" ht="16.5" hidden="false" customHeight="true" outlineLevel="0" collapsed="false">
      <c r="B30" s="15" t="s">
        <v>14909</v>
      </c>
      <c r="C30" s="161" t="n">
        <f aca="false">C29*2</f>
        <v>152</v>
      </c>
      <c r="D30" s="15" t="s">
        <v>14910</v>
      </c>
      <c r="E30" s="15"/>
    </row>
    <row r="31" customFormat="false" ht="30.75" hidden="false" customHeight="true" outlineLevel="0" collapsed="false">
      <c r="B31" s="15" t="s">
        <v>14911</v>
      </c>
      <c r="C31" s="174" t="n">
        <f aca="false">IFERROR(C28/C27,0)</f>
        <v>0.526315789473684</v>
      </c>
      <c r="D31" s="15"/>
      <c r="E31" s="15" t="s">
        <v>3280</v>
      </c>
    </row>
    <row r="33" customFormat="false" ht="15" hidden="false" customHeight="true" outlineLevel="0" collapsed="false">
      <c r="B33" s="105" t="s">
        <v>14912</v>
      </c>
    </row>
    <row r="34" customFormat="false" ht="16.5" hidden="false" customHeight="true" outlineLevel="0" collapsed="false">
      <c r="B34" s="152" t="s">
        <v>8423</v>
      </c>
      <c r="C34" s="152" t="s">
        <v>6654</v>
      </c>
      <c r="D34" s="152" t="s">
        <v>6575</v>
      </c>
      <c r="E34" s="152" t="s">
        <v>6655</v>
      </c>
    </row>
    <row r="35" customFormat="false" ht="16.5" hidden="false" customHeight="true" outlineLevel="0" collapsed="false">
      <c r="B35" s="15" t="s">
        <v>1477</v>
      </c>
      <c r="C35" s="181" t="n">
        <v>1.9</v>
      </c>
      <c r="D35" s="15" t="s">
        <v>10026</v>
      </c>
      <c r="E35" s="15"/>
    </row>
    <row r="36" customFormat="false" ht="30.75" hidden="false" customHeight="true" outlineLevel="0" collapsed="false">
      <c r="B36" s="15" t="s">
        <v>14913</v>
      </c>
      <c r="C36" s="181" t="n">
        <v>1</v>
      </c>
      <c r="D36" s="15" t="s">
        <v>10026</v>
      </c>
      <c r="E36" s="15"/>
    </row>
    <row r="37" customFormat="false" ht="30.75" hidden="false" customHeight="true" outlineLevel="0" collapsed="false">
      <c r="B37" s="15" t="s">
        <v>1784</v>
      </c>
      <c r="C37" s="161" t="n">
        <f aca="false">IFERROR(ROUNDUP((($C$21+$C$23)^2)*(C35^2)/(C36^2),0),0)</f>
        <v>38</v>
      </c>
      <c r="D37" s="15" t="s">
        <v>14914</v>
      </c>
      <c r="E37" s="15" t="s">
        <v>14915</v>
      </c>
    </row>
    <row r="39" customFormat="false" ht="17.25" hidden="false" customHeight="true" outlineLevel="0" collapsed="false">
      <c r="B39" s="107" t="s">
        <v>14916</v>
      </c>
      <c r="C39" s="107"/>
      <c r="D39" s="107"/>
      <c r="E39" s="107"/>
    </row>
    <row r="40" customFormat="false" ht="16.5" hidden="false" customHeight="true" outlineLevel="0" collapsed="false">
      <c r="B40" s="152" t="s">
        <v>8423</v>
      </c>
      <c r="C40" s="152" t="s">
        <v>6654</v>
      </c>
      <c r="D40" s="152" t="s">
        <v>6575</v>
      </c>
      <c r="E40" s="152" t="s">
        <v>6655</v>
      </c>
    </row>
    <row r="41" customFormat="false" ht="16.5" hidden="false" customHeight="true" outlineLevel="0" collapsed="false">
      <c r="B41" s="15" t="s">
        <v>1477</v>
      </c>
      <c r="C41" s="181" t="n">
        <v>1.9</v>
      </c>
      <c r="D41" s="15" t="s">
        <v>10026</v>
      </c>
      <c r="E41" s="15"/>
    </row>
    <row r="42" customFormat="false" ht="30.75" hidden="false" customHeight="true" outlineLevel="0" collapsed="false">
      <c r="B42" s="15" t="s">
        <v>14917</v>
      </c>
      <c r="C42" s="181" t="n">
        <v>0.5</v>
      </c>
      <c r="D42" s="15" t="s">
        <v>10026</v>
      </c>
      <c r="E42" s="15" t="s">
        <v>14918</v>
      </c>
    </row>
    <row r="43" customFormat="false" ht="30.75" hidden="false" customHeight="true" outlineLevel="0" collapsed="false">
      <c r="B43" s="15" t="s">
        <v>1784</v>
      </c>
      <c r="C43" s="161" t="n">
        <f aca="false">IFERROR(ROUNDUP(($C$21^2)*(C41^2)/(C42^2),0),0)</f>
        <v>56</v>
      </c>
      <c r="D43" s="15" t="s">
        <v>14914</v>
      </c>
      <c r="E43" s="15" t="s">
        <v>14919</v>
      </c>
    </row>
    <row r="45" customFormat="false" ht="15" hidden="false" customHeight="true" outlineLevel="0" collapsed="false">
      <c r="B45" s="105" t="s">
        <v>14920</v>
      </c>
    </row>
    <row r="46" customFormat="false" ht="16.5" hidden="false" customHeight="true" outlineLevel="0" collapsed="false">
      <c r="B46" s="152" t="s">
        <v>8423</v>
      </c>
      <c r="C46" s="152" t="s">
        <v>6654</v>
      </c>
      <c r="D46" s="152" t="s">
        <v>6575</v>
      </c>
      <c r="E46" s="152" t="s">
        <v>6655</v>
      </c>
    </row>
    <row r="47" customFormat="false" ht="30.75" hidden="false" customHeight="true" outlineLevel="0" collapsed="false">
      <c r="B47" s="15" t="s">
        <v>14921</v>
      </c>
      <c r="C47" s="181" t="n">
        <v>0.042</v>
      </c>
      <c r="D47" s="15"/>
      <c r="E47" s="15" t="s">
        <v>14922</v>
      </c>
    </row>
    <row r="48" customFormat="false" ht="16.5" hidden="false" customHeight="true" outlineLevel="0" collapsed="false">
      <c r="B48" s="15" t="s">
        <v>14917</v>
      </c>
      <c r="C48" s="181" t="n">
        <v>0.01</v>
      </c>
      <c r="D48" s="15"/>
      <c r="E48" s="15" t="s">
        <v>14923</v>
      </c>
    </row>
    <row r="49" customFormat="false" ht="16.5" hidden="false" customHeight="true" outlineLevel="0" collapsed="false">
      <c r="B49" s="15" t="s">
        <v>1784</v>
      </c>
      <c r="C49" s="161" t="n">
        <f aca="false">IFERROR(ROUNDUP(($C$21^2)*C47*(1-C47)/(C48^2),0),0)</f>
        <v>1546</v>
      </c>
      <c r="D49" s="15" t="s">
        <v>8294</v>
      </c>
      <c r="E49" s="15"/>
    </row>
    <row r="50" customFormat="false" ht="30.75" hidden="false" customHeight="true" outlineLevel="0" collapsed="false">
      <c r="B50" s="15" t="s">
        <v>14924</v>
      </c>
      <c r="C50" s="161" t="n">
        <f aca="false">C49*C47</f>
        <v>64.932</v>
      </c>
      <c r="D50" s="15"/>
      <c r="E50" s="15" t="s">
        <v>14925</v>
      </c>
    </row>
    <row r="51" customFormat="false" ht="16.5" hidden="false" customHeight="true" outlineLevel="0" collapsed="false">
      <c r="B51" s="15" t="s">
        <v>14926</v>
      </c>
      <c r="C51" s="161" t="n">
        <f aca="false">C49*(1-C47)</f>
        <v>1481.068</v>
      </c>
      <c r="D51" s="15"/>
      <c r="E51" s="15" t="s">
        <v>14927</v>
      </c>
    </row>
    <row r="52" customFormat="false" ht="16.5" hidden="false" customHeight="true" outlineLevel="0" collapsed="false">
      <c r="B52" s="15" t="s">
        <v>14928</v>
      </c>
      <c r="C52" s="167" t="str">
        <f aca="false">IF(AND(C50&gt;=5,C51&gt;=5),"Yes — the normal approximation holds","NO — use an exact binomial method")</f>
        <v>Yes — the normal approximation holds</v>
      </c>
      <c r="D52" s="15"/>
      <c r="E52" s="15"/>
    </row>
    <row r="54" customFormat="false" ht="15" hidden="false" customHeight="true" outlineLevel="0" collapsed="false">
      <c r="B54" s="105" t="s">
        <v>14929</v>
      </c>
    </row>
    <row r="55" customFormat="false" ht="16.5" hidden="false" customHeight="true" outlineLevel="0" collapsed="false">
      <c r="B55" s="152" t="s">
        <v>8423</v>
      </c>
      <c r="C55" s="152" t="s">
        <v>6654</v>
      </c>
      <c r="D55" s="152" t="s">
        <v>6575</v>
      </c>
      <c r="E55" s="152" t="s">
        <v>6655</v>
      </c>
    </row>
    <row r="56" customFormat="false" ht="16.5" hidden="false" customHeight="true" outlineLevel="0" collapsed="false">
      <c r="B56" s="15" t="s">
        <v>14930</v>
      </c>
      <c r="C56" s="181" t="n">
        <v>0.042</v>
      </c>
      <c r="D56" s="15"/>
      <c r="E56" s="15" t="s">
        <v>14931</v>
      </c>
    </row>
    <row r="57" customFormat="false" ht="30.75" hidden="false" customHeight="true" outlineLevel="0" collapsed="false">
      <c r="B57" s="15" t="s">
        <v>14932</v>
      </c>
      <c r="C57" s="181" t="n">
        <v>0.02</v>
      </c>
      <c r="D57" s="15"/>
      <c r="E57" s="15" t="s">
        <v>14933</v>
      </c>
    </row>
    <row r="58" customFormat="false" ht="16.5" hidden="false" customHeight="true" outlineLevel="0" collapsed="false">
      <c r="B58" s="15" t="s">
        <v>14934</v>
      </c>
      <c r="C58" s="204" t="n">
        <f aca="false">(C56+C57)/2</f>
        <v>0.031</v>
      </c>
      <c r="D58" s="15"/>
      <c r="E58" s="15"/>
    </row>
    <row r="59" customFormat="false" ht="16.5" hidden="false" customHeight="true" outlineLevel="0" collapsed="false">
      <c r="B59" s="15" t="s">
        <v>9895</v>
      </c>
      <c r="C59" s="161" t="n">
        <f aca="false">IFERROR(ROUNDUP((($C$21+$C$23)^2)*2*C58*(1-C58)/((C56-C57)^2),0),0)</f>
        <v>1305</v>
      </c>
      <c r="D59" s="15" t="s">
        <v>14908</v>
      </c>
      <c r="E59" s="15"/>
    </row>
    <row r="60" customFormat="false" ht="16.5" hidden="false" customHeight="true" outlineLevel="0" collapsed="false">
      <c r="B60" s="15" t="s">
        <v>14909</v>
      </c>
      <c r="C60" s="161" t="n">
        <f aca="false">C59*2</f>
        <v>2610</v>
      </c>
      <c r="D60" s="15" t="s">
        <v>14910</v>
      </c>
      <c r="E60" s="15"/>
    </row>
    <row r="62" customFormat="false" ht="17.25" hidden="false" customHeight="true" outlineLevel="0" collapsed="false">
      <c r="B62" s="107" t="s">
        <v>14935</v>
      </c>
      <c r="C62" s="107"/>
      <c r="D62" s="107"/>
      <c r="E62" s="107"/>
    </row>
    <row r="63" customFormat="false" ht="16.5" hidden="false" customHeight="true" outlineLevel="0" collapsed="false">
      <c r="B63" s="152" t="s">
        <v>9216</v>
      </c>
      <c r="C63" s="152" t="s">
        <v>14936</v>
      </c>
      <c r="D63" s="152" t="s">
        <v>14937</v>
      </c>
      <c r="E63" s="152" t="s">
        <v>9658</v>
      </c>
    </row>
    <row r="64" customFormat="false" ht="30.75" hidden="false" customHeight="true" outlineLevel="0" collapsed="false">
      <c r="B64" s="15" t="s">
        <v>14938</v>
      </c>
      <c r="C64" s="15" t="s">
        <v>14939</v>
      </c>
      <c r="D64" s="15" t="s">
        <v>14940</v>
      </c>
      <c r="E64" s="15" t="s">
        <v>14941</v>
      </c>
    </row>
    <row r="65" customFormat="false" ht="30.75" hidden="false" customHeight="true" outlineLevel="0" collapsed="false">
      <c r="B65" s="15" t="s">
        <v>14942</v>
      </c>
      <c r="C65" s="15" t="s">
        <v>14943</v>
      </c>
      <c r="D65" s="15" t="s">
        <v>14944</v>
      </c>
      <c r="E65" s="15" t="s">
        <v>14945</v>
      </c>
    </row>
    <row r="66" customFormat="false" ht="16.5" hidden="false" customHeight="true" outlineLevel="0" collapsed="false">
      <c r="B66" s="15" t="s">
        <v>14946</v>
      </c>
      <c r="C66" s="15" t="s">
        <v>14947</v>
      </c>
      <c r="D66" s="15" t="s">
        <v>14948</v>
      </c>
      <c r="E66" s="15" t="s">
        <v>14949</v>
      </c>
    </row>
    <row r="67" customFormat="false" ht="30.75" hidden="false" customHeight="true" outlineLevel="0" collapsed="false">
      <c r="B67" s="15" t="s">
        <v>14950</v>
      </c>
      <c r="C67" s="15" t="s">
        <v>319</v>
      </c>
      <c r="D67" s="15" t="s">
        <v>14951</v>
      </c>
      <c r="E67" s="15" t="s">
        <v>14952</v>
      </c>
    </row>
    <row r="68" customFormat="false" ht="30.75" hidden="false" customHeight="true" outlineLevel="0" collapsed="false">
      <c r="B68" s="15" t="s">
        <v>14953</v>
      </c>
      <c r="C68" s="15" t="s">
        <v>14954</v>
      </c>
      <c r="D68" s="15" t="s">
        <v>14955</v>
      </c>
      <c r="E68" s="15" t="s">
        <v>14956</v>
      </c>
    </row>
    <row r="69" customFormat="false" ht="30.75" hidden="false" customHeight="true" outlineLevel="0" collapsed="false">
      <c r="B69" s="15" t="s">
        <v>14957</v>
      </c>
      <c r="C69" s="15" t="s">
        <v>14958</v>
      </c>
      <c r="D69" s="15" t="s">
        <v>14959</v>
      </c>
      <c r="E69" s="15" t="s">
        <v>14960</v>
      </c>
    </row>
    <row r="71" customFormat="false" ht="17.25" hidden="false" customHeight="true" outlineLevel="0" collapsed="false">
      <c r="B71" s="107" t="s">
        <v>14961</v>
      </c>
      <c r="C71" s="107"/>
      <c r="D71" s="107"/>
      <c r="E71" s="107"/>
    </row>
    <row r="72" customFormat="false" ht="16.5" hidden="false" customHeight="true" outlineLevel="0" collapsed="false">
      <c r="B72" s="152" t="s">
        <v>8423</v>
      </c>
      <c r="C72" s="152" t="s">
        <v>6654</v>
      </c>
      <c r="D72" s="152" t="s">
        <v>6575</v>
      </c>
      <c r="E72" s="152" t="s">
        <v>6655</v>
      </c>
    </row>
    <row r="73" customFormat="false" ht="30.75" hidden="false" customHeight="true" outlineLevel="0" collapsed="false">
      <c r="B73" s="15" t="s">
        <v>14962</v>
      </c>
      <c r="C73" s="155" t="n">
        <v>30</v>
      </c>
      <c r="D73" s="15" t="s">
        <v>14908</v>
      </c>
      <c r="E73" s="15"/>
    </row>
    <row r="74" customFormat="false" ht="16.5" hidden="false" customHeight="true" outlineLevel="0" collapsed="false">
      <c r="B74" s="15" t="s">
        <v>1477</v>
      </c>
      <c r="C74" s="181" t="n">
        <v>1.9</v>
      </c>
      <c r="D74" s="15" t="s">
        <v>10026</v>
      </c>
      <c r="E74" s="15"/>
    </row>
    <row r="75" customFormat="false" ht="30.75" hidden="false" customHeight="true" outlineLevel="0" collapsed="false">
      <c r="B75" s="15" t="s">
        <v>14963</v>
      </c>
      <c r="C75" s="176" t="n">
        <f aca="false">IFERROR(($C$21+$C$23)*SQRT(2/C73)*C74,0)</f>
        <v>1.59021586064703</v>
      </c>
      <c r="D75" s="15" t="s">
        <v>10026</v>
      </c>
      <c r="E75" s="15" t="s">
        <v>14964</v>
      </c>
    </row>
    <row r="76" customFormat="false" ht="16.5" hidden="false" customHeight="true" outlineLevel="0" collapsed="false">
      <c r="B76" s="15" t="s">
        <v>14965</v>
      </c>
      <c r="C76" s="174" t="n">
        <f aca="false">IFERROR(C75/C74,0)</f>
        <v>0.836955716130016</v>
      </c>
      <c r="D76" s="15"/>
      <c r="E76" s="15" t="s">
        <v>3279</v>
      </c>
    </row>
    <row r="77" customFormat="false" ht="30.75" hidden="false" customHeight="true" outlineLevel="0" collapsed="false">
      <c r="B77" s="15" t="s">
        <v>3730</v>
      </c>
      <c r="C77" s="167" t="str">
        <f aca="false">IF(C75&lt;=C28,"Adequate — this n can detect the difference you care about","UNDERPOWERED — this n can only detect differences of "&amp;TEXT(C75,"0.00")&amp;" ml or larger")</f>
        <v>UNDERPOWERED — this n can only detect differences of 1.59 ml or larger</v>
      </c>
      <c r="D77" s="15"/>
      <c r="E77" s="15"/>
    </row>
    <row r="78" customFormat="false" ht="28.5" hidden="false" customHeight="true" outlineLevel="0" collapsed="false">
      <c r="B78" s="182" t="s">
        <v>14966</v>
      </c>
      <c r="C78" s="182"/>
      <c r="D78" s="182"/>
      <c r="E78" s="182"/>
    </row>
    <row r="80" customFormat="false" ht="15.75" hidden="false" customHeight="true" outlineLevel="0" collapsed="false">
      <c r="B80" s="103" t="s">
        <v>13754</v>
      </c>
      <c r="C80" s="8"/>
      <c r="D80" s="8"/>
      <c r="E80" s="8"/>
      <c r="F80" s="8"/>
      <c r="G80" s="8"/>
      <c r="H80" s="8"/>
      <c r="I80" s="8"/>
      <c r="J80" s="8"/>
      <c r="K80" s="8"/>
    </row>
    <row r="81" customFormat="false" ht="17.25" hidden="false" customHeight="true" outlineLevel="0" collapsed="false">
      <c r="B81" s="152" t="s">
        <v>1523</v>
      </c>
      <c r="C81" s="152" t="s">
        <v>1524</v>
      </c>
      <c r="D81" s="152" t="s">
        <v>6719</v>
      </c>
      <c r="E81" s="152"/>
    </row>
    <row r="82" customFormat="false" ht="17.25" hidden="false" customHeight="true" outlineLevel="0" collapsed="false">
      <c r="B82" s="170" t="s">
        <v>973</v>
      </c>
      <c r="C82" s="170" t="s">
        <v>9554</v>
      </c>
      <c r="D82" s="171" t="s">
        <v>14967</v>
      </c>
      <c r="E82" s="171"/>
    </row>
  </sheetData>
  <mergeCells count="13">
    <mergeCell ref="B2:J2"/>
    <mergeCell ref="D3:F3"/>
    <mergeCell ref="B6:E7"/>
    <mergeCell ref="B8:E11"/>
    <mergeCell ref="B12:E15"/>
    <mergeCell ref="B17:E17"/>
    <mergeCell ref="B25:E25"/>
    <mergeCell ref="B39:E39"/>
    <mergeCell ref="B62:E62"/>
    <mergeCell ref="B71:E71"/>
    <mergeCell ref="B78:E78"/>
    <mergeCell ref="D81:E81"/>
    <mergeCell ref="D82:E82"/>
  </mergeCells>
  <hyperlinks>
    <hyperlink ref="B3" location="'N-03 Index DMAIC'!A1" display="← Back to Index"/>
    <hyperlink ref="B82" location="'E-20 Sample Size'!A1" display="E-20  Sample Size Determination"/>
    <hyperlink ref="C82" location="'L-26 Pilot and Confirmation'!A1" display="L-26  Pilot and Confirmation Run"/>
    <hyperlink ref="D82" location="'E-19 Type I II Error Power'!A1" display="E-19  Type I, Type II Error and Pow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1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24"/>
    <col collapsed="false" customWidth="true" hidden="false" outlineLevel="0" max="5" min="4" style="1" width="22"/>
    <col collapsed="false" customWidth="true" hidden="false" outlineLevel="0" max="6" min="6" style="1" width="20"/>
    <col collapsed="false" customWidth="true" hidden="false" outlineLevel="0" max="7" min="7" style="1" width="18"/>
    <col collapsed="false" customWidth="true" hidden="false" outlineLevel="0" max="9" min="8" style="1" width="16"/>
    <col collapsed="false" customWidth="true" hidden="false" outlineLevel="0" max="10" min="10" style="1" width="14"/>
    <col collapsed="false" customWidth="true" hidden="false" outlineLevel="0" max="11" min="11" style="1" width="40"/>
    <col collapsed="false" customWidth="true" hidden="false" outlineLevel="0" max="14" min="12" style="1" width="13"/>
  </cols>
  <sheetData>
    <row r="1" customFormat="false" ht="15" hidden="false" customHeight="true" outlineLevel="0" collapsed="false">
      <c r="A1" s="147" t="s">
        <v>0</v>
      </c>
    </row>
    <row r="2" customFormat="false" ht="22.5" hidden="false" customHeight="true" outlineLevel="0" collapsed="false">
      <c r="B2" s="148" t="s">
        <v>14968</v>
      </c>
      <c r="C2" s="148"/>
      <c r="D2" s="148"/>
      <c r="E2" s="148"/>
      <c r="F2" s="148"/>
      <c r="G2" s="148"/>
      <c r="H2" s="148"/>
      <c r="I2" s="148"/>
      <c r="J2" s="148"/>
      <c r="K2" s="202" t="s">
        <v>2</v>
      </c>
    </row>
    <row r="3" customFormat="false" ht="28.5" hidden="false" customHeight="true" outlineLevel="0" collapsed="false">
      <c r="B3" s="150" t="s">
        <v>3</v>
      </c>
      <c r="D3" s="151" t="s">
        <v>14969</v>
      </c>
      <c r="E3" s="151"/>
      <c r="F3" s="151"/>
      <c r="G3" s="151"/>
    </row>
    <row r="5" customFormat="false" ht="15.75" hidden="false" customHeight="true" outlineLevel="0" collapsed="false">
      <c r="B5" s="103" t="s">
        <v>5</v>
      </c>
      <c r="C5" s="8"/>
      <c r="D5" s="8"/>
      <c r="E5" s="8"/>
      <c r="F5" s="8"/>
      <c r="G5" s="8"/>
      <c r="H5" s="8"/>
      <c r="I5" s="8"/>
      <c r="J5" s="8"/>
      <c r="K5" s="8"/>
    </row>
    <row r="6" customFormat="false" ht="15.75" hidden="false" customHeight="true" outlineLevel="0" collapsed="false">
      <c r="B6" s="106" t="s">
        <v>14970</v>
      </c>
      <c r="C6" s="106"/>
      <c r="D6" s="106"/>
      <c r="E6" s="106"/>
      <c r="F6" s="106"/>
      <c r="G6" s="106"/>
      <c r="H6" s="106"/>
    </row>
    <row r="7" customFormat="false" ht="15.75" hidden="false" customHeight="true" outlineLevel="0" collapsed="false">
      <c r="B7" s="106"/>
      <c r="C7" s="106"/>
      <c r="D7" s="106"/>
      <c r="E7" s="106"/>
      <c r="F7" s="106"/>
      <c r="G7" s="106"/>
      <c r="H7" s="106"/>
    </row>
    <row r="8" customFormat="false" ht="17.25" hidden="false" customHeight="true" outlineLevel="0" collapsed="false">
      <c r="B8" s="106" t="s">
        <v>14971</v>
      </c>
      <c r="C8" s="106"/>
      <c r="D8" s="106"/>
      <c r="E8" s="106"/>
      <c r="F8" s="106"/>
      <c r="G8" s="106"/>
      <c r="H8" s="106"/>
    </row>
    <row r="9" customFormat="false" ht="15.75" hidden="false" customHeight="true" outlineLevel="0" collapsed="false">
      <c r="B9" s="106" t="s">
        <v>14972</v>
      </c>
      <c r="C9" s="106"/>
      <c r="D9" s="106"/>
      <c r="E9" s="106"/>
      <c r="F9" s="106"/>
      <c r="G9" s="106"/>
      <c r="H9" s="106"/>
    </row>
    <row r="10" customFormat="false" ht="15.75" hidden="false" customHeight="true" outlineLevel="0" collapsed="false">
      <c r="B10" s="106"/>
      <c r="C10" s="106"/>
      <c r="D10" s="106"/>
      <c r="E10" s="106"/>
      <c r="F10" s="106"/>
      <c r="G10" s="106"/>
      <c r="H10" s="106"/>
    </row>
    <row r="11" customFormat="false" ht="17.25" hidden="false" customHeight="true" outlineLevel="0" collapsed="false">
      <c r="B11" s="106" t="s">
        <v>14973</v>
      </c>
      <c r="C11" s="106"/>
      <c r="D11" s="106"/>
      <c r="E11" s="106"/>
      <c r="F11" s="106"/>
      <c r="G11" s="106"/>
      <c r="H11" s="106"/>
    </row>
    <row r="12" customFormat="false" ht="15.75" hidden="false" customHeight="true" outlineLevel="0" collapsed="false">
      <c r="B12" s="106" t="s">
        <v>14974</v>
      </c>
      <c r="C12" s="106"/>
      <c r="D12" s="106"/>
      <c r="E12" s="106"/>
      <c r="F12" s="106"/>
      <c r="G12" s="106"/>
      <c r="H12" s="106"/>
    </row>
    <row r="13" customFormat="false" ht="15.75" hidden="false" customHeight="true" outlineLevel="0" collapsed="false">
      <c r="B13" s="106"/>
      <c r="C13" s="106"/>
      <c r="D13" s="106"/>
      <c r="E13" s="106"/>
      <c r="F13" s="106"/>
      <c r="G13" s="106"/>
      <c r="H13" s="106"/>
    </row>
    <row r="15" customFormat="false" ht="17.25" hidden="false" customHeight="true" outlineLevel="0" collapsed="false">
      <c r="B15" s="107" t="s">
        <v>14975</v>
      </c>
      <c r="C15" s="107"/>
      <c r="D15" s="107"/>
      <c r="E15" s="107"/>
      <c r="F15" s="107"/>
      <c r="G15" s="107"/>
      <c r="H15" s="107"/>
    </row>
    <row r="16" customFormat="false" ht="16.5" hidden="false" customHeight="true" outlineLevel="0" collapsed="false">
      <c r="B16" s="152" t="s">
        <v>5861</v>
      </c>
      <c r="C16" s="152" t="s">
        <v>34</v>
      </c>
      <c r="D16" s="152" t="s">
        <v>6922</v>
      </c>
      <c r="E16" s="152" t="s">
        <v>6926</v>
      </c>
      <c r="F16" s="152" t="s">
        <v>6931</v>
      </c>
      <c r="G16" s="152" t="s">
        <v>40</v>
      </c>
      <c r="H16" s="152" t="s">
        <v>2085</v>
      </c>
      <c r="I16" s="152" t="s">
        <v>6298</v>
      </c>
    </row>
    <row r="17" customFormat="false" ht="16.5" hidden="false" customHeight="true" outlineLevel="0" collapsed="false">
      <c r="B17" s="15" t="n">
        <v>1</v>
      </c>
      <c r="C17" s="157" t="n">
        <v>501.2</v>
      </c>
      <c r="D17" s="157" t="n">
        <v>503.4</v>
      </c>
      <c r="E17" s="157" t="n">
        <v>502.8</v>
      </c>
      <c r="F17" s="157" t="n">
        <v>504.1</v>
      </c>
      <c r="G17" s="157" t="n">
        <v>502.2</v>
      </c>
      <c r="H17" s="174" t="n">
        <f aca="false">AVERAGE(C17:G17)</f>
        <v>502.74</v>
      </c>
      <c r="I17" s="174" t="n">
        <f aca="false">MAX(C17:G17)-MIN(C17:G17)</f>
        <v>2.90000000000003</v>
      </c>
    </row>
    <row r="18" customFormat="false" ht="16.5" hidden="false" customHeight="true" outlineLevel="0" collapsed="false">
      <c r="B18" s="15" t="n">
        <v>2</v>
      </c>
      <c r="C18" s="157" t="n">
        <v>503.9</v>
      </c>
      <c r="D18" s="157" t="n">
        <v>501.8</v>
      </c>
      <c r="E18" s="157" t="n">
        <v>502.6</v>
      </c>
      <c r="F18" s="157" t="n">
        <v>503.1</v>
      </c>
      <c r="G18" s="157" t="n">
        <v>502.4</v>
      </c>
      <c r="H18" s="174" t="n">
        <f aca="false">AVERAGE(C18:G18)</f>
        <v>502.76</v>
      </c>
      <c r="I18" s="174" t="n">
        <f aca="false">MAX(C18:G18)-MIN(C18:G18)</f>
        <v>2.09999999999997</v>
      </c>
    </row>
    <row r="19" customFormat="false" ht="16.5" hidden="false" customHeight="true" outlineLevel="0" collapsed="false">
      <c r="B19" s="15" t="n">
        <v>3</v>
      </c>
      <c r="C19" s="157" t="n">
        <v>504.5</v>
      </c>
      <c r="D19" s="157" t="n">
        <v>502.9</v>
      </c>
      <c r="E19" s="157" t="n">
        <v>503.6</v>
      </c>
      <c r="F19" s="157" t="n">
        <v>501.5</v>
      </c>
      <c r="G19" s="157" t="n">
        <v>503.2</v>
      </c>
      <c r="H19" s="174" t="n">
        <f aca="false">AVERAGE(C19:G19)</f>
        <v>503.14</v>
      </c>
      <c r="I19" s="174" t="n">
        <f aca="false">MAX(C19:G19)-MIN(C19:G19)</f>
        <v>3</v>
      </c>
    </row>
    <row r="20" customFormat="false" ht="16.5" hidden="false" customHeight="true" outlineLevel="0" collapsed="false">
      <c r="B20" s="15" t="n">
        <v>4</v>
      </c>
      <c r="C20" s="157" t="n">
        <v>502.1</v>
      </c>
      <c r="D20" s="157" t="n">
        <v>501.7</v>
      </c>
      <c r="E20" s="157" t="n">
        <v>502.9</v>
      </c>
      <c r="F20" s="157" t="n">
        <v>503.3</v>
      </c>
      <c r="G20" s="157" t="n">
        <v>502</v>
      </c>
      <c r="H20" s="174" t="n">
        <f aca="false">AVERAGE(C20:G20)</f>
        <v>502.4</v>
      </c>
      <c r="I20" s="174" t="n">
        <f aca="false">MAX(C20:G20)-MIN(C20:G20)</f>
        <v>1.60000000000002</v>
      </c>
    </row>
    <row r="21" customFormat="false" ht="16.5" hidden="false" customHeight="true" outlineLevel="0" collapsed="false">
      <c r="B21" s="15" t="n">
        <v>5</v>
      </c>
      <c r="C21" s="157" t="n">
        <v>501.4</v>
      </c>
      <c r="D21" s="157" t="n">
        <v>502.7</v>
      </c>
      <c r="E21" s="157" t="n">
        <v>503.8</v>
      </c>
      <c r="F21" s="157" t="n">
        <v>502.3</v>
      </c>
      <c r="G21" s="157" t="n">
        <v>501.9</v>
      </c>
      <c r="H21" s="174" t="n">
        <f aca="false">AVERAGE(C21:G21)</f>
        <v>502.42</v>
      </c>
      <c r="I21" s="174" t="n">
        <f aca="false">MAX(C21:G21)-MIN(C21:G21)</f>
        <v>2.40000000000003</v>
      </c>
    </row>
    <row r="22" customFormat="false" ht="16.5" hidden="false" customHeight="true" outlineLevel="0" collapsed="false">
      <c r="B22" s="15" t="n">
        <v>6</v>
      </c>
      <c r="C22" s="157" t="n">
        <v>502.5</v>
      </c>
      <c r="D22" s="157" t="n">
        <v>503</v>
      </c>
      <c r="E22" s="157" t="n">
        <v>502.2</v>
      </c>
      <c r="F22" s="157" t="n">
        <v>501.6</v>
      </c>
      <c r="G22" s="157" t="n">
        <v>502.8</v>
      </c>
      <c r="H22" s="174" t="n">
        <f aca="false">AVERAGE(C22:G22)</f>
        <v>502.42</v>
      </c>
      <c r="I22" s="174" t="n">
        <f aca="false">MAX(C22:G22)-MIN(C22:G22)</f>
        <v>1.39999999999998</v>
      </c>
    </row>
    <row r="23" customFormat="false" ht="16.5" hidden="false" customHeight="true" outlineLevel="0" collapsed="false">
      <c r="B23" s="15" t="n">
        <v>7</v>
      </c>
      <c r="C23" s="157" t="n">
        <v>503.2</v>
      </c>
      <c r="D23" s="157" t="n">
        <v>502.4</v>
      </c>
      <c r="E23" s="157" t="n">
        <v>503.9</v>
      </c>
      <c r="F23" s="157" t="n">
        <v>502.7</v>
      </c>
      <c r="G23" s="157" t="n">
        <v>503.5</v>
      </c>
      <c r="H23" s="174" t="n">
        <f aca="false">AVERAGE(C23:G23)</f>
        <v>503.14</v>
      </c>
      <c r="I23" s="174" t="n">
        <f aca="false">MAX(C23:G23)-MIN(C23:G23)</f>
        <v>1.5</v>
      </c>
    </row>
    <row r="24" customFormat="false" ht="16.5" hidden="false" customHeight="true" outlineLevel="0" collapsed="false">
      <c r="B24" s="15" t="n">
        <v>8</v>
      </c>
      <c r="C24" s="157" t="n">
        <v>502</v>
      </c>
      <c r="D24" s="157" t="n">
        <v>503.6</v>
      </c>
      <c r="E24" s="157" t="n">
        <v>501.9</v>
      </c>
      <c r="F24" s="157" t="n">
        <v>502.5</v>
      </c>
      <c r="G24" s="157" t="n">
        <v>503.1</v>
      </c>
      <c r="H24" s="174" t="n">
        <f aca="false">AVERAGE(C24:G24)</f>
        <v>502.62</v>
      </c>
      <c r="I24" s="174" t="n">
        <f aca="false">MAX(C24:G24)-MIN(C24:G24)</f>
        <v>1.70000000000005</v>
      </c>
    </row>
    <row r="25" customFormat="false" ht="16.5" hidden="false" customHeight="true" outlineLevel="0" collapsed="false">
      <c r="B25" s="15" t="n">
        <v>9</v>
      </c>
      <c r="C25" s="157" t="n">
        <v>503.7</v>
      </c>
      <c r="D25" s="157" t="n">
        <v>502.2</v>
      </c>
      <c r="E25" s="157" t="n">
        <v>502.9</v>
      </c>
      <c r="F25" s="157" t="n">
        <v>503.4</v>
      </c>
      <c r="G25" s="157" t="n">
        <v>502.6</v>
      </c>
      <c r="H25" s="174" t="n">
        <f aca="false">AVERAGE(C25:G25)</f>
        <v>502.96</v>
      </c>
      <c r="I25" s="174" t="n">
        <f aca="false">MAX(C25:G25)-MIN(C25:G25)</f>
        <v>1.5</v>
      </c>
    </row>
    <row r="26" customFormat="false" ht="16.5" hidden="false" customHeight="true" outlineLevel="0" collapsed="false">
      <c r="B26" s="15" t="n">
        <v>10</v>
      </c>
      <c r="C26" s="157" t="n">
        <v>502.3</v>
      </c>
      <c r="D26" s="157" t="n">
        <v>501.8</v>
      </c>
      <c r="E26" s="157" t="n">
        <v>503.2</v>
      </c>
      <c r="F26" s="157" t="n">
        <v>502.7</v>
      </c>
      <c r="G26" s="157" t="n">
        <v>502.1</v>
      </c>
      <c r="H26" s="174" t="n">
        <f aca="false">AVERAGE(C26:G26)</f>
        <v>502.42</v>
      </c>
      <c r="I26" s="174" t="n">
        <f aca="false">MAX(C26:G26)-MIN(C26:G26)</f>
        <v>1.39999999999998</v>
      </c>
    </row>
    <row r="27" customFormat="false" ht="16.5" hidden="false" customHeight="true" outlineLevel="0" collapsed="false">
      <c r="B27" s="15" t="n">
        <v>11</v>
      </c>
      <c r="C27" s="157" t="n">
        <v>504.1</v>
      </c>
      <c r="D27" s="157" t="n">
        <v>503.5</v>
      </c>
      <c r="E27" s="157" t="n">
        <v>504.8</v>
      </c>
      <c r="F27" s="157" t="n">
        <v>503.9</v>
      </c>
      <c r="G27" s="157" t="n">
        <v>504.3</v>
      </c>
      <c r="H27" s="174" t="n">
        <f aca="false">AVERAGE(C27:G27)</f>
        <v>504.12</v>
      </c>
      <c r="I27" s="174" t="n">
        <f aca="false">MAX(C27:G27)-MIN(C27:G27)</f>
        <v>1.30000000000001</v>
      </c>
    </row>
    <row r="28" customFormat="false" ht="16.5" hidden="false" customHeight="true" outlineLevel="0" collapsed="false">
      <c r="B28" s="15" t="n">
        <v>12</v>
      </c>
      <c r="C28" s="157" t="n">
        <v>503.8</v>
      </c>
      <c r="D28" s="157" t="n">
        <v>504.2</v>
      </c>
      <c r="E28" s="157" t="n">
        <v>503.1</v>
      </c>
      <c r="F28" s="157" t="n">
        <v>504.6</v>
      </c>
      <c r="G28" s="157" t="n">
        <v>503.4</v>
      </c>
      <c r="H28" s="174" t="n">
        <f aca="false">AVERAGE(C28:G28)</f>
        <v>503.82</v>
      </c>
      <c r="I28" s="174" t="n">
        <f aca="false">MAX(C28:G28)-MIN(C28:G28)</f>
        <v>1.5</v>
      </c>
    </row>
    <row r="29" customFormat="false" ht="16.5" hidden="false" customHeight="true" outlineLevel="0" collapsed="false">
      <c r="B29" s="15" t="n">
        <v>13</v>
      </c>
      <c r="C29" s="157" t="n">
        <v>502.6</v>
      </c>
      <c r="D29" s="157" t="n">
        <v>503.1</v>
      </c>
      <c r="E29" s="157" t="n">
        <v>502.4</v>
      </c>
      <c r="F29" s="157" t="n">
        <v>503.5</v>
      </c>
      <c r="G29" s="157" t="n">
        <v>502.9</v>
      </c>
      <c r="H29" s="174" t="n">
        <f aca="false">AVERAGE(C29:G29)</f>
        <v>502.9</v>
      </c>
      <c r="I29" s="174" t="n">
        <f aca="false">MAX(C29:G29)-MIN(C29:G29)</f>
        <v>1.10000000000002</v>
      </c>
    </row>
    <row r="30" customFormat="false" ht="16.5" hidden="false" customHeight="true" outlineLevel="0" collapsed="false">
      <c r="B30" s="15" t="n">
        <v>14</v>
      </c>
      <c r="C30" s="157" t="n">
        <v>502.2</v>
      </c>
      <c r="D30" s="157" t="n">
        <v>503.3</v>
      </c>
      <c r="E30" s="157" t="n">
        <v>502.7</v>
      </c>
      <c r="F30" s="157" t="n">
        <v>503</v>
      </c>
      <c r="G30" s="157" t="n">
        <v>502.5</v>
      </c>
      <c r="H30" s="174" t="n">
        <f aca="false">AVERAGE(C30:G30)</f>
        <v>502.74</v>
      </c>
      <c r="I30" s="174" t="n">
        <f aca="false">MAX(C30:G30)-MIN(C30:G30)</f>
        <v>1.10000000000002</v>
      </c>
    </row>
    <row r="31" customFormat="false" ht="16.5" hidden="false" customHeight="true" outlineLevel="0" collapsed="false">
      <c r="B31" s="15" t="n">
        <v>15</v>
      </c>
      <c r="C31" s="157" t="n">
        <v>503.7</v>
      </c>
      <c r="D31" s="157" t="n">
        <v>502.1</v>
      </c>
      <c r="E31" s="157" t="n">
        <v>502.8</v>
      </c>
      <c r="F31" s="157" t="n">
        <v>503.2</v>
      </c>
      <c r="G31" s="157" t="n">
        <v>502.3</v>
      </c>
      <c r="H31" s="174" t="n">
        <f aca="false">AVERAGE(C31:G31)</f>
        <v>502.82</v>
      </c>
      <c r="I31" s="174" t="n">
        <f aca="false">MAX(C31:G31)-MIN(C31:G31)</f>
        <v>1.59999999999997</v>
      </c>
    </row>
    <row r="32" customFormat="false" ht="16.5" hidden="false" customHeight="true" outlineLevel="0" collapsed="false">
      <c r="B32" s="15" t="n">
        <v>16</v>
      </c>
      <c r="C32" s="157" t="n">
        <v>502.9</v>
      </c>
      <c r="D32" s="157" t="n">
        <v>503.4</v>
      </c>
      <c r="E32" s="157" t="n">
        <v>502.6</v>
      </c>
      <c r="F32" s="157" t="n">
        <v>503.8</v>
      </c>
      <c r="G32" s="157" t="n">
        <v>502.4</v>
      </c>
      <c r="H32" s="174" t="n">
        <f aca="false">AVERAGE(C32:G32)</f>
        <v>503.02</v>
      </c>
      <c r="I32" s="174" t="n">
        <f aca="false">MAX(C32:G32)-MIN(C32:G32)</f>
        <v>1.40000000000003</v>
      </c>
    </row>
    <row r="33" customFormat="false" ht="16.5" hidden="false" customHeight="true" outlineLevel="0" collapsed="false">
      <c r="B33" s="15" t="n">
        <v>17</v>
      </c>
      <c r="C33" s="157" t="n">
        <v>503.1</v>
      </c>
      <c r="D33" s="157" t="n">
        <v>502.5</v>
      </c>
      <c r="E33" s="157" t="n">
        <v>503.6</v>
      </c>
      <c r="F33" s="157" t="n">
        <v>502.2</v>
      </c>
      <c r="G33" s="157" t="n">
        <v>503.3</v>
      </c>
      <c r="H33" s="174" t="n">
        <f aca="false">AVERAGE(C33:G33)</f>
        <v>502.94</v>
      </c>
      <c r="I33" s="174" t="n">
        <f aca="false">MAX(C33:G33)-MIN(C33:G33)</f>
        <v>1.40000000000003</v>
      </c>
    </row>
    <row r="34" customFormat="false" ht="16.5" hidden="false" customHeight="true" outlineLevel="0" collapsed="false">
      <c r="B34" s="15" t="n">
        <v>18</v>
      </c>
      <c r="C34" s="157" t="n">
        <v>502.7</v>
      </c>
      <c r="D34" s="157" t="n">
        <v>503.9</v>
      </c>
      <c r="E34" s="157" t="n">
        <v>502.3</v>
      </c>
      <c r="F34" s="157" t="n">
        <v>503</v>
      </c>
      <c r="G34" s="157" t="n">
        <v>502.8</v>
      </c>
      <c r="H34" s="174" t="n">
        <f aca="false">AVERAGE(C34:G34)</f>
        <v>502.94</v>
      </c>
      <c r="I34" s="174" t="n">
        <f aca="false">MAX(C34:G34)-MIN(C34:G34)</f>
        <v>1.59999999999997</v>
      </c>
    </row>
    <row r="35" customFormat="false" ht="16.5" hidden="false" customHeight="true" outlineLevel="0" collapsed="false">
      <c r="B35" s="15" t="n">
        <v>19</v>
      </c>
      <c r="C35" s="157" t="n">
        <v>503.4</v>
      </c>
      <c r="D35" s="157" t="n">
        <v>502.6</v>
      </c>
      <c r="E35" s="157" t="n">
        <v>503.2</v>
      </c>
      <c r="F35" s="157" t="n">
        <v>502.9</v>
      </c>
      <c r="G35" s="157" t="n">
        <v>503.7</v>
      </c>
      <c r="H35" s="174" t="n">
        <f aca="false">AVERAGE(C35:G35)</f>
        <v>503.16</v>
      </c>
      <c r="I35" s="174" t="n">
        <f aca="false">MAX(C35:G35)-MIN(C35:G35)</f>
        <v>1.09999999999997</v>
      </c>
    </row>
    <row r="36" customFormat="false" ht="16.5" hidden="false" customHeight="true" outlineLevel="0" collapsed="false">
      <c r="B36" s="15" t="n">
        <v>20</v>
      </c>
      <c r="C36" s="157" t="n">
        <v>502.4</v>
      </c>
      <c r="D36" s="157" t="n">
        <v>503.1</v>
      </c>
      <c r="E36" s="157" t="n">
        <v>502.8</v>
      </c>
      <c r="F36" s="157" t="n">
        <v>503.5</v>
      </c>
      <c r="G36" s="157" t="n">
        <v>502.2</v>
      </c>
      <c r="H36" s="174" t="n">
        <f aca="false">AVERAGE(C36:G36)</f>
        <v>502.8</v>
      </c>
      <c r="I36" s="174" t="n">
        <f aca="false">MAX(C36:G36)-MIN(C36:G36)</f>
        <v>1.30000000000001</v>
      </c>
    </row>
    <row r="37" customFormat="false" ht="16.5" hidden="false" customHeight="true" outlineLevel="0" collapsed="false">
      <c r="B37" s="15" t="n">
        <v>21</v>
      </c>
      <c r="C37" s="157" t="n">
        <v>503</v>
      </c>
      <c r="D37" s="157" t="n">
        <v>502.7</v>
      </c>
      <c r="E37" s="157" t="n">
        <v>503.3</v>
      </c>
      <c r="F37" s="157" t="n">
        <v>502.5</v>
      </c>
      <c r="G37" s="157" t="n">
        <v>503.8</v>
      </c>
      <c r="H37" s="174" t="n">
        <f aca="false">AVERAGE(C37:G37)</f>
        <v>503.06</v>
      </c>
      <c r="I37" s="174" t="n">
        <f aca="false">MAX(C37:G37)-MIN(C37:G37)</f>
        <v>1.30000000000001</v>
      </c>
    </row>
    <row r="38" customFormat="false" ht="16.5" hidden="false" customHeight="true" outlineLevel="0" collapsed="false">
      <c r="B38" s="15" t="n">
        <v>22</v>
      </c>
      <c r="C38" s="157" t="n">
        <v>502.8</v>
      </c>
      <c r="D38" s="157" t="n">
        <v>503.2</v>
      </c>
      <c r="E38" s="157" t="n">
        <v>502.4</v>
      </c>
      <c r="F38" s="157" t="n">
        <v>503.6</v>
      </c>
      <c r="G38" s="157" t="n">
        <v>502.9</v>
      </c>
      <c r="H38" s="174" t="n">
        <f aca="false">AVERAGE(C38:G38)</f>
        <v>502.98</v>
      </c>
      <c r="I38" s="174" t="n">
        <f aca="false">MAX(C38:G38)-MIN(C38:G38)</f>
        <v>1.20000000000005</v>
      </c>
    </row>
    <row r="39" customFormat="false" ht="16.5" hidden="false" customHeight="true" outlineLevel="0" collapsed="false">
      <c r="B39" s="15" t="n">
        <v>23</v>
      </c>
      <c r="C39" s="157" t="n">
        <v>503.5</v>
      </c>
      <c r="D39" s="157" t="n">
        <v>502.3</v>
      </c>
      <c r="E39" s="157" t="n">
        <v>503</v>
      </c>
      <c r="F39" s="157" t="n">
        <v>502.7</v>
      </c>
      <c r="G39" s="157" t="n">
        <v>503.4</v>
      </c>
      <c r="H39" s="174" t="n">
        <f aca="false">AVERAGE(C39:G39)</f>
        <v>502.98</v>
      </c>
      <c r="I39" s="174" t="n">
        <f aca="false">MAX(C39:G39)-MIN(C39:G39)</f>
        <v>1.19999999999999</v>
      </c>
    </row>
    <row r="40" customFormat="false" ht="16.5" hidden="false" customHeight="true" outlineLevel="0" collapsed="false">
      <c r="B40" s="15" t="n">
        <v>24</v>
      </c>
      <c r="C40" s="157" t="n">
        <v>502.6</v>
      </c>
      <c r="D40" s="157" t="n">
        <v>503.7</v>
      </c>
      <c r="E40" s="157" t="n">
        <v>502.9</v>
      </c>
      <c r="F40" s="157" t="n">
        <v>503.1</v>
      </c>
      <c r="G40" s="157" t="n">
        <v>502.5</v>
      </c>
      <c r="H40" s="174" t="n">
        <f aca="false">AVERAGE(C40:G40)</f>
        <v>502.96</v>
      </c>
      <c r="I40" s="174" t="n">
        <f aca="false">MAX(C40:G40)-MIN(C40:G40)</f>
        <v>1.19999999999999</v>
      </c>
    </row>
    <row r="41" customFormat="false" ht="16.5" hidden="false" customHeight="true" outlineLevel="0" collapsed="false">
      <c r="B41" s="15" t="n">
        <v>25</v>
      </c>
      <c r="C41" s="157" t="n">
        <v>503.2</v>
      </c>
      <c r="D41" s="157" t="n">
        <v>502.8</v>
      </c>
      <c r="E41" s="157" t="n">
        <v>503.5</v>
      </c>
      <c r="F41" s="157" t="n">
        <v>502.4</v>
      </c>
      <c r="G41" s="157" t="n">
        <v>503</v>
      </c>
      <c r="H41" s="174" t="n">
        <f aca="false">AVERAGE(C41:G41)</f>
        <v>502.98</v>
      </c>
      <c r="I41" s="174" t="n">
        <f aca="false">MAX(C41:G41)-MIN(C41:G41)</f>
        <v>1.10000000000002</v>
      </c>
    </row>
    <row r="43" customFormat="false" ht="17.25" hidden="false" customHeight="true" outlineLevel="0" collapsed="false">
      <c r="B43" s="162" t="s">
        <v>6458</v>
      </c>
      <c r="C43" s="206" t="n">
        <f aca="false">AVERAGE(H17:H41)</f>
        <v>502.9296</v>
      </c>
      <c r="D43" s="162" t="s">
        <v>14976</v>
      </c>
      <c r="E43" s="206" t="n">
        <f aca="false">AVERAGE(I17:I41)</f>
        <v>1.55600000000001</v>
      </c>
      <c r="F43" s="162" t="s">
        <v>14977</v>
      </c>
      <c r="G43" s="206" t="n">
        <f aca="false">STDEV(C17:G41)</f>
        <v>0.690023842505322</v>
      </c>
      <c r="H43" s="15" t="s">
        <v>14978</v>
      </c>
      <c r="I43" s="15"/>
      <c r="J43" s="15"/>
      <c r="K43" s="15"/>
    </row>
    <row r="45" customFormat="false" ht="17.25" hidden="false" customHeight="true" outlineLevel="0" collapsed="false">
      <c r="B45" s="107" t="s">
        <v>14979</v>
      </c>
      <c r="C45" s="107"/>
      <c r="D45" s="107"/>
      <c r="E45" s="107"/>
      <c r="F45" s="107"/>
      <c r="G45" s="107"/>
      <c r="H45" s="107"/>
    </row>
    <row r="46" customFormat="false" ht="16.5" hidden="false" customHeight="true" outlineLevel="0" collapsed="false">
      <c r="B46" s="152" t="s">
        <v>6912</v>
      </c>
      <c r="C46" s="152" t="s">
        <v>14980</v>
      </c>
      <c r="D46" s="152" t="s">
        <v>14981</v>
      </c>
    </row>
    <row r="47" customFormat="false" ht="16.5" hidden="false" customHeight="true" outlineLevel="0" collapsed="false">
      <c r="B47" s="15" t="n">
        <v>1</v>
      </c>
      <c r="C47" s="156" t="n">
        <v>1.52</v>
      </c>
      <c r="D47" s="156" t="n">
        <v>1.71</v>
      </c>
    </row>
    <row r="48" customFormat="false" ht="16.5" hidden="false" customHeight="true" outlineLevel="0" collapsed="false">
      <c r="B48" s="15" t="n">
        <v>2</v>
      </c>
      <c r="C48" s="156" t="n">
        <v>1.48</v>
      </c>
      <c r="D48" s="156" t="n">
        <v>1.66</v>
      </c>
    </row>
    <row r="49" customFormat="false" ht="16.5" hidden="false" customHeight="true" outlineLevel="0" collapsed="false">
      <c r="B49" s="15" t="n">
        <v>3</v>
      </c>
      <c r="C49" s="156" t="n">
        <v>1.55</v>
      </c>
      <c r="D49" s="156" t="n">
        <v>1.74</v>
      </c>
    </row>
    <row r="50" customFormat="false" ht="16.5" hidden="false" customHeight="true" outlineLevel="0" collapsed="false">
      <c r="B50" s="15" t="n">
        <v>4</v>
      </c>
      <c r="C50" s="156" t="n">
        <v>1.61</v>
      </c>
      <c r="D50" s="156" t="n">
        <v>1.63</v>
      </c>
    </row>
    <row r="51" customFormat="false" ht="16.5" hidden="false" customHeight="true" outlineLevel="0" collapsed="false">
      <c r="B51" s="15" t="n">
        <v>5</v>
      </c>
      <c r="C51" s="156" t="n">
        <v>1.47</v>
      </c>
      <c r="D51" s="156" t="n">
        <v>1.78</v>
      </c>
    </row>
    <row r="52" customFormat="false" ht="16.5" hidden="false" customHeight="true" outlineLevel="0" collapsed="false">
      <c r="B52" s="15" t="n">
        <v>6</v>
      </c>
      <c r="C52" s="156" t="n">
        <v>1.58</v>
      </c>
      <c r="D52" s="156" t="n">
        <v>1.69</v>
      </c>
    </row>
    <row r="53" customFormat="false" ht="16.5" hidden="false" customHeight="true" outlineLevel="0" collapsed="false">
      <c r="B53" s="15" t="n">
        <v>7</v>
      </c>
      <c r="C53" s="156" t="n">
        <v>1.44</v>
      </c>
      <c r="D53" s="156" t="n">
        <v>1.72</v>
      </c>
    </row>
    <row r="54" customFormat="false" ht="16.5" hidden="false" customHeight="true" outlineLevel="0" collapsed="false">
      <c r="B54" s="15" t="n">
        <v>8</v>
      </c>
      <c r="C54" s="156" t="n">
        <v>1.53</v>
      </c>
      <c r="D54" s="156" t="n">
        <v>1.65</v>
      </c>
    </row>
    <row r="55" customFormat="false" ht="16.5" hidden="false" customHeight="true" outlineLevel="0" collapsed="false">
      <c r="B55" s="15" t="n">
        <v>9</v>
      </c>
      <c r="C55" s="156" t="n">
        <v>1.6</v>
      </c>
      <c r="D55" s="156" t="n">
        <v>1.8</v>
      </c>
    </row>
    <row r="56" customFormat="false" ht="16.5" hidden="false" customHeight="true" outlineLevel="0" collapsed="false">
      <c r="B56" s="15" t="n">
        <v>10</v>
      </c>
      <c r="C56" s="156" t="n">
        <v>1.49</v>
      </c>
      <c r="D56" s="156" t="n">
        <v>1.67</v>
      </c>
    </row>
    <row r="57" customFormat="false" ht="16.5" hidden="false" customHeight="true" outlineLevel="0" collapsed="false">
      <c r="B57" s="15" t="n">
        <v>11</v>
      </c>
      <c r="C57" s="156" t="n">
        <v>1.56</v>
      </c>
      <c r="D57" s="156" t="n">
        <v>1.75</v>
      </c>
    </row>
    <row r="58" customFormat="false" ht="16.5" hidden="false" customHeight="true" outlineLevel="0" collapsed="false">
      <c r="B58" s="15" t="n">
        <v>12</v>
      </c>
      <c r="C58" s="156" t="n">
        <v>1.51</v>
      </c>
      <c r="D58" s="156" t="n">
        <v>1.62</v>
      </c>
    </row>
    <row r="59" customFormat="false" ht="16.5" hidden="false" customHeight="true" outlineLevel="0" collapsed="false">
      <c r="B59" s="15" t="n">
        <v>13</v>
      </c>
      <c r="C59" s="156" t="n">
        <v>1.46</v>
      </c>
      <c r="D59" s="156" t="n">
        <v>1.77</v>
      </c>
    </row>
    <row r="60" customFormat="false" ht="16.5" hidden="false" customHeight="true" outlineLevel="0" collapsed="false">
      <c r="B60" s="15" t="n">
        <v>14</v>
      </c>
      <c r="C60" s="156" t="n">
        <v>1.59</v>
      </c>
      <c r="D60" s="156" t="n">
        <v>1.7</v>
      </c>
    </row>
    <row r="61" customFormat="false" ht="16.5" hidden="false" customHeight="true" outlineLevel="0" collapsed="false">
      <c r="B61" s="15" t="n">
        <v>15</v>
      </c>
      <c r="C61" s="156" t="n">
        <v>1.54</v>
      </c>
      <c r="D61" s="156" t="n">
        <v>1.64</v>
      </c>
    </row>
    <row r="62" customFormat="false" ht="16.5" hidden="false" customHeight="true" outlineLevel="0" collapsed="false">
      <c r="B62" s="15" t="n">
        <v>16</v>
      </c>
      <c r="C62" s="156" t="n">
        <v>1.43</v>
      </c>
      <c r="D62" s="156" t="n">
        <v>1.79</v>
      </c>
    </row>
    <row r="63" customFormat="false" ht="16.5" hidden="false" customHeight="true" outlineLevel="0" collapsed="false">
      <c r="B63" s="15" t="n">
        <v>17</v>
      </c>
      <c r="C63" s="156" t="n">
        <v>1.57</v>
      </c>
      <c r="D63" s="156" t="n">
        <v>1.68</v>
      </c>
    </row>
    <row r="64" customFormat="false" ht="16.5" hidden="false" customHeight="true" outlineLevel="0" collapsed="false">
      <c r="B64" s="15" t="n">
        <v>18</v>
      </c>
      <c r="C64" s="156" t="n">
        <v>1.5</v>
      </c>
      <c r="D64" s="156" t="n">
        <v>1.73</v>
      </c>
    </row>
    <row r="65" customFormat="false" ht="16.5" hidden="false" customHeight="true" outlineLevel="0" collapsed="false">
      <c r="B65" s="15" t="n">
        <v>19</v>
      </c>
      <c r="C65" s="156" t="n">
        <v>1.62</v>
      </c>
      <c r="D65" s="156" t="n">
        <v>1.66</v>
      </c>
    </row>
    <row r="66" customFormat="false" ht="16.5" hidden="false" customHeight="true" outlineLevel="0" collapsed="false">
      <c r="B66" s="15" t="n">
        <v>20</v>
      </c>
      <c r="C66" s="156" t="n">
        <v>1.45</v>
      </c>
      <c r="D66" s="156" t="n">
        <v>1.76</v>
      </c>
    </row>
    <row r="68" customFormat="false" ht="16.5" hidden="false" customHeight="true" outlineLevel="0" collapsed="false">
      <c r="B68" s="152" t="s">
        <v>3692</v>
      </c>
      <c r="C68" s="152" t="s">
        <v>14982</v>
      </c>
      <c r="D68" s="152" t="s">
        <v>14983</v>
      </c>
      <c r="E68" s="152" t="s">
        <v>9490</v>
      </c>
    </row>
    <row r="69" customFormat="false" ht="16.5" hidden="false" customHeight="true" outlineLevel="0" collapsed="false">
      <c r="B69" s="15" t="s">
        <v>1769</v>
      </c>
      <c r="C69" s="161" t="n">
        <f aca="false">COUNT(C47:C66)</f>
        <v>20</v>
      </c>
      <c r="D69" s="161" t="n">
        <f aca="false">COUNT(D47:D66)</f>
        <v>20</v>
      </c>
      <c r="E69" s="15" t="s">
        <v>6909</v>
      </c>
    </row>
    <row r="70" customFormat="false" ht="16.5" hidden="false" customHeight="true" outlineLevel="0" collapsed="false">
      <c r="B70" s="15" t="s">
        <v>2085</v>
      </c>
      <c r="C70" s="176" t="n">
        <f aca="false">AVERAGE(C47:C66)</f>
        <v>1.525</v>
      </c>
      <c r="D70" s="176" t="n">
        <f aca="false">AVERAGE(D47:D66)</f>
        <v>1.7075</v>
      </c>
      <c r="E70" s="176" t="n">
        <f aca="false">AVERAGE(D47:D66)-AVERAGE(C47:C66)</f>
        <v>0.1825</v>
      </c>
    </row>
    <row r="71" customFormat="false" ht="16.5" hidden="false" customHeight="true" outlineLevel="0" collapsed="false">
      <c r="B71" s="15" t="s">
        <v>1477</v>
      </c>
      <c r="C71" s="176" t="n">
        <f aca="false">STDEV(C47:C66)</f>
        <v>0.0591607978309962</v>
      </c>
      <c r="D71" s="176" t="n">
        <f aca="false">STDEV(D47:D66)</f>
        <v>0.0559016994374948</v>
      </c>
      <c r="E71" s="15" t="s">
        <v>6909</v>
      </c>
    </row>
    <row r="72" customFormat="false" ht="16.5" hidden="false" customHeight="true" outlineLevel="0" collapsed="false">
      <c r="B72" s="15" t="s">
        <v>14984</v>
      </c>
      <c r="C72" s="194" t="n">
        <f aca="false">TTEST(C47:C66,D47:D66,2,3)</f>
        <v>3.27949298121274E-012</v>
      </c>
      <c r="D72" s="15"/>
      <c r="E72" s="15" t="s">
        <v>3379</v>
      </c>
    </row>
    <row r="73" customFormat="false" ht="16.5" hidden="false" customHeight="true" outlineLevel="0" collapsed="false">
      <c r="B73" s="15" t="s">
        <v>14985</v>
      </c>
      <c r="C73" s="194" t="n">
        <f aca="false">FTEST(C47:C66,D47:D66)</f>
        <v>0.807461093435427</v>
      </c>
      <c r="D73" s="15"/>
      <c r="E73" s="15" t="s">
        <v>14986</v>
      </c>
    </row>
    <row r="75" customFormat="false" ht="17.25" hidden="false" customHeight="true" outlineLevel="0" collapsed="false">
      <c r="B75" s="107" t="s">
        <v>14987</v>
      </c>
      <c r="C75" s="107"/>
      <c r="D75" s="107"/>
      <c r="E75" s="107"/>
      <c r="F75" s="107"/>
      <c r="G75" s="107"/>
      <c r="H75" s="107"/>
    </row>
    <row r="76" customFormat="false" ht="30.75" hidden="false" customHeight="true" outlineLevel="0" collapsed="false">
      <c r="B76" s="152" t="s">
        <v>6100</v>
      </c>
      <c r="C76" s="152" t="s">
        <v>14988</v>
      </c>
      <c r="D76" s="152" t="s">
        <v>14989</v>
      </c>
      <c r="E76" s="152" t="s">
        <v>14990</v>
      </c>
      <c r="F76" s="152" t="s">
        <v>6395</v>
      </c>
    </row>
    <row r="77" customFormat="false" ht="16.5" hidden="false" customHeight="true" outlineLevel="0" collapsed="false">
      <c r="B77" s="15" t="n">
        <v>1</v>
      </c>
      <c r="C77" s="173" t="n">
        <v>18000</v>
      </c>
      <c r="D77" s="155" t="n">
        <v>214</v>
      </c>
      <c r="E77" s="204" t="n">
        <f aca="false">IFERROR(D77/C77,0)</f>
        <v>0.0118888888888889</v>
      </c>
      <c r="F77" s="159" t="n">
        <f aca="false">IFERROR(D77/C77*1000000,0)</f>
        <v>11888.8888888889</v>
      </c>
    </row>
    <row r="78" customFormat="false" ht="16.5" hidden="false" customHeight="true" outlineLevel="0" collapsed="false">
      <c r="B78" s="15" t="n">
        <v>2</v>
      </c>
      <c r="C78" s="173" t="n">
        <v>18000</v>
      </c>
      <c r="D78" s="155" t="n">
        <v>198</v>
      </c>
      <c r="E78" s="204" t="n">
        <f aca="false">IFERROR(D78/C78,0)</f>
        <v>0.011</v>
      </c>
      <c r="F78" s="159" t="n">
        <f aca="false">IFERROR(D78/C78*1000000,0)</f>
        <v>11000</v>
      </c>
    </row>
    <row r="79" customFormat="false" ht="16.5" hidden="false" customHeight="true" outlineLevel="0" collapsed="false">
      <c r="B79" s="15" t="n">
        <v>3</v>
      </c>
      <c r="C79" s="173" t="n">
        <v>18000</v>
      </c>
      <c r="D79" s="155" t="n">
        <v>241</v>
      </c>
      <c r="E79" s="204" t="n">
        <f aca="false">IFERROR(D79/C79,0)</f>
        <v>0.0133888888888889</v>
      </c>
      <c r="F79" s="159" t="n">
        <f aca="false">IFERROR(D79/C79*1000000,0)</f>
        <v>13388.8888888889</v>
      </c>
    </row>
    <row r="80" customFormat="false" ht="16.5" hidden="false" customHeight="true" outlineLevel="0" collapsed="false">
      <c r="B80" s="15" t="n">
        <v>4</v>
      </c>
      <c r="C80" s="173" t="n">
        <v>18000</v>
      </c>
      <c r="D80" s="155" t="n">
        <v>187</v>
      </c>
      <c r="E80" s="204" t="n">
        <f aca="false">IFERROR(D80/C80,0)</f>
        <v>0.0103888888888889</v>
      </c>
      <c r="F80" s="159" t="n">
        <f aca="false">IFERROR(D80/C80*1000000,0)</f>
        <v>10388.8888888889</v>
      </c>
    </row>
    <row r="81" customFormat="false" ht="16.5" hidden="false" customHeight="true" outlineLevel="0" collapsed="false">
      <c r="B81" s="15" t="n">
        <v>5</v>
      </c>
      <c r="C81" s="173" t="n">
        <v>17500</v>
      </c>
      <c r="D81" s="155" t="n">
        <v>205</v>
      </c>
      <c r="E81" s="204" t="n">
        <f aca="false">IFERROR(D81/C81,0)</f>
        <v>0.0117142857142857</v>
      </c>
      <c r="F81" s="159" t="n">
        <f aca="false">IFERROR(D81/C81*1000000,0)</f>
        <v>11714.2857142857</v>
      </c>
    </row>
    <row r="82" customFormat="false" ht="16.5" hidden="false" customHeight="true" outlineLevel="0" collapsed="false">
      <c r="B82" s="15" t="n">
        <v>6</v>
      </c>
      <c r="C82" s="173" t="n">
        <v>18000</v>
      </c>
      <c r="D82" s="155" t="n">
        <v>232</v>
      </c>
      <c r="E82" s="204" t="n">
        <f aca="false">IFERROR(D82/C82,0)</f>
        <v>0.0128888888888889</v>
      </c>
      <c r="F82" s="159" t="n">
        <f aca="false">IFERROR(D82/C82*1000000,0)</f>
        <v>12888.8888888889</v>
      </c>
    </row>
    <row r="83" customFormat="false" ht="16.5" hidden="false" customHeight="true" outlineLevel="0" collapsed="false">
      <c r="B83" s="15" t="n">
        <v>7</v>
      </c>
      <c r="C83" s="173" t="n">
        <v>18000</v>
      </c>
      <c r="D83" s="155" t="n">
        <v>176</v>
      </c>
      <c r="E83" s="204" t="n">
        <f aca="false">IFERROR(D83/C83,0)</f>
        <v>0.00977777777777778</v>
      </c>
      <c r="F83" s="159" t="n">
        <f aca="false">IFERROR(D83/C83*1000000,0)</f>
        <v>9777.77777777778</v>
      </c>
    </row>
    <row r="84" customFormat="false" ht="16.5" hidden="false" customHeight="true" outlineLevel="0" collapsed="false">
      <c r="B84" s="15" t="n">
        <v>8</v>
      </c>
      <c r="C84" s="173" t="n">
        <v>17800</v>
      </c>
      <c r="D84" s="155" t="n">
        <v>219</v>
      </c>
      <c r="E84" s="204" t="n">
        <f aca="false">IFERROR(D84/C84,0)</f>
        <v>0.0123033707865169</v>
      </c>
      <c r="F84" s="159" t="n">
        <f aca="false">IFERROR(D84/C84*1000000,0)</f>
        <v>12303.3707865169</v>
      </c>
    </row>
    <row r="85" customFormat="false" ht="16.5" hidden="false" customHeight="true" outlineLevel="0" collapsed="false">
      <c r="B85" s="15" t="n">
        <v>9</v>
      </c>
      <c r="C85" s="173" t="n">
        <v>18000</v>
      </c>
      <c r="D85" s="155" t="n">
        <v>251</v>
      </c>
      <c r="E85" s="204" t="n">
        <f aca="false">IFERROR(D85/C85,0)</f>
        <v>0.0139444444444444</v>
      </c>
      <c r="F85" s="159" t="n">
        <f aca="false">IFERROR(D85/C85*1000000,0)</f>
        <v>13944.4444444444</v>
      </c>
    </row>
    <row r="86" customFormat="false" ht="16.5" hidden="false" customHeight="true" outlineLevel="0" collapsed="false">
      <c r="B86" s="15" t="n">
        <v>10</v>
      </c>
      <c r="C86" s="173" t="n">
        <v>18000</v>
      </c>
      <c r="D86" s="155" t="n">
        <v>193</v>
      </c>
      <c r="E86" s="204" t="n">
        <f aca="false">IFERROR(D86/C86,0)</f>
        <v>0.0107222222222222</v>
      </c>
      <c r="F86" s="159" t="n">
        <f aca="false">IFERROR(D86/C86*1000000,0)</f>
        <v>10722.2222222222</v>
      </c>
    </row>
    <row r="87" customFormat="false" ht="16.5" hidden="false" customHeight="true" outlineLevel="0" collapsed="false">
      <c r="B87" s="15" t="n">
        <v>11</v>
      </c>
      <c r="C87" s="173" t="n">
        <v>17600</v>
      </c>
      <c r="D87" s="155" t="n">
        <v>208</v>
      </c>
      <c r="E87" s="204" t="n">
        <f aca="false">IFERROR(D87/C87,0)</f>
        <v>0.0118181818181818</v>
      </c>
      <c r="F87" s="159" t="n">
        <f aca="false">IFERROR(D87/C87*1000000,0)</f>
        <v>11818.1818181818</v>
      </c>
    </row>
    <row r="88" customFormat="false" ht="16.5" hidden="false" customHeight="true" outlineLevel="0" collapsed="false">
      <c r="B88" s="15" t="n">
        <v>12</v>
      </c>
      <c r="C88" s="173" t="n">
        <v>18000</v>
      </c>
      <c r="D88" s="155" t="n">
        <v>227</v>
      </c>
      <c r="E88" s="204" t="n">
        <f aca="false">IFERROR(D88/C88,0)</f>
        <v>0.0126111111111111</v>
      </c>
      <c r="F88" s="159" t="n">
        <f aca="false">IFERROR(D88/C88*1000000,0)</f>
        <v>12611.1111111111</v>
      </c>
    </row>
    <row r="89" customFormat="false" ht="16.5" hidden="false" customHeight="true" outlineLevel="0" collapsed="false">
      <c r="B89" s="15" t="n">
        <v>13</v>
      </c>
      <c r="C89" s="173" t="n">
        <v>18000</v>
      </c>
      <c r="D89" s="155" t="n">
        <v>184</v>
      </c>
      <c r="E89" s="204" t="n">
        <f aca="false">IFERROR(D89/C89,0)</f>
        <v>0.0102222222222222</v>
      </c>
      <c r="F89" s="159" t="n">
        <f aca="false">IFERROR(D89/C89*1000000,0)</f>
        <v>10222.2222222222</v>
      </c>
    </row>
    <row r="90" customFormat="false" ht="16.5" hidden="false" customHeight="true" outlineLevel="0" collapsed="false">
      <c r="B90" s="15" t="n">
        <v>14</v>
      </c>
      <c r="C90" s="173" t="n">
        <v>17900</v>
      </c>
      <c r="D90" s="155" t="n">
        <v>236</v>
      </c>
      <c r="E90" s="204" t="n">
        <f aca="false">IFERROR(D90/C90,0)</f>
        <v>0.0131843575418994</v>
      </c>
      <c r="F90" s="159" t="n">
        <f aca="false">IFERROR(D90/C90*1000000,0)</f>
        <v>13184.3575418994</v>
      </c>
    </row>
    <row r="91" customFormat="false" ht="16.5" hidden="false" customHeight="true" outlineLevel="0" collapsed="false">
      <c r="B91" s="15" t="n">
        <v>15</v>
      </c>
      <c r="C91" s="173" t="n">
        <v>18000</v>
      </c>
      <c r="D91" s="155" t="n">
        <v>202</v>
      </c>
      <c r="E91" s="204" t="n">
        <f aca="false">IFERROR(D91/C91,0)</f>
        <v>0.0112222222222222</v>
      </c>
      <c r="F91" s="159" t="n">
        <f aca="false">IFERROR(D91/C91*1000000,0)</f>
        <v>11222.2222222222</v>
      </c>
    </row>
    <row r="92" customFormat="false" ht="16.5" hidden="false" customHeight="true" outlineLevel="0" collapsed="false">
      <c r="B92" s="15" t="n">
        <v>16</v>
      </c>
      <c r="C92" s="173" t="n">
        <v>18000</v>
      </c>
      <c r="D92" s="155" t="n">
        <v>318</v>
      </c>
      <c r="E92" s="204" t="n">
        <f aca="false">IFERROR(D92/C92,0)</f>
        <v>0.0176666666666667</v>
      </c>
      <c r="F92" s="159" t="n">
        <f aca="false">IFERROR(D92/C92*1000000,0)</f>
        <v>17666.6666666667</v>
      </c>
    </row>
    <row r="93" customFormat="false" ht="16.5" hidden="false" customHeight="true" outlineLevel="0" collapsed="false">
      <c r="B93" s="15" t="n">
        <v>17</v>
      </c>
      <c r="C93" s="173" t="n">
        <v>17700</v>
      </c>
      <c r="D93" s="155" t="n">
        <v>245</v>
      </c>
      <c r="E93" s="204" t="n">
        <f aca="false">IFERROR(D93/C93,0)</f>
        <v>0.0138418079096045</v>
      </c>
      <c r="F93" s="159" t="n">
        <f aca="false">IFERROR(D93/C93*1000000,0)</f>
        <v>13841.8079096045</v>
      </c>
    </row>
    <row r="94" customFormat="false" ht="16.5" hidden="false" customHeight="true" outlineLevel="0" collapsed="false">
      <c r="B94" s="15" t="n">
        <v>18</v>
      </c>
      <c r="C94" s="173" t="n">
        <v>18000</v>
      </c>
      <c r="D94" s="155" t="n">
        <v>191</v>
      </c>
      <c r="E94" s="204" t="n">
        <f aca="false">IFERROR(D94/C94,0)</f>
        <v>0.0106111111111111</v>
      </c>
      <c r="F94" s="159" t="n">
        <f aca="false">IFERROR(D94/C94*1000000,0)</f>
        <v>10611.1111111111</v>
      </c>
    </row>
    <row r="95" customFormat="false" ht="16.5" hidden="false" customHeight="true" outlineLevel="0" collapsed="false">
      <c r="B95" s="15" t="n">
        <v>19</v>
      </c>
      <c r="C95" s="173" t="n">
        <v>18000</v>
      </c>
      <c r="D95" s="155" t="n">
        <v>223</v>
      </c>
      <c r="E95" s="204" t="n">
        <f aca="false">IFERROR(D95/C95,0)</f>
        <v>0.0123888888888889</v>
      </c>
      <c r="F95" s="159" t="n">
        <f aca="false">IFERROR(D95/C95*1000000,0)</f>
        <v>12388.8888888889</v>
      </c>
    </row>
    <row r="96" customFormat="false" ht="16.5" hidden="false" customHeight="true" outlineLevel="0" collapsed="false">
      <c r="B96" s="15" t="n">
        <v>20</v>
      </c>
      <c r="C96" s="173" t="n">
        <v>18000</v>
      </c>
      <c r="D96" s="155" t="n">
        <v>209</v>
      </c>
      <c r="E96" s="204" t="n">
        <f aca="false">IFERROR(D96/C96,0)</f>
        <v>0.0116111111111111</v>
      </c>
      <c r="F96" s="159" t="n">
        <f aca="false">IFERROR(D96/C96*1000000,0)</f>
        <v>11611.1111111111</v>
      </c>
    </row>
    <row r="98" customFormat="false" ht="16.5" hidden="false" customHeight="true" outlineLevel="0" collapsed="false">
      <c r="B98" s="152" t="s">
        <v>3692</v>
      </c>
      <c r="C98" s="152" t="s">
        <v>6654</v>
      </c>
      <c r="D98" s="152" t="s">
        <v>6655</v>
      </c>
    </row>
    <row r="99" customFormat="false" ht="16.5" hidden="false" customHeight="true" outlineLevel="0" collapsed="false">
      <c r="B99" s="15" t="s">
        <v>14991</v>
      </c>
      <c r="C99" s="159" t="n">
        <f aca="false">SUM(C77:C96)</f>
        <v>358500</v>
      </c>
      <c r="D99" s="15"/>
    </row>
    <row r="100" customFormat="false" ht="16.5" hidden="false" customHeight="true" outlineLevel="0" collapsed="false">
      <c r="B100" s="15" t="s">
        <v>14992</v>
      </c>
      <c r="C100" s="159" t="n">
        <f aca="false">SUM(D77:D96)</f>
        <v>4359</v>
      </c>
      <c r="D100" s="15"/>
    </row>
    <row r="101" customFormat="false" ht="30.75" hidden="false" customHeight="true" outlineLevel="0" collapsed="false">
      <c r="B101" s="15" t="s">
        <v>14993</v>
      </c>
      <c r="C101" s="194" t="n">
        <f aca="false">IFERROR(SUM(D77:D96)/SUM(C77:C96),0)</f>
        <v>0.0121589958158996</v>
      </c>
      <c r="D101" s="15" t="s">
        <v>14994</v>
      </c>
    </row>
    <row r="102" customFormat="false" ht="30.75" hidden="false" customHeight="true" outlineLevel="0" collapsed="false">
      <c r="B102" s="15" t="s">
        <v>14995</v>
      </c>
      <c r="C102" s="159" t="n">
        <f aca="false">AVERAGE(C77:C96)</f>
        <v>17925</v>
      </c>
      <c r="D102" s="15" t="s">
        <v>14996</v>
      </c>
    </row>
    <row r="103" customFormat="false" ht="16.5" hidden="false" customHeight="true" outlineLevel="0" collapsed="false">
      <c r="B103" s="15" t="s">
        <v>14997</v>
      </c>
      <c r="C103" s="194" t="n">
        <f aca="false">C101+3*SQRT(C101*(1-C101)/C102)</f>
        <v>0.0146147452446676</v>
      </c>
      <c r="D103" s="15" t="s">
        <v>14998</v>
      </c>
    </row>
    <row r="104" customFormat="false" ht="16.5" hidden="false" customHeight="true" outlineLevel="0" collapsed="false">
      <c r="B104" s="15" t="s">
        <v>14999</v>
      </c>
      <c r="C104" s="194" t="n">
        <f aca="false">MAX(0,C101-3*SQRT(C101*(1-C101)/C102))</f>
        <v>0.00970324638713152</v>
      </c>
      <c r="D104" s="15"/>
    </row>
    <row r="105" customFormat="false" ht="30.75" hidden="false" customHeight="true" outlineLevel="0" collapsed="false">
      <c r="B105" s="15" t="s">
        <v>15000</v>
      </c>
      <c r="C105" s="161" t="n">
        <f aca="false">COUNTIF(E77:E96,"&gt;"&amp;C103)</f>
        <v>1</v>
      </c>
      <c r="D105" s="15" t="s">
        <v>15001</v>
      </c>
    </row>
    <row r="107" customFormat="false" ht="17.25" hidden="false" customHeight="true" outlineLevel="0" collapsed="false">
      <c r="B107" s="107" t="s">
        <v>15002</v>
      </c>
      <c r="C107" s="107"/>
      <c r="D107" s="107"/>
      <c r="E107" s="107"/>
      <c r="F107" s="107"/>
      <c r="G107" s="107"/>
      <c r="H107" s="107"/>
    </row>
    <row r="108" customFormat="false" ht="16.5" hidden="false" customHeight="true" outlineLevel="0" collapsed="false">
      <c r="B108" s="152" t="s">
        <v>6912</v>
      </c>
      <c r="C108" s="152" t="s">
        <v>15003</v>
      </c>
      <c r="D108" s="152" t="s">
        <v>15004</v>
      </c>
    </row>
    <row r="109" customFormat="false" ht="16.5" hidden="false" customHeight="true" outlineLevel="0" collapsed="false">
      <c r="B109" s="15" t="n">
        <v>1</v>
      </c>
      <c r="C109" s="155" t="n">
        <v>188</v>
      </c>
      <c r="D109" s="155" t="n">
        <v>72</v>
      </c>
    </row>
    <row r="110" customFormat="false" ht="16.5" hidden="false" customHeight="true" outlineLevel="0" collapsed="false">
      <c r="B110" s="15" t="n">
        <v>2</v>
      </c>
      <c r="C110" s="155" t="n">
        <v>195</v>
      </c>
      <c r="D110" s="155" t="n">
        <v>65</v>
      </c>
    </row>
    <row r="111" customFormat="false" ht="16.5" hidden="false" customHeight="true" outlineLevel="0" collapsed="false">
      <c r="B111" s="15" t="n">
        <v>3</v>
      </c>
      <c r="C111" s="155" t="n">
        <v>201</v>
      </c>
      <c r="D111" s="155" t="n">
        <v>58</v>
      </c>
    </row>
    <row r="112" customFormat="false" ht="16.5" hidden="false" customHeight="true" outlineLevel="0" collapsed="false">
      <c r="B112" s="15" t="n">
        <v>4</v>
      </c>
      <c r="C112" s="155" t="n">
        <v>187</v>
      </c>
      <c r="D112" s="155" t="n">
        <v>61</v>
      </c>
    </row>
    <row r="113" customFormat="false" ht="16.5" hidden="false" customHeight="true" outlineLevel="0" collapsed="false">
      <c r="B113" s="15" t="n">
        <v>5</v>
      </c>
      <c r="C113" s="155" t="n">
        <v>199</v>
      </c>
      <c r="D113" s="155" t="n">
        <v>55</v>
      </c>
    </row>
    <row r="114" customFormat="false" ht="16.5" hidden="false" customHeight="true" outlineLevel="0" collapsed="false">
      <c r="B114" s="15" t="n">
        <v>6</v>
      </c>
      <c r="C114" s="155" t="n">
        <v>192</v>
      </c>
      <c r="D114" s="155" t="n">
        <v>63</v>
      </c>
    </row>
    <row r="115" customFormat="false" ht="16.5" hidden="false" customHeight="true" outlineLevel="0" collapsed="false">
      <c r="B115" s="15" t="n">
        <v>7</v>
      </c>
      <c r="C115" s="155" t="n">
        <v>205</v>
      </c>
      <c r="D115" s="155" t="n">
        <v>57</v>
      </c>
    </row>
    <row r="116" customFormat="false" ht="16.5" hidden="false" customHeight="true" outlineLevel="0" collapsed="false">
      <c r="B116" s="15" t="n">
        <v>8</v>
      </c>
      <c r="C116" s="155" t="n">
        <v>196</v>
      </c>
      <c r="D116" s="155" t="n">
        <v>60</v>
      </c>
    </row>
    <row r="117" customFormat="false" ht="16.5" hidden="false" customHeight="true" outlineLevel="0" collapsed="false">
      <c r="B117" s="15" t="n">
        <v>9</v>
      </c>
      <c r="C117" s="155" t="n">
        <v>190</v>
      </c>
      <c r="D117" s="155" t="n">
        <v>54</v>
      </c>
    </row>
    <row r="118" customFormat="false" ht="16.5" hidden="false" customHeight="true" outlineLevel="0" collapsed="false">
      <c r="B118" s="15" t="n">
        <v>10</v>
      </c>
      <c r="C118" s="155" t="n">
        <v>198</v>
      </c>
      <c r="D118" s="155" t="n">
        <v>59</v>
      </c>
    </row>
    <row r="119" customFormat="false" ht="16.5" hidden="false" customHeight="true" outlineLevel="0" collapsed="false">
      <c r="B119" s="15" t="n">
        <v>11</v>
      </c>
      <c r="C119" s="155" t="n">
        <v>193</v>
      </c>
      <c r="D119" s="155" t="n">
        <v>62</v>
      </c>
    </row>
    <row r="120" customFormat="false" ht="16.5" hidden="false" customHeight="true" outlineLevel="0" collapsed="false">
      <c r="B120" s="15" t="n">
        <v>12</v>
      </c>
      <c r="C120" s="155" t="n">
        <v>202</v>
      </c>
      <c r="D120" s="155" t="n">
        <v>56</v>
      </c>
    </row>
    <row r="121" customFormat="false" ht="16.5" hidden="false" customHeight="true" outlineLevel="0" collapsed="false">
      <c r="B121" s="15" t="n">
        <v>13</v>
      </c>
      <c r="C121" s="155" t="n">
        <v>186</v>
      </c>
      <c r="D121" s="155" t="n">
        <v>64</v>
      </c>
    </row>
    <row r="122" customFormat="false" ht="16.5" hidden="false" customHeight="true" outlineLevel="0" collapsed="false">
      <c r="B122" s="15" t="n">
        <v>14</v>
      </c>
      <c r="C122" s="155" t="n">
        <v>197</v>
      </c>
      <c r="D122" s="155" t="n">
        <v>53</v>
      </c>
    </row>
    <row r="123" customFormat="false" ht="16.5" hidden="false" customHeight="true" outlineLevel="0" collapsed="false">
      <c r="B123" s="15" t="n">
        <v>15</v>
      </c>
      <c r="C123" s="155" t="n">
        <v>191</v>
      </c>
      <c r="D123" s="155" t="n">
        <v>58</v>
      </c>
    </row>
    <row r="124" customFormat="false" ht="16.5" hidden="false" customHeight="true" outlineLevel="0" collapsed="false">
      <c r="B124" s="15" t="n">
        <v>16</v>
      </c>
      <c r="C124" s="155" t="n">
        <v>194</v>
      </c>
      <c r="D124" s="155"/>
    </row>
    <row r="125" customFormat="false" ht="16.5" hidden="false" customHeight="true" outlineLevel="0" collapsed="false">
      <c r="B125" s="15" t="n">
        <v>17</v>
      </c>
      <c r="C125" s="155" t="n">
        <v>200</v>
      </c>
      <c r="D125" s="155"/>
    </row>
    <row r="126" customFormat="false" ht="16.5" hidden="false" customHeight="true" outlineLevel="0" collapsed="false">
      <c r="B126" s="15" t="n">
        <v>18</v>
      </c>
      <c r="C126" s="155" t="n">
        <v>189</v>
      </c>
      <c r="D126" s="155"/>
    </row>
    <row r="127" customFormat="false" ht="16.5" hidden="false" customHeight="true" outlineLevel="0" collapsed="false">
      <c r="B127" s="15" t="n">
        <v>19</v>
      </c>
      <c r="C127" s="155" t="n">
        <v>196</v>
      </c>
      <c r="D127" s="155"/>
    </row>
    <row r="128" customFormat="false" ht="16.5" hidden="false" customHeight="true" outlineLevel="0" collapsed="false">
      <c r="B128" s="15" t="n">
        <v>20</v>
      </c>
      <c r="C128" s="155" t="n">
        <v>203</v>
      </c>
      <c r="D128" s="155"/>
    </row>
    <row r="130" customFormat="false" ht="17.25" hidden="false" customHeight="true" outlineLevel="0" collapsed="false">
      <c r="B130" s="152" t="s">
        <v>3692</v>
      </c>
      <c r="C130" s="152" t="s">
        <v>7161</v>
      </c>
      <c r="D130" s="152" t="s">
        <v>7162</v>
      </c>
      <c r="E130" s="152" t="s">
        <v>53</v>
      </c>
      <c r="F130" s="152"/>
    </row>
    <row r="131" customFormat="false" ht="17.25" hidden="false" customHeight="true" outlineLevel="0" collapsed="false">
      <c r="B131" s="15" t="s">
        <v>1769</v>
      </c>
      <c r="C131" s="161" t="n">
        <f aca="false">COUNT(C109:C128)</f>
        <v>20</v>
      </c>
      <c r="D131" s="161" t="n">
        <f aca="false">COUNT(D109:D128)</f>
        <v>15</v>
      </c>
      <c r="E131" s="15" t="s">
        <v>6909</v>
      </c>
      <c r="F131" s="15"/>
    </row>
    <row r="132" customFormat="false" ht="17.25" hidden="false" customHeight="true" outlineLevel="0" collapsed="false">
      <c r="B132" s="15" t="s">
        <v>2085</v>
      </c>
      <c r="C132" s="158" t="n">
        <f aca="false">AVERAGE(C109:C128)</f>
        <v>195.1</v>
      </c>
      <c r="D132" s="158" t="n">
        <f aca="false">AVERAGE(D109:D128)</f>
        <v>59.8</v>
      </c>
      <c r="E132" s="160" t="n">
        <f aca="false">IFERROR((AVERAGE(C109:C128)-AVERAGE(D109:D128))/AVERAGE(C109:C128),0)</f>
        <v>0.693490517683239</v>
      </c>
      <c r="F132" s="160"/>
    </row>
    <row r="133" customFormat="false" ht="17.25" hidden="false" customHeight="true" outlineLevel="0" collapsed="false">
      <c r="B133" s="15" t="s">
        <v>1477</v>
      </c>
      <c r="C133" s="174" t="n">
        <f aca="false">STDEV(C109:C128)</f>
        <v>5.57154424402767</v>
      </c>
      <c r="D133" s="174" t="n">
        <f aca="false">STDEV(D109:D128)</f>
        <v>4.94541634821001</v>
      </c>
      <c r="E133" s="15" t="s">
        <v>6909</v>
      </c>
      <c r="F133" s="15"/>
    </row>
    <row r="134" customFormat="false" ht="17.25" hidden="false" customHeight="true" outlineLevel="0" collapsed="false">
      <c r="B134" s="15" t="s">
        <v>15005</v>
      </c>
      <c r="C134" s="194" t="n">
        <f aca="false">TTEST(C109:C128,D109:D128,2,3)</f>
        <v>1.11757636476305E-037</v>
      </c>
      <c r="D134" s="15"/>
      <c r="E134" s="15" t="s">
        <v>15006</v>
      </c>
      <c r="F134" s="15"/>
    </row>
    <row r="136" customFormat="false" ht="17.25" hidden="false" customHeight="true" outlineLevel="0" collapsed="false">
      <c r="B136" s="107" t="s">
        <v>15007</v>
      </c>
      <c r="C136" s="107"/>
      <c r="D136" s="107"/>
      <c r="E136" s="107"/>
      <c r="F136" s="107"/>
      <c r="G136" s="107"/>
      <c r="H136" s="107"/>
    </row>
    <row r="137" customFormat="false" ht="16.5" hidden="false" customHeight="true" outlineLevel="0" collapsed="false">
      <c r="B137" s="152" t="s">
        <v>6912</v>
      </c>
      <c r="C137" s="152" t="s">
        <v>15008</v>
      </c>
      <c r="D137" s="152" t="s">
        <v>4481</v>
      </c>
    </row>
    <row r="138" customFormat="false" ht="16.5" hidden="false" customHeight="true" outlineLevel="0" collapsed="false">
      <c r="B138" s="15" t="n">
        <v>1</v>
      </c>
      <c r="C138" s="157" t="n">
        <v>24.1</v>
      </c>
      <c r="D138" s="181" t="n">
        <v>0.262</v>
      </c>
    </row>
    <row r="139" customFormat="false" ht="16.5" hidden="false" customHeight="true" outlineLevel="0" collapsed="false">
      <c r="B139" s="15" t="n">
        <v>2</v>
      </c>
      <c r="C139" s="157" t="n">
        <v>24.8</v>
      </c>
      <c r="D139" s="181" t="n">
        <v>0.271</v>
      </c>
    </row>
    <row r="140" customFormat="false" ht="16.5" hidden="false" customHeight="true" outlineLevel="0" collapsed="false">
      <c r="B140" s="15" t="n">
        <v>3</v>
      </c>
      <c r="C140" s="157" t="n">
        <v>25.3</v>
      </c>
      <c r="D140" s="181" t="n">
        <v>0.281</v>
      </c>
    </row>
    <row r="141" customFormat="false" ht="16.5" hidden="false" customHeight="true" outlineLevel="0" collapsed="false">
      <c r="B141" s="15" t="n">
        <v>4</v>
      </c>
      <c r="C141" s="157" t="n">
        <v>24.4</v>
      </c>
      <c r="D141" s="181" t="n">
        <v>0.266</v>
      </c>
    </row>
    <row r="142" customFormat="false" ht="16.5" hidden="false" customHeight="true" outlineLevel="0" collapsed="false">
      <c r="B142" s="15" t="n">
        <v>5</v>
      </c>
      <c r="C142" s="157" t="n">
        <v>25.9</v>
      </c>
      <c r="D142" s="181" t="n">
        <v>0.292</v>
      </c>
    </row>
    <row r="143" customFormat="false" ht="16.5" hidden="false" customHeight="true" outlineLevel="0" collapsed="false">
      <c r="B143" s="15" t="n">
        <v>6</v>
      </c>
      <c r="C143" s="157" t="n">
        <v>24.6</v>
      </c>
      <c r="D143" s="181" t="n">
        <v>0.269</v>
      </c>
    </row>
    <row r="144" customFormat="false" ht="16.5" hidden="false" customHeight="true" outlineLevel="0" collapsed="false">
      <c r="B144" s="15" t="n">
        <v>7</v>
      </c>
      <c r="C144" s="157" t="n">
        <v>25.5</v>
      </c>
      <c r="D144" s="181" t="n">
        <v>0.286</v>
      </c>
    </row>
    <row r="145" customFormat="false" ht="16.5" hidden="false" customHeight="true" outlineLevel="0" collapsed="false">
      <c r="B145" s="15" t="n">
        <v>8</v>
      </c>
      <c r="C145" s="157" t="n">
        <v>24.2</v>
      </c>
      <c r="D145" s="181" t="n">
        <v>0.263</v>
      </c>
    </row>
    <row r="146" customFormat="false" ht="16.5" hidden="false" customHeight="true" outlineLevel="0" collapsed="false">
      <c r="B146" s="15" t="n">
        <v>9</v>
      </c>
      <c r="C146" s="157" t="n">
        <v>25.1</v>
      </c>
      <c r="D146" s="181" t="n">
        <v>0.277</v>
      </c>
    </row>
    <row r="147" customFormat="false" ht="16.5" hidden="false" customHeight="true" outlineLevel="0" collapsed="false">
      <c r="B147" s="15" t="n">
        <v>10</v>
      </c>
      <c r="C147" s="157" t="n">
        <v>24.9</v>
      </c>
      <c r="D147" s="181" t="n">
        <v>0.273</v>
      </c>
    </row>
    <row r="148" customFormat="false" ht="16.5" hidden="false" customHeight="true" outlineLevel="0" collapsed="false">
      <c r="B148" s="15" t="n">
        <v>11</v>
      </c>
      <c r="C148" s="157" t="n">
        <v>25.7</v>
      </c>
      <c r="D148" s="181" t="n">
        <v>0.289</v>
      </c>
    </row>
    <row r="149" customFormat="false" ht="16.5" hidden="false" customHeight="true" outlineLevel="0" collapsed="false">
      <c r="B149" s="15" t="n">
        <v>12</v>
      </c>
      <c r="C149" s="157" t="n">
        <v>24.3</v>
      </c>
      <c r="D149" s="181" t="n">
        <v>0.265</v>
      </c>
    </row>
    <row r="150" customFormat="false" ht="16.5" hidden="false" customHeight="true" outlineLevel="0" collapsed="false">
      <c r="B150" s="15" t="n">
        <v>13</v>
      </c>
      <c r="C150" s="157" t="n">
        <v>25.2</v>
      </c>
      <c r="D150" s="181" t="n">
        <v>0.279</v>
      </c>
    </row>
    <row r="151" customFormat="false" ht="16.5" hidden="false" customHeight="true" outlineLevel="0" collapsed="false">
      <c r="B151" s="15" t="n">
        <v>14</v>
      </c>
      <c r="C151" s="157" t="n">
        <v>24.7</v>
      </c>
      <c r="D151" s="181" t="n">
        <v>0.27</v>
      </c>
    </row>
    <row r="152" customFormat="false" ht="16.5" hidden="false" customHeight="true" outlineLevel="0" collapsed="false">
      <c r="B152" s="15" t="n">
        <v>15</v>
      </c>
      <c r="C152" s="157" t="n">
        <v>25.6</v>
      </c>
      <c r="D152" s="181" t="n">
        <v>0.287</v>
      </c>
    </row>
    <row r="153" customFormat="false" ht="16.5" hidden="false" customHeight="true" outlineLevel="0" collapsed="false">
      <c r="B153" s="15" t="n">
        <v>16</v>
      </c>
      <c r="C153" s="157" t="n">
        <v>24.5</v>
      </c>
      <c r="D153" s="181" t="n">
        <v>0.268</v>
      </c>
    </row>
    <row r="154" customFormat="false" ht="16.5" hidden="false" customHeight="true" outlineLevel="0" collapsed="false">
      <c r="B154" s="15" t="n">
        <v>17</v>
      </c>
      <c r="C154" s="157" t="n">
        <v>25.4</v>
      </c>
      <c r="D154" s="181" t="n">
        <v>0.283</v>
      </c>
    </row>
    <row r="155" customFormat="false" ht="16.5" hidden="false" customHeight="true" outlineLevel="0" collapsed="false">
      <c r="B155" s="15" t="n">
        <v>18</v>
      </c>
      <c r="C155" s="157" t="n">
        <v>24</v>
      </c>
      <c r="D155" s="181" t="n">
        <v>0.26</v>
      </c>
    </row>
    <row r="156" customFormat="false" ht="16.5" hidden="false" customHeight="true" outlineLevel="0" collapsed="false">
      <c r="B156" s="15" t="n">
        <v>19</v>
      </c>
      <c r="C156" s="157" t="n">
        <v>25.8</v>
      </c>
      <c r="D156" s="181" t="n">
        <v>0.291</v>
      </c>
    </row>
    <row r="157" customFormat="false" ht="16.5" hidden="false" customHeight="true" outlineLevel="0" collapsed="false">
      <c r="B157" s="15" t="n">
        <v>20</v>
      </c>
      <c r="C157" s="157" t="n">
        <v>25</v>
      </c>
      <c r="D157" s="181" t="n">
        <v>0.275</v>
      </c>
    </row>
    <row r="159" customFormat="false" ht="16.5" hidden="false" customHeight="true" outlineLevel="0" collapsed="false">
      <c r="B159" s="152" t="s">
        <v>3692</v>
      </c>
      <c r="C159" s="152" t="s">
        <v>6654</v>
      </c>
      <c r="D159" s="152" t="s">
        <v>6655</v>
      </c>
    </row>
    <row r="160" customFormat="false" ht="16.5" hidden="false" customHeight="true" outlineLevel="0" collapsed="false">
      <c r="B160" s="15" t="s">
        <v>15009</v>
      </c>
      <c r="C160" s="204" t="n">
        <f aca="false">CORREL(C138:C157,D138:D157)</f>
        <v>0.995796181811341</v>
      </c>
      <c r="D160" s="15" t="s">
        <v>15010</v>
      </c>
    </row>
    <row r="161" customFormat="false" ht="30.75" hidden="false" customHeight="true" outlineLevel="0" collapsed="false">
      <c r="B161" s="15" t="s">
        <v>4677</v>
      </c>
      <c r="C161" s="204" t="n">
        <f aca="false">CORREL(C138:C157,D138:D157)^2</f>
        <v>0.991610035710046</v>
      </c>
      <c r="D161" s="15" t="s">
        <v>15011</v>
      </c>
    </row>
    <row r="162" customFormat="false" ht="30.75" hidden="false" customHeight="true" outlineLevel="0" collapsed="false">
      <c r="B162" s="15" t="s">
        <v>4779</v>
      </c>
      <c r="C162" s="194" t="n">
        <f aca="false">SLOPE(D138:D157,C138:C157)</f>
        <v>0.0171503759398496</v>
      </c>
      <c r="D162" s="15" t="s">
        <v>15012</v>
      </c>
    </row>
    <row r="163" customFormat="false" ht="16.5" hidden="false" customHeight="true" outlineLevel="0" collapsed="false">
      <c r="B163" s="15" t="s">
        <v>4780</v>
      </c>
      <c r="C163" s="194" t="n">
        <f aca="false">INTERCEPT(D138:D157,C138:C157)</f>
        <v>-0.152551879699248</v>
      </c>
      <c r="D163" s="15"/>
    </row>
    <row r="164" customFormat="false" ht="30.75" hidden="false" customHeight="true" outlineLevel="0" collapsed="false">
      <c r="B164" s="15" t="s">
        <v>4792</v>
      </c>
      <c r="C164" s="194" t="n">
        <f aca="false">STEYX(D138:D157,C138:C157)</f>
        <v>0.000958865766881488</v>
      </c>
      <c r="D164" s="15" t="s">
        <v>15013</v>
      </c>
    </row>
    <row r="166" customFormat="false" ht="17.25" hidden="false" customHeight="true" outlineLevel="0" collapsed="false">
      <c r="B166" s="107" t="s">
        <v>15014</v>
      </c>
      <c r="C166" s="107"/>
      <c r="D166" s="107"/>
      <c r="E166" s="107"/>
      <c r="F166" s="107"/>
      <c r="G166" s="107"/>
      <c r="H166" s="107"/>
    </row>
    <row r="167" customFormat="false" ht="16.5" hidden="false" customHeight="true" outlineLevel="0" collapsed="false">
      <c r="B167" s="152" t="s">
        <v>15015</v>
      </c>
      <c r="C167" s="152" t="s">
        <v>1700</v>
      </c>
      <c r="D167" s="152" t="s">
        <v>7298</v>
      </c>
      <c r="E167" s="152" t="s">
        <v>10724</v>
      </c>
    </row>
    <row r="168" customFormat="false" ht="16.5" hidden="false" customHeight="true" outlineLevel="0" collapsed="false">
      <c r="B168" s="15" t="s">
        <v>15016</v>
      </c>
      <c r="C168" s="155" t="n">
        <v>34</v>
      </c>
      <c r="D168" s="160" t="n">
        <f aca="false">IFERROR(C168/SUM($C$168:$C$176),0)</f>
        <v>0.24113475177305</v>
      </c>
      <c r="E168" s="160" t="n">
        <f aca="false">IFERROR(SUM($C$168:C168)/SUM($C$168:$C$176),0)</f>
        <v>0.24113475177305</v>
      </c>
    </row>
    <row r="169" customFormat="false" ht="16.5" hidden="false" customHeight="true" outlineLevel="0" collapsed="false">
      <c r="B169" s="15" t="s">
        <v>15017</v>
      </c>
      <c r="C169" s="155" t="n">
        <v>28</v>
      </c>
      <c r="D169" s="160" t="n">
        <f aca="false">IFERROR(C169/SUM($C$168:$C$176),0)</f>
        <v>0.198581560283688</v>
      </c>
      <c r="E169" s="160" t="n">
        <f aca="false">IFERROR(SUM($C$168:C169)/SUM($C$168:$C$176),0)</f>
        <v>0.439716312056738</v>
      </c>
    </row>
    <row r="170" customFormat="false" ht="16.5" hidden="false" customHeight="true" outlineLevel="0" collapsed="false">
      <c r="B170" s="15" t="s">
        <v>15018</v>
      </c>
      <c r="C170" s="155" t="n">
        <v>21</v>
      </c>
      <c r="D170" s="160" t="n">
        <f aca="false">IFERROR(C170/SUM($C$168:$C$176),0)</f>
        <v>0.148936170212766</v>
      </c>
      <c r="E170" s="160" t="n">
        <f aca="false">IFERROR(SUM($C$168:C170)/SUM($C$168:$C$176),0)</f>
        <v>0.588652482269504</v>
      </c>
    </row>
    <row r="171" customFormat="false" ht="16.5" hidden="false" customHeight="true" outlineLevel="0" collapsed="false">
      <c r="B171" s="15" t="s">
        <v>15019</v>
      </c>
      <c r="C171" s="155" t="n">
        <v>19</v>
      </c>
      <c r="D171" s="160" t="n">
        <f aca="false">IFERROR(C171/SUM($C$168:$C$176),0)</f>
        <v>0.134751773049645</v>
      </c>
      <c r="E171" s="160" t="n">
        <f aca="false">IFERROR(SUM($C$168:C171)/SUM($C$168:$C$176),0)</f>
        <v>0.723404255319149</v>
      </c>
    </row>
    <row r="172" customFormat="false" ht="16.5" hidden="false" customHeight="true" outlineLevel="0" collapsed="false">
      <c r="B172" s="15" t="s">
        <v>15020</v>
      </c>
      <c r="C172" s="155" t="n">
        <v>12</v>
      </c>
      <c r="D172" s="160" t="n">
        <f aca="false">IFERROR(C172/SUM($C$168:$C$176),0)</f>
        <v>0.0851063829787234</v>
      </c>
      <c r="E172" s="160" t="n">
        <f aca="false">IFERROR(SUM($C$168:C172)/SUM($C$168:$C$176),0)</f>
        <v>0.808510638297872</v>
      </c>
    </row>
    <row r="173" customFormat="false" ht="16.5" hidden="false" customHeight="true" outlineLevel="0" collapsed="false">
      <c r="B173" s="15" t="s">
        <v>15021</v>
      </c>
      <c r="C173" s="155" t="n">
        <v>9</v>
      </c>
      <c r="D173" s="160" t="n">
        <f aca="false">IFERROR(C173/SUM($C$168:$C$176),0)</f>
        <v>0.0638297872340426</v>
      </c>
      <c r="E173" s="160" t="n">
        <f aca="false">IFERROR(SUM($C$168:C173)/SUM($C$168:$C$176),0)</f>
        <v>0.872340425531915</v>
      </c>
    </row>
    <row r="174" customFormat="false" ht="16.5" hidden="false" customHeight="true" outlineLevel="0" collapsed="false">
      <c r="B174" s="15" t="s">
        <v>15022</v>
      </c>
      <c r="C174" s="155" t="n">
        <v>7</v>
      </c>
      <c r="D174" s="160" t="n">
        <f aca="false">IFERROR(C174/SUM($C$168:$C$176),0)</f>
        <v>0.049645390070922</v>
      </c>
      <c r="E174" s="160" t="n">
        <f aca="false">IFERROR(SUM($C$168:C174)/SUM($C$168:$C$176),0)</f>
        <v>0.921985815602837</v>
      </c>
    </row>
    <row r="175" customFormat="false" ht="16.5" hidden="false" customHeight="true" outlineLevel="0" collapsed="false">
      <c r="B175" s="15" t="s">
        <v>10639</v>
      </c>
      <c r="C175" s="155" t="n">
        <v>6</v>
      </c>
      <c r="D175" s="160" t="n">
        <f aca="false">IFERROR(C175/SUM($C$168:$C$176),0)</f>
        <v>0.0425531914893617</v>
      </c>
      <c r="E175" s="160" t="n">
        <f aca="false">IFERROR(SUM($C$168:C175)/SUM($C$168:$C$176),0)</f>
        <v>0.964539007092199</v>
      </c>
    </row>
    <row r="176" customFormat="false" ht="16.5" hidden="false" customHeight="true" outlineLevel="0" collapsed="false">
      <c r="B176" s="15" t="s">
        <v>15023</v>
      </c>
      <c r="C176" s="155" t="n">
        <v>5</v>
      </c>
      <c r="D176" s="160" t="n">
        <f aca="false">IFERROR(C176/SUM($C$168:$C$176),0)</f>
        <v>0.0354609929078014</v>
      </c>
      <c r="E176" s="160" t="n">
        <f aca="false">IFERROR(SUM($C$168:C176)/SUM($C$168:$C$176),0)</f>
        <v>1</v>
      </c>
    </row>
    <row r="178" customFormat="false" ht="28.5" hidden="false" customHeight="true" outlineLevel="0" collapsed="false">
      <c r="B178" s="182" t="s">
        <v>15024</v>
      </c>
      <c r="C178" s="182"/>
      <c r="D178" s="182"/>
      <c r="E178" s="182"/>
      <c r="F178" s="182"/>
      <c r="G178" s="182"/>
      <c r="H178" s="182"/>
    </row>
    <row r="180" customFormat="false" ht="15.75" hidden="false" customHeight="true" outlineLevel="0" collapsed="false">
      <c r="B180" s="103" t="s">
        <v>13754</v>
      </c>
      <c r="C180" s="8"/>
      <c r="D180" s="8"/>
      <c r="E180" s="8"/>
      <c r="F180" s="8"/>
      <c r="G180" s="8"/>
      <c r="H180" s="8"/>
      <c r="I180" s="8"/>
      <c r="J180" s="8"/>
      <c r="K180" s="8"/>
    </row>
    <row r="181" customFormat="false" ht="30.75" hidden="false" customHeight="true" outlineLevel="0" collapsed="false">
      <c r="B181" s="152" t="s">
        <v>1523</v>
      </c>
      <c r="C181" s="152" t="s">
        <v>1524</v>
      </c>
      <c r="D181" s="152" t="s">
        <v>6719</v>
      </c>
    </row>
    <row r="182" customFormat="false" ht="16.5" hidden="false" customHeight="true" outlineLevel="0" collapsed="false">
      <c r="B182" s="170" t="s">
        <v>1031</v>
      </c>
      <c r="C182" s="170" t="s">
        <v>9947</v>
      </c>
      <c r="D182" s="170" t="s">
        <v>1068</v>
      </c>
    </row>
  </sheetData>
  <mergeCells count="20">
    <mergeCell ref="B2:J2"/>
    <mergeCell ref="D3:G3"/>
    <mergeCell ref="B6:H7"/>
    <mergeCell ref="B8:H8"/>
    <mergeCell ref="B9:H10"/>
    <mergeCell ref="B11:H11"/>
    <mergeCell ref="B12:H13"/>
    <mergeCell ref="B15:H15"/>
    <mergeCell ref="H43:K43"/>
    <mergeCell ref="B45:H45"/>
    <mergeCell ref="B75:H75"/>
    <mergeCell ref="B107:H107"/>
    <mergeCell ref="E130:F130"/>
    <mergeCell ref="E131:F131"/>
    <mergeCell ref="E132:F132"/>
    <mergeCell ref="E133:F133"/>
    <mergeCell ref="E134:F134"/>
    <mergeCell ref="B136:H136"/>
    <mergeCell ref="B166:H166"/>
    <mergeCell ref="B178:H178"/>
  </mergeCells>
  <hyperlinks>
    <hyperlink ref="B3" location="'N-03 Index DMAIC'!A1" display="← Back to Index"/>
    <hyperlink ref="B182" location="'E-50 Xbar-R Chart'!A1" display="E-50  Xbar-R Chart"/>
    <hyperlink ref="C182" location="'E-24 2-Sample t-Test'!A1" display="E-24  2-Sample t-Test"/>
    <hyperlink ref="D182" location="'H-06 Pareto Analysis'!A1" display="H-06  Pareto Analysi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O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76"/>
    <col collapsed="false" customWidth="true" hidden="false" outlineLevel="0" max="7" min="4" style="1" width="34"/>
    <col collapsed="false" customWidth="true" hidden="false" outlineLevel="0" max="8" min="8" style="1" width="15"/>
    <col collapsed="false" customWidth="true" hidden="false" outlineLevel="0" max="9" min="9" style="1" width="30"/>
    <col collapsed="false" customWidth="true" hidden="false" outlineLevel="0" max="10" min="10" style="1" width="14"/>
    <col collapsed="false" customWidth="true" hidden="false" outlineLevel="0" max="11" min="11" style="1" width="40"/>
    <col collapsed="false" customWidth="true" hidden="false" outlineLevel="0" max="14" min="12" style="1" width="13"/>
    <col collapsed="false" customWidth="true" hidden="false" outlineLevel="0" max="15" min="15" style="1" width="76"/>
  </cols>
  <sheetData>
    <row r="1" customFormat="false" ht="15" hidden="false" customHeight="true" outlineLevel="0" collapsed="false">
      <c r="A1" s="147" t="s">
        <v>0</v>
      </c>
    </row>
    <row r="2" customFormat="false" ht="22.5" hidden="false" customHeight="true" outlineLevel="0" collapsed="false">
      <c r="B2" s="148" t="s">
        <v>15025</v>
      </c>
      <c r="C2" s="148"/>
      <c r="D2" s="148"/>
      <c r="E2" s="148"/>
      <c r="F2" s="148"/>
      <c r="G2" s="148"/>
      <c r="H2" s="148"/>
      <c r="I2" s="148"/>
      <c r="J2" s="148"/>
      <c r="K2" s="202" t="s">
        <v>2</v>
      </c>
    </row>
    <row r="3" customFormat="false" ht="28.5" hidden="false" customHeight="true" outlineLevel="0" collapsed="false">
      <c r="B3" s="150" t="s">
        <v>3</v>
      </c>
      <c r="D3" s="151" t="s">
        <v>15026</v>
      </c>
      <c r="E3" s="151"/>
    </row>
    <row r="5" customFormat="false" ht="15.75" hidden="false" customHeight="true" outlineLevel="0" collapsed="false">
      <c r="B5" s="103" t="s">
        <v>5</v>
      </c>
      <c r="C5" s="8"/>
      <c r="D5" s="8"/>
      <c r="E5" s="8"/>
      <c r="F5" s="8"/>
      <c r="G5" s="8"/>
      <c r="H5" s="8"/>
      <c r="I5" s="8"/>
      <c r="J5" s="8"/>
      <c r="K5" s="8"/>
    </row>
    <row r="6" customFormat="false" ht="15.75" hidden="false" customHeight="true" outlineLevel="0" collapsed="false">
      <c r="B6" s="106" t="s">
        <v>15027</v>
      </c>
      <c r="C6" s="106"/>
      <c r="D6" s="106"/>
    </row>
    <row r="7" customFormat="false" ht="15.75" hidden="false" customHeight="true" outlineLevel="0" collapsed="false">
      <c r="B7" s="106"/>
      <c r="C7" s="106"/>
      <c r="D7" s="106"/>
    </row>
    <row r="8" customFormat="false" ht="8.25" hidden="false" customHeight="true" outlineLevel="0" collapsed="false">
      <c r="B8" s="106" t="s">
        <v>15028</v>
      </c>
      <c r="C8" s="106"/>
      <c r="D8" s="106"/>
    </row>
    <row r="9" customFormat="false" ht="8.25" hidden="false" customHeight="true" outlineLevel="0" collapsed="false">
      <c r="B9" s="106"/>
      <c r="C9" s="106"/>
      <c r="D9" s="106"/>
    </row>
    <row r="10" customFormat="false" ht="15.75" hidden="false" customHeight="true" outlineLevel="0" collapsed="false">
      <c r="B10" s="106" t="s">
        <v>15029</v>
      </c>
      <c r="C10" s="106"/>
      <c r="D10" s="106"/>
    </row>
    <row r="11" customFormat="false" ht="15.75" hidden="false" customHeight="true" outlineLevel="0" collapsed="false">
      <c r="B11" s="106"/>
      <c r="C11" s="106"/>
      <c r="D11" s="106"/>
    </row>
    <row r="13" customFormat="false" ht="17.25" hidden="false" customHeight="true" outlineLevel="0" collapsed="false">
      <c r="B13" s="107" t="s">
        <v>15030</v>
      </c>
      <c r="C13" s="107"/>
      <c r="D13" s="107"/>
    </row>
    <row r="14" customFormat="false" ht="28.5" hidden="false" customHeight="true" outlineLevel="0" collapsed="false">
      <c r="B14" s="182" t="s">
        <v>15031</v>
      </c>
      <c r="C14" s="182"/>
      <c r="D14" s="182"/>
    </row>
    <row r="16" customFormat="false" ht="16.5" hidden="false" customHeight="true" outlineLevel="0" collapsed="false">
      <c r="B16" s="152" t="s">
        <v>6912</v>
      </c>
      <c r="C16" s="152" t="s">
        <v>7242</v>
      </c>
      <c r="D16" s="152" t="s">
        <v>378</v>
      </c>
      <c r="E16" s="152" t="s">
        <v>5359</v>
      </c>
      <c r="F16" s="152" t="s">
        <v>640</v>
      </c>
      <c r="G16" s="152" t="s">
        <v>175</v>
      </c>
      <c r="H16" s="152" t="s">
        <v>15032</v>
      </c>
      <c r="I16" s="152" t="s">
        <v>15033</v>
      </c>
      <c r="N16" s="105" t="s">
        <v>1515</v>
      </c>
      <c r="O16" s="105" t="s">
        <v>15034</v>
      </c>
    </row>
    <row r="17" customFormat="false" ht="30.75" hidden="false" customHeight="true" outlineLevel="0" collapsed="false">
      <c r="B17" s="15" t="n">
        <v>1</v>
      </c>
      <c r="C17" s="15" t="s">
        <v>15035</v>
      </c>
      <c r="D17" s="15" t="s">
        <v>1956</v>
      </c>
      <c r="E17" s="15" t="s">
        <v>1468</v>
      </c>
      <c r="F17" s="15" t="s">
        <v>1480</v>
      </c>
      <c r="G17" s="15" t="s">
        <v>1935</v>
      </c>
      <c r="H17" s="177"/>
      <c r="I17" s="153" t="s">
        <v>14236</v>
      </c>
      <c r="N17" s="120" t="s">
        <v>378</v>
      </c>
      <c r="O17" s="120" t="s">
        <v>15036</v>
      </c>
    </row>
    <row r="18" customFormat="false" ht="30.75" hidden="false" customHeight="true" outlineLevel="0" collapsed="false">
      <c r="B18" s="15" t="n">
        <v>2</v>
      </c>
      <c r="C18" s="15" t="s">
        <v>15037</v>
      </c>
      <c r="D18" s="15" t="s">
        <v>1462</v>
      </c>
      <c r="E18" s="15" t="s">
        <v>1935</v>
      </c>
      <c r="F18" s="15" t="s">
        <v>1468</v>
      </c>
      <c r="G18" s="15" t="s">
        <v>1956</v>
      </c>
      <c r="H18" s="177"/>
      <c r="I18" s="153" t="s">
        <v>14236</v>
      </c>
      <c r="N18" s="120" t="s">
        <v>5359</v>
      </c>
      <c r="O18" s="120" t="s">
        <v>15038</v>
      </c>
    </row>
    <row r="19" customFormat="false" ht="30.75" hidden="false" customHeight="true" outlineLevel="0" collapsed="false">
      <c r="B19" s="15" t="n">
        <v>3</v>
      </c>
      <c r="C19" s="15" t="s">
        <v>15039</v>
      </c>
      <c r="D19" s="15" t="s">
        <v>1468</v>
      </c>
      <c r="E19" s="15" t="s">
        <v>1474</v>
      </c>
      <c r="F19" s="15" t="s">
        <v>1480</v>
      </c>
      <c r="G19" s="15" t="s">
        <v>1462</v>
      </c>
      <c r="H19" s="177"/>
      <c r="I19" s="153" t="s">
        <v>14236</v>
      </c>
      <c r="N19" s="120" t="s">
        <v>640</v>
      </c>
      <c r="O19" s="120" t="s">
        <v>15040</v>
      </c>
    </row>
    <row r="20" customFormat="false" ht="30.75" hidden="false" customHeight="true" outlineLevel="0" collapsed="false">
      <c r="B20" s="15" t="n">
        <v>4</v>
      </c>
      <c r="C20" s="15" t="s">
        <v>15041</v>
      </c>
      <c r="D20" s="15" t="s">
        <v>15042</v>
      </c>
      <c r="E20" s="15" t="s">
        <v>15043</v>
      </c>
      <c r="F20" s="15" t="s">
        <v>15044</v>
      </c>
      <c r="G20" s="15" t="s">
        <v>15045</v>
      </c>
      <c r="H20" s="177"/>
      <c r="I20" s="153" t="s">
        <v>14733</v>
      </c>
      <c r="N20" s="120" t="s">
        <v>175</v>
      </c>
      <c r="O20" s="120" t="s">
        <v>15046</v>
      </c>
    </row>
    <row r="21" customFormat="false" ht="44.25" hidden="false" customHeight="true" outlineLevel="0" collapsed="false">
      <c r="B21" s="15" t="n">
        <v>5</v>
      </c>
      <c r="C21" s="15" t="s">
        <v>15047</v>
      </c>
      <c r="D21" s="15" t="s">
        <v>14736</v>
      </c>
      <c r="E21" s="15" t="s">
        <v>15048</v>
      </c>
      <c r="F21" s="15" t="s">
        <v>15049</v>
      </c>
      <c r="G21" s="15" t="s">
        <v>15050</v>
      </c>
      <c r="H21" s="177"/>
      <c r="I21" s="153" t="s">
        <v>14733</v>
      </c>
      <c r="N21" s="120" t="s">
        <v>378</v>
      </c>
      <c r="O21" s="120" t="s">
        <v>15051</v>
      </c>
    </row>
    <row r="22" customFormat="false" ht="30.75" hidden="false" customHeight="true" outlineLevel="0" collapsed="false">
      <c r="B22" s="15" t="n">
        <v>6</v>
      </c>
      <c r="C22" s="15" t="s">
        <v>15052</v>
      </c>
      <c r="D22" s="15" t="s">
        <v>2085</v>
      </c>
      <c r="E22" s="15" t="s">
        <v>10873</v>
      </c>
      <c r="F22" s="15" t="s">
        <v>6298</v>
      </c>
      <c r="G22" s="15" t="s">
        <v>1477</v>
      </c>
      <c r="H22" s="177"/>
      <c r="I22" s="153" t="s">
        <v>14543</v>
      </c>
      <c r="N22" s="120" t="s">
        <v>5359</v>
      </c>
      <c r="O22" s="120" t="s">
        <v>15053</v>
      </c>
    </row>
    <row r="23" customFormat="false" ht="30.75" hidden="false" customHeight="true" outlineLevel="0" collapsed="false">
      <c r="B23" s="15" t="n">
        <v>7</v>
      </c>
      <c r="C23" s="15" t="s">
        <v>15054</v>
      </c>
      <c r="D23" s="15" t="s">
        <v>15055</v>
      </c>
      <c r="E23" s="15" t="s">
        <v>15056</v>
      </c>
      <c r="F23" s="15" t="s">
        <v>15057</v>
      </c>
      <c r="G23" s="15" t="s">
        <v>15058</v>
      </c>
      <c r="H23" s="177"/>
      <c r="I23" s="153" t="s">
        <v>14543</v>
      </c>
      <c r="N23" s="120" t="s">
        <v>640</v>
      </c>
      <c r="O23" s="120" t="s">
        <v>15059</v>
      </c>
    </row>
    <row r="24" customFormat="false" ht="30.75" hidden="false" customHeight="true" outlineLevel="0" collapsed="false">
      <c r="B24" s="15" t="n">
        <v>8</v>
      </c>
      <c r="C24" s="15" t="s">
        <v>15060</v>
      </c>
      <c r="D24" s="15" t="s">
        <v>15061</v>
      </c>
      <c r="E24" s="15" t="s">
        <v>15062</v>
      </c>
      <c r="F24" s="15" t="s">
        <v>8899</v>
      </c>
      <c r="G24" s="15" t="s">
        <v>13303</v>
      </c>
      <c r="H24" s="177"/>
      <c r="I24" s="153" t="s">
        <v>15063</v>
      </c>
      <c r="N24" s="120" t="s">
        <v>175</v>
      </c>
      <c r="O24" s="120" t="s">
        <v>15064</v>
      </c>
    </row>
    <row r="25" customFormat="false" ht="30.75" hidden="false" customHeight="true" outlineLevel="0" collapsed="false">
      <c r="B25" s="15" t="n">
        <v>9</v>
      </c>
      <c r="C25" s="15" t="s">
        <v>15065</v>
      </c>
      <c r="D25" s="15" t="s">
        <v>15066</v>
      </c>
      <c r="E25" s="15" t="s">
        <v>15067</v>
      </c>
      <c r="F25" s="15" t="s">
        <v>15068</v>
      </c>
      <c r="G25" s="15" t="s">
        <v>15069</v>
      </c>
      <c r="H25" s="177"/>
      <c r="I25" s="153" t="s">
        <v>15063</v>
      </c>
      <c r="N25" s="120" t="s">
        <v>378</v>
      </c>
      <c r="O25" s="120" t="s">
        <v>15070</v>
      </c>
    </row>
    <row r="26" customFormat="false" ht="30.75" hidden="false" customHeight="true" outlineLevel="0" collapsed="false">
      <c r="B26" s="15" t="n">
        <v>10</v>
      </c>
      <c r="C26" s="15" t="s">
        <v>15071</v>
      </c>
      <c r="D26" s="15" t="s">
        <v>15072</v>
      </c>
      <c r="E26" s="15" t="s">
        <v>15073</v>
      </c>
      <c r="F26" s="15" t="s">
        <v>15074</v>
      </c>
      <c r="G26" s="15" t="s">
        <v>15075</v>
      </c>
      <c r="H26" s="177"/>
      <c r="I26" s="153" t="s">
        <v>14690</v>
      </c>
      <c r="N26" s="120" t="s">
        <v>5359</v>
      </c>
      <c r="O26" s="120" t="s">
        <v>15076</v>
      </c>
    </row>
    <row r="27" customFormat="false" ht="30.75" hidden="false" customHeight="true" outlineLevel="0" collapsed="false">
      <c r="B27" s="15" t="n">
        <v>11</v>
      </c>
      <c r="C27" s="15" t="s">
        <v>15077</v>
      </c>
      <c r="D27" s="15" t="s">
        <v>15078</v>
      </c>
      <c r="E27" s="15" t="s">
        <v>15079</v>
      </c>
      <c r="F27" s="15" t="s">
        <v>15080</v>
      </c>
      <c r="G27" s="15" t="s">
        <v>15081</v>
      </c>
      <c r="H27" s="177"/>
      <c r="I27" s="153" t="s">
        <v>14690</v>
      </c>
      <c r="N27" s="120" t="s">
        <v>640</v>
      </c>
      <c r="O27" s="120" t="s">
        <v>15082</v>
      </c>
    </row>
    <row r="28" customFormat="false" ht="30.75" hidden="false" customHeight="true" outlineLevel="0" collapsed="false">
      <c r="B28" s="15" t="n">
        <v>12</v>
      </c>
      <c r="C28" s="15" t="s">
        <v>15083</v>
      </c>
      <c r="D28" s="15" t="s">
        <v>15084</v>
      </c>
      <c r="E28" s="15" t="s">
        <v>15085</v>
      </c>
      <c r="F28" s="15" t="s">
        <v>15086</v>
      </c>
      <c r="G28" s="15" t="s">
        <v>15087</v>
      </c>
      <c r="H28" s="177"/>
      <c r="I28" s="153" t="s">
        <v>14320</v>
      </c>
      <c r="N28" s="120" t="s">
        <v>175</v>
      </c>
      <c r="O28" s="120" t="s">
        <v>15088</v>
      </c>
    </row>
    <row r="29" customFormat="false" ht="30.75" hidden="false" customHeight="true" outlineLevel="0" collapsed="false">
      <c r="B29" s="15" t="n">
        <v>13</v>
      </c>
      <c r="C29" s="15" t="s">
        <v>15089</v>
      </c>
      <c r="D29" s="15" t="s">
        <v>7880</v>
      </c>
      <c r="E29" s="15" t="s">
        <v>15090</v>
      </c>
      <c r="F29" s="15" t="s">
        <v>15091</v>
      </c>
      <c r="G29" s="15" t="s">
        <v>15092</v>
      </c>
      <c r="H29" s="177"/>
      <c r="I29" s="153" t="s">
        <v>14584</v>
      </c>
      <c r="N29" s="120" t="s">
        <v>378</v>
      </c>
      <c r="O29" s="120" t="s">
        <v>15093</v>
      </c>
    </row>
    <row r="30" customFormat="false" ht="30.75" hidden="false" customHeight="true" outlineLevel="0" collapsed="false">
      <c r="B30" s="15" t="n">
        <v>14</v>
      </c>
      <c r="C30" s="15" t="s">
        <v>15094</v>
      </c>
      <c r="D30" s="15" t="s">
        <v>15095</v>
      </c>
      <c r="E30" s="15" t="s">
        <v>15096</v>
      </c>
      <c r="F30" s="15" t="s">
        <v>15097</v>
      </c>
      <c r="G30" s="15" t="s">
        <v>15098</v>
      </c>
      <c r="H30" s="177"/>
      <c r="I30" s="153" t="s">
        <v>14584</v>
      </c>
      <c r="N30" s="120" t="s">
        <v>5359</v>
      </c>
      <c r="O30" s="120" t="s">
        <v>15099</v>
      </c>
    </row>
    <row r="31" customFormat="false" ht="30.75" hidden="false" customHeight="true" outlineLevel="0" collapsed="false">
      <c r="B31" s="15" t="n">
        <v>15</v>
      </c>
      <c r="C31" s="15" t="s">
        <v>15100</v>
      </c>
      <c r="D31" s="15" t="s">
        <v>15101</v>
      </c>
      <c r="E31" s="15" t="s">
        <v>15102</v>
      </c>
      <c r="F31" s="15" t="s">
        <v>15103</v>
      </c>
      <c r="G31" s="15" t="s">
        <v>15104</v>
      </c>
      <c r="H31" s="177"/>
      <c r="I31" s="153" t="s">
        <v>14305</v>
      </c>
      <c r="N31" s="120" t="s">
        <v>640</v>
      </c>
      <c r="O31" s="120" t="s">
        <v>15105</v>
      </c>
    </row>
    <row r="32" customFormat="false" ht="16.5" hidden="false" customHeight="true" outlineLevel="0" collapsed="false">
      <c r="B32" s="15" t="n">
        <v>16</v>
      </c>
      <c r="C32" s="15" t="s">
        <v>15106</v>
      </c>
      <c r="D32" s="15" t="s">
        <v>15107</v>
      </c>
      <c r="E32" s="15" t="s">
        <v>45</v>
      </c>
      <c r="F32" s="15" t="s">
        <v>6926</v>
      </c>
      <c r="G32" s="15" t="s">
        <v>6922</v>
      </c>
      <c r="H32" s="177"/>
      <c r="I32" s="153" t="s">
        <v>15108</v>
      </c>
      <c r="N32" s="120" t="s">
        <v>175</v>
      </c>
      <c r="O32" s="120" t="s">
        <v>15109</v>
      </c>
    </row>
    <row r="33" customFormat="false" ht="30.75" hidden="false" customHeight="true" outlineLevel="0" collapsed="false">
      <c r="B33" s="15" t="n">
        <v>17</v>
      </c>
      <c r="C33" s="15" t="s">
        <v>15110</v>
      </c>
      <c r="D33" s="15" t="s">
        <v>15111</v>
      </c>
      <c r="E33" s="15" t="s">
        <v>15112</v>
      </c>
      <c r="F33" s="15" t="s">
        <v>15113</v>
      </c>
      <c r="G33" s="15" t="s">
        <v>15114</v>
      </c>
      <c r="H33" s="177"/>
      <c r="I33" s="153" t="s">
        <v>15108</v>
      </c>
      <c r="N33" s="120" t="s">
        <v>378</v>
      </c>
      <c r="O33" s="120" t="s">
        <v>15115</v>
      </c>
    </row>
    <row r="34" customFormat="false" ht="30.75" hidden="false" customHeight="true" outlineLevel="0" collapsed="false">
      <c r="B34" s="15" t="n">
        <v>18</v>
      </c>
      <c r="C34" s="15" t="s">
        <v>15116</v>
      </c>
      <c r="D34" s="15" t="s">
        <v>15117</v>
      </c>
      <c r="E34" s="15" t="s">
        <v>15118</v>
      </c>
      <c r="F34" s="15" t="s">
        <v>15119</v>
      </c>
      <c r="G34" s="15" t="s">
        <v>15120</v>
      </c>
      <c r="H34" s="177"/>
      <c r="I34" s="153" t="s">
        <v>14389</v>
      </c>
      <c r="N34" s="120" t="s">
        <v>5359</v>
      </c>
      <c r="O34" s="120" t="s">
        <v>15121</v>
      </c>
    </row>
    <row r="35" customFormat="false" ht="30.75" hidden="false" customHeight="true" outlineLevel="0" collapsed="false">
      <c r="B35" s="15" t="n">
        <v>19</v>
      </c>
      <c r="C35" s="15" t="s">
        <v>15122</v>
      </c>
      <c r="D35" s="15" t="s">
        <v>15123</v>
      </c>
      <c r="E35" s="15" t="s">
        <v>15124</v>
      </c>
      <c r="F35" s="15" t="s">
        <v>15125</v>
      </c>
      <c r="G35" s="15" t="s">
        <v>15126</v>
      </c>
      <c r="H35" s="177"/>
      <c r="I35" s="153" t="s">
        <v>14389</v>
      </c>
      <c r="N35" s="120" t="s">
        <v>640</v>
      </c>
      <c r="O35" s="120" t="s">
        <v>15127</v>
      </c>
    </row>
    <row r="36" customFormat="false" ht="30.75" hidden="false" customHeight="true" outlineLevel="0" collapsed="false">
      <c r="B36" s="15" t="n">
        <v>20</v>
      </c>
      <c r="C36" s="15" t="s">
        <v>15128</v>
      </c>
      <c r="D36" s="15" t="s">
        <v>2602</v>
      </c>
      <c r="E36" s="15" t="s">
        <v>15129</v>
      </c>
      <c r="F36" s="15" t="s">
        <v>15130</v>
      </c>
      <c r="G36" s="15" t="s">
        <v>15131</v>
      </c>
      <c r="H36" s="177"/>
      <c r="I36" s="153" t="s">
        <v>14264</v>
      </c>
      <c r="N36" s="120" t="s">
        <v>175</v>
      </c>
      <c r="O36" s="120" t="s">
        <v>15132</v>
      </c>
    </row>
    <row r="37" customFormat="false" ht="30.75" hidden="false" customHeight="true" outlineLevel="0" collapsed="false">
      <c r="B37" s="15" t="n">
        <v>21</v>
      </c>
      <c r="C37" s="15" t="s">
        <v>15133</v>
      </c>
      <c r="D37" s="15" t="s">
        <v>15130</v>
      </c>
      <c r="E37" s="15" t="s">
        <v>2606</v>
      </c>
      <c r="F37" s="15" t="s">
        <v>2604</v>
      </c>
      <c r="G37" s="15" t="s">
        <v>15131</v>
      </c>
      <c r="H37" s="177"/>
      <c r="I37" s="153" t="s">
        <v>14646</v>
      </c>
      <c r="N37" s="120" t="s">
        <v>378</v>
      </c>
      <c r="O37" s="120" t="s">
        <v>15134</v>
      </c>
    </row>
    <row r="38" customFormat="false" ht="30.75" hidden="false" customHeight="true" outlineLevel="0" collapsed="false">
      <c r="B38" s="15" t="n">
        <v>22</v>
      </c>
      <c r="C38" s="15" t="s">
        <v>15135</v>
      </c>
      <c r="D38" s="15" t="s">
        <v>15136</v>
      </c>
      <c r="E38" s="15" t="s">
        <v>15137</v>
      </c>
      <c r="F38" s="15" t="s">
        <v>15138</v>
      </c>
      <c r="G38" s="15" t="s">
        <v>15139</v>
      </c>
      <c r="H38" s="177"/>
      <c r="I38" s="153" t="s">
        <v>14646</v>
      </c>
      <c r="N38" s="120" t="s">
        <v>5359</v>
      </c>
      <c r="O38" s="120" t="s">
        <v>15140</v>
      </c>
    </row>
    <row r="39" customFormat="false" ht="30.75" hidden="false" customHeight="true" outlineLevel="0" collapsed="false">
      <c r="B39" s="15" t="n">
        <v>23</v>
      </c>
      <c r="C39" s="15" t="s">
        <v>15141</v>
      </c>
      <c r="D39" s="15" t="s">
        <v>15142</v>
      </c>
      <c r="E39" s="15" t="s">
        <v>15131</v>
      </c>
      <c r="F39" s="15" t="s">
        <v>2606</v>
      </c>
      <c r="G39" s="15" t="s">
        <v>15143</v>
      </c>
      <c r="H39" s="177"/>
      <c r="I39" s="153" t="s">
        <v>15144</v>
      </c>
      <c r="N39" s="120" t="s">
        <v>640</v>
      </c>
      <c r="O39" s="120" t="s">
        <v>15145</v>
      </c>
    </row>
    <row r="40" customFormat="false" ht="44.25" hidden="false" customHeight="true" outlineLevel="0" collapsed="false">
      <c r="B40" s="15" t="n">
        <v>24</v>
      </c>
      <c r="C40" s="15" t="s">
        <v>15146</v>
      </c>
      <c r="D40" s="15" t="s">
        <v>15147</v>
      </c>
      <c r="E40" s="15" t="s">
        <v>15148</v>
      </c>
      <c r="F40" s="15" t="s">
        <v>15149</v>
      </c>
      <c r="G40" s="15" t="s">
        <v>15150</v>
      </c>
      <c r="H40" s="177"/>
      <c r="I40" s="153" t="s">
        <v>14330</v>
      </c>
      <c r="N40" s="120" t="s">
        <v>175</v>
      </c>
      <c r="O40" s="120" t="s">
        <v>15151</v>
      </c>
    </row>
    <row r="41" customFormat="false" ht="30.75" hidden="false" customHeight="true" outlineLevel="0" collapsed="false">
      <c r="B41" s="15" t="n">
        <v>25</v>
      </c>
      <c r="C41" s="15" t="s">
        <v>15152</v>
      </c>
      <c r="D41" s="15" t="s">
        <v>15153</v>
      </c>
      <c r="E41" s="15" t="s">
        <v>15154</v>
      </c>
      <c r="F41" s="15" t="s">
        <v>15155</v>
      </c>
      <c r="G41" s="15" t="s">
        <v>15156</v>
      </c>
      <c r="H41" s="177"/>
      <c r="I41" s="153" t="s">
        <v>14330</v>
      </c>
      <c r="N41" s="120" t="s">
        <v>378</v>
      </c>
      <c r="O41" s="120" t="s">
        <v>15157</v>
      </c>
    </row>
    <row r="42" customFormat="false" ht="30.75" hidden="false" customHeight="true" outlineLevel="0" collapsed="false">
      <c r="B42" s="15" t="n">
        <v>26</v>
      </c>
      <c r="C42" s="15" t="s">
        <v>15158</v>
      </c>
      <c r="D42" s="15" t="s">
        <v>15159</v>
      </c>
      <c r="E42" s="15" t="s">
        <v>15160</v>
      </c>
      <c r="F42" s="15" t="s">
        <v>15161</v>
      </c>
      <c r="G42" s="15" t="s">
        <v>15162</v>
      </c>
      <c r="H42" s="177"/>
      <c r="I42" s="153" t="s">
        <v>15163</v>
      </c>
      <c r="N42" s="120" t="s">
        <v>5359</v>
      </c>
      <c r="O42" s="120" t="s">
        <v>15164</v>
      </c>
    </row>
    <row r="43" customFormat="false" ht="30.75" hidden="false" customHeight="true" outlineLevel="0" collapsed="false">
      <c r="B43" s="15" t="n">
        <v>27</v>
      </c>
      <c r="C43" s="15" t="s">
        <v>15165</v>
      </c>
      <c r="D43" s="15" t="s">
        <v>15166</v>
      </c>
      <c r="E43" s="15" t="s">
        <v>15167</v>
      </c>
      <c r="F43" s="15" t="s">
        <v>15168</v>
      </c>
      <c r="G43" s="15" t="s">
        <v>15169</v>
      </c>
      <c r="H43" s="177"/>
      <c r="I43" s="153" t="s">
        <v>14214</v>
      </c>
      <c r="N43" s="120" t="s">
        <v>640</v>
      </c>
      <c r="O43" s="120" t="s">
        <v>15170</v>
      </c>
    </row>
    <row r="44" customFormat="false" ht="30.75" hidden="false" customHeight="true" outlineLevel="0" collapsed="false">
      <c r="B44" s="15" t="n">
        <v>28</v>
      </c>
      <c r="C44" s="15" t="s">
        <v>15171</v>
      </c>
      <c r="D44" s="15" t="s">
        <v>15172</v>
      </c>
      <c r="E44" s="15" t="s">
        <v>15173</v>
      </c>
      <c r="F44" s="15" t="s">
        <v>15174</v>
      </c>
      <c r="G44" s="15" t="s">
        <v>15175</v>
      </c>
      <c r="H44" s="177"/>
      <c r="I44" s="153" t="s">
        <v>14214</v>
      </c>
      <c r="N44" s="120" t="s">
        <v>175</v>
      </c>
      <c r="O44" s="120" t="s">
        <v>15176</v>
      </c>
    </row>
    <row r="45" customFormat="false" ht="30.75" hidden="false" customHeight="true" outlineLevel="0" collapsed="false">
      <c r="B45" s="15" t="n">
        <v>29</v>
      </c>
      <c r="C45" s="15" t="s">
        <v>15177</v>
      </c>
      <c r="D45" s="15" t="s">
        <v>15178</v>
      </c>
      <c r="E45" s="15" t="s">
        <v>15179</v>
      </c>
      <c r="F45" s="15" t="s">
        <v>15180</v>
      </c>
      <c r="G45" s="15" t="s">
        <v>15181</v>
      </c>
      <c r="H45" s="177"/>
      <c r="I45" s="153" t="s">
        <v>14617</v>
      </c>
      <c r="N45" s="120" t="s">
        <v>378</v>
      </c>
      <c r="O45" s="120" t="s">
        <v>15182</v>
      </c>
    </row>
    <row r="46" customFormat="false" ht="30.75" hidden="false" customHeight="true" outlineLevel="0" collapsed="false">
      <c r="B46" s="15" t="n">
        <v>30</v>
      </c>
      <c r="C46" s="15" t="s">
        <v>15183</v>
      </c>
      <c r="D46" s="15" t="s">
        <v>15184</v>
      </c>
      <c r="E46" s="15" t="s">
        <v>15185</v>
      </c>
      <c r="F46" s="15" t="s">
        <v>15186</v>
      </c>
      <c r="G46" s="15" t="s">
        <v>15187</v>
      </c>
      <c r="H46" s="177"/>
      <c r="I46" s="153" t="s">
        <v>14617</v>
      </c>
      <c r="N46" s="120" t="s">
        <v>5359</v>
      </c>
      <c r="O46" s="120" t="s">
        <v>15188</v>
      </c>
    </row>
    <row r="47" customFormat="false" ht="30.75" hidden="false" customHeight="true" outlineLevel="0" collapsed="false">
      <c r="B47" s="15" t="n">
        <v>31</v>
      </c>
      <c r="C47" s="15" t="s">
        <v>15189</v>
      </c>
      <c r="D47" s="15" t="s">
        <v>15190</v>
      </c>
      <c r="E47" s="15" t="s">
        <v>15191</v>
      </c>
      <c r="F47" s="15" t="s">
        <v>15192</v>
      </c>
      <c r="G47" s="15" t="s">
        <v>15193</v>
      </c>
      <c r="H47" s="177"/>
      <c r="I47" s="153" t="s">
        <v>14783</v>
      </c>
      <c r="N47" s="120" t="s">
        <v>640</v>
      </c>
      <c r="O47" s="120" t="s">
        <v>15194</v>
      </c>
    </row>
    <row r="48" customFormat="false" ht="30.75" hidden="false" customHeight="true" outlineLevel="0" collapsed="false">
      <c r="B48" s="15" t="n">
        <v>32</v>
      </c>
      <c r="C48" s="15" t="s">
        <v>15195</v>
      </c>
      <c r="D48" s="15" t="s">
        <v>15196</v>
      </c>
      <c r="E48" s="15" t="s">
        <v>15197</v>
      </c>
      <c r="F48" s="15" t="s">
        <v>15198</v>
      </c>
      <c r="G48" s="15" t="s">
        <v>15199</v>
      </c>
      <c r="H48" s="177"/>
      <c r="I48" s="153" t="s">
        <v>15200</v>
      </c>
      <c r="N48" s="120" t="s">
        <v>175</v>
      </c>
      <c r="O48" s="120" t="s">
        <v>15201</v>
      </c>
    </row>
    <row r="49" customFormat="false" ht="30.75" hidden="false" customHeight="true" outlineLevel="0" collapsed="false">
      <c r="B49" s="15" t="n">
        <v>33</v>
      </c>
      <c r="C49" s="15" t="s">
        <v>15202</v>
      </c>
      <c r="D49" s="15" t="s">
        <v>15203</v>
      </c>
      <c r="E49" s="15" t="s">
        <v>15204</v>
      </c>
      <c r="F49" s="15" t="s">
        <v>15205</v>
      </c>
      <c r="G49" s="15" t="s">
        <v>15206</v>
      </c>
      <c r="H49" s="177"/>
      <c r="I49" s="153" t="s">
        <v>15200</v>
      </c>
      <c r="N49" s="120" t="s">
        <v>378</v>
      </c>
      <c r="O49" s="120" t="s">
        <v>15207</v>
      </c>
    </row>
    <row r="50" customFormat="false" ht="44.25" hidden="false" customHeight="true" outlineLevel="0" collapsed="false">
      <c r="B50" s="15" t="n">
        <v>34</v>
      </c>
      <c r="C50" s="15" t="s">
        <v>15208</v>
      </c>
      <c r="D50" s="15" t="s">
        <v>15209</v>
      </c>
      <c r="E50" s="15" t="s">
        <v>15210</v>
      </c>
      <c r="F50" s="15" t="s">
        <v>15211</v>
      </c>
      <c r="G50" s="15" t="s">
        <v>15212</v>
      </c>
      <c r="H50" s="177"/>
      <c r="I50" s="153" t="s">
        <v>14438</v>
      </c>
      <c r="N50" s="120" t="s">
        <v>5359</v>
      </c>
      <c r="O50" s="120" t="s">
        <v>15213</v>
      </c>
    </row>
    <row r="51" customFormat="false" ht="30.75" hidden="false" customHeight="true" outlineLevel="0" collapsed="false">
      <c r="B51" s="15" t="n">
        <v>35</v>
      </c>
      <c r="C51" s="15" t="s">
        <v>15214</v>
      </c>
      <c r="D51" s="15" t="s">
        <v>15215</v>
      </c>
      <c r="E51" s="15" t="s">
        <v>15216</v>
      </c>
      <c r="F51" s="15" t="s">
        <v>15217</v>
      </c>
      <c r="G51" s="15" t="s">
        <v>15211</v>
      </c>
      <c r="H51" s="177"/>
      <c r="I51" s="153" t="s">
        <v>14438</v>
      </c>
      <c r="N51" s="120" t="s">
        <v>640</v>
      </c>
      <c r="O51" s="120" t="s">
        <v>15218</v>
      </c>
    </row>
    <row r="52" customFormat="false" ht="44.25" hidden="false" customHeight="true" outlineLevel="0" collapsed="false">
      <c r="B52" s="15" t="n">
        <v>36</v>
      </c>
      <c r="C52" s="15" t="s">
        <v>15219</v>
      </c>
      <c r="D52" s="15" t="s">
        <v>15220</v>
      </c>
      <c r="E52" s="15" t="s">
        <v>15221</v>
      </c>
      <c r="F52" s="15" t="s">
        <v>4908</v>
      </c>
      <c r="G52" s="15" t="s">
        <v>15222</v>
      </c>
      <c r="H52" s="177"/>
      <c r="I52" s="153" t="s">
        <v>14438</v>
      </c>
      <c r="N52" s="120" t="s">
        <v>175</v>
      </c>
      <c r="O52" s="120" t="s">
        <v>15223</v>
      </c>
    </row>
    <row r="53" customFormat="false" ht="30.75" hidden="false" customHeight="true" outlineLevel="0" collapsed="false">
      <c r="B53" s="15" t="n">
        <v>37</v>
      </c>
      <c r="C53" s="15" t="s">
        <v>15224</v>
      </c>
      <c r="D53" s="15" t="s">
        <v>40</v>
      </c>
      <c r="E53" s="15" t="s">
        <v>13748</v>
      </c>
      <c r="F53" s="15" t="s">
        <v>6922</v>
      </c>
      <c r="G53" s="15" t="s">
        <v>6926</v>
      </c>
      <c r="H53" s="177"/>
      <c r="I53" s="153" t="s">
        <v>14438</v>
      </c>
      <c r="N53" s="120" t="s">
        <v>378</v>
      </c>
      <c r="O53" s="120" t="s">
        <v>15225</v>
      </c>
    </row>
    <row r="54" customFormat="false" ht="58.5" hidden="false" customHeight="true" outlineLevel="0" collapsed="false">
      <c r="B54" s="15" t="n">
        <v>38</v>
      </c>
      <c r="C54" s="15" t="s">
        <v>15226</v>
      </c>
      <c r="D54" s="15" t="s">
        <v>15227</v>
      </c>
      <c r="E54" s="15" t="s">
        <v>15228</v>
      </c>
      <c r="F54" s="15" t="s">
        <v>15229</v>
      </c>
      <c r="G54" s="15" t="s">
        <v>15230</v>
      </c>
      <c r="H54" s="177"/>
      <c r="I54" s="153" t="s">
        <v>14199</v>
      </c>
      <c r="N54" s="120" t="s">
        <v>5359</v>
      </c>
      <c r="O54" s="120" t="s">
        <v>15231</v>
      </c>
    </row>
    <row r="55" customFormat="false" ht="30.75" hidden="false" customHeight="true" outlineLevel="0" collapsed="false">
      <c r="B55" s="15" t="n">
        <v>39</v>
      </c>
      <c r="C55" s="15" t="s">
        <v>15232</v>
      </c>
      <c r="D55" s="15" t="s">
        <v>15233</v>
      </c>
      <c r="E55" s="15" t="s">
        <v>15234</v>
      </c>
      <c r="F55" s="15" t="s">
        <v>15235</v>
      </c>
      <c r="G55" s="15" t="s">
        <v>15236</v>
      </c>
      <c r="H55" s="177"/>
      <c r="I55" s="153" t="s">
        <v>14199</v>
      </c>
      <c r="N55" s="120" t="s">
        <v>640</v>
      </c>
      <c r="O55" s="120" t="s">
        <v>15237</v>
      </c>
    </row>
    <row r="56" customFormat="false" ht="30.75" hidden="false" customHeight="true" outlineLevel="0" collapsed="false">
      <c r="B56" s="15" t="n">
        <v>40</v>
      </c>
      <c r="C56" s="15" t="s">
        <v>15238</v>
      </c>
      <c r="D56" s="15" t="s">
        <v>15239</v>
      </c>
      <c r="E56" s="15" t="s">
        <v>15240</v>
      </c>
      <c r="F56" s="15" t="s">
        <v>15241</v>
      </c>
      <c r="G56" s="15" t="s">
        <v>15242</v>
      </c>
      <c r="H56" s="177"/>
      <c r="I56" s="153" t="s">
        <v>14199</v>
      </c>
      <c r="N56" s="120" t="s">
        <v>175</v>
      </c>
      <c r="O56" s="120" t="s">
        <v>15243</v>
      </c>
    </row>
    <row r="58" customFormat="false" ht="17.25" hidden="false" customHeight="true" outlineLevel="0" collapsed="false">
      <c r="B58" s="107" t="s">
        <v>15244</v>
      </c>
      <c r="C58" s="107"/>
      <c r="D58" s="107"/>
    </row>
    <row r="59" customFormat="false" ht="16.5" hidden="false" customHeight="true" outlineLevel="0" collapsed="false">
      <c r="B59" s="152" t="s">
        <v>6689</v>
      </c>
      <c r="C59" s="152" t="s">
        <v>6654</v>
      </c>
      <c r="D59" s="152" t="s">
        <v>88</v>
      </c>
    </row>
    <row r="60" customFormat="false" ht="16.5" hidden="false" customHeight="true" outlineLevel="0" collapsed="false">
      <c r="B60" s="15" t="s">
        <v>15245</v>
      </c>
      <c r="C60" s="161" t="n">
        <f aca="false">COUNTA(C17:C56)</f>
        <v>40</v>
      </c>
      <c r="D60" s="15"/>
    </row>
    <row r="61" customFormat="false" ht="16.5" hidden="false" customHeight="true" outlineLevel="0" collapsed="false">
      <c r="B61" s="15" t="s">
        <v>15246</v>
      </c>
      <c r="C61" s="161" t="n">
        <f aca="false">COUNTA(H17:H56)</f>
        <v>0</v>
      </c>
      <c r="D61" s="15" t="s">
        <v>15247</v>
      </c>
    </row>
    <row r="62" customFormat="false" ht="30.75" hidden="false" customHeight="true" outlineLevel="0" collapsed="false">
      <c r="B62" s="15" t="s">
        <v>15248</v>
      </c>
      <c r="C62" s="161" t="n">
        <f aca="false">SUMPRODUCT((UPPER(H17:H56)=N17:N56)*(H17:H56&lt;&gt;""))</f>
        <v>0</v>
      </c>
      <c r="D62" s="15" t="s">
        <v>15249</v>
      </c>
    </row>
    <row r="63" customFormat="false" ht="16.5" hidden="false" customHeight="true" outlineLevel="0" collapsed="false">
      <c r="B63" s="15" t="s">
        <v>7997</v>
      </c>
      <c r="C63" s="160" t="n">
        <f aca="false">IFERROR(C62/C61,0)</f>
        <v>0</v>
      </c>
      <c r="D63" s="15" t="s">
        <v>15250</v>
      </c>
    </row>
    <row r="64" customFormat="false" ht="16.5" hidden="false" customHeight="true" outlineLevel="0" collapsed="false">
      <c r="B64" s="15" t="s">
        <v>3730</v>
      </c>
      <c r="C64" s="167" t="str">
        <f aca="false">IF(C61=0,"Not started",IF(C63&gt;=0.8,"Pass standard — 80% or better",IF(C63&gt;=0.7,"Close — review the questions you missed","Below the usual pass mark: work through the topic sheets in the last column")))</f>
        <v>Not started</v>
      </c>
      <c r="D64" s="15"/>
    </row>
    <row r="65" customFormat="false" ht="16.5" hidden="false" customHeight="true" outlineLevel="0" collapsed="false">
      <c r="B65" s="15" t="s">
        <v>15251</v>
      </c>
      <c r="C65" s="161" t="n">
        <f aca="false">COUNTIF(N17:N56,"A")</f>
        <v>10</v>
      </c>
      <c r="D65" s="15" t="s">
        <v>15252</v>
      </c>
    </row>
    <row r="66" customFormat="false" ht="16.5" hidden="false" customHeight="true" outlineLevel="0" collapsed="false">
      <c r="B66" s="15" t="s">
        <v>15253</v>
      </c>
      <c r="C66" s="161" t="n">
        <f aca="false">COUNTIF(N17:N56,"B")</f>
        <v>10</v>
      </c>
      <c r="D66" s="15"/>
    </row>
    <row r="67" customFormat="false" ht="16.5" hidden="false" customHeight="true" outlineLevel="0" collapsed="false">
      <c r="B67" s="15" t="s">
        <v>15254</v>
      </c>
      <c r="C67" s="161" t="n">
        <f aca="false">COUNTIF(N17:N56,"C")</f>
        <v>10</v>
      </c>
      <c r="D67" s="15"/>
    </row>
    <row r="68" customFormat="false" ht="16.5" hidden="false" customHeight="true" outlineLevel="0" collapsed="false">
      <c r="B68" s="15" t="s">
        <v>15255</v>
      </c>
      <c r="C68" s="161" t="n">
        <f aca="false">COUNTIF(N17:N56,"D")</f>
        <v>10</v>
      </c>
      <c r="D68" s="15"/>
    </row>
    <row r="70" customFormat="false" ht="15.75" hidden="false" customHeight="true" outlineLevel="0" collapsed="false">
      <c r="B70" s="103" t="s">
        <v>13754</v>
      </c>
      <c r="C70" s="8"/>
      <c r="D70" s="8"/>
      <c r="E70" s="8"/>
      <c r="F70" s="8"/>
      <c r="G70" s="8"/>
      <c r="H70" s="8"/>
      <c r="I70" s="8"/>
      <c r="J70" s="8"/>
      <c r="K70" s="8"/>
    </row>
    <row r="71" customFormat="false" ht="30.75" hidden="false" customHeight="true" outlineLevel="0" collapsed="false">
      <c r="B71" s="152" t="s">
        <v>1523</v>
      </c>
      <c r="C71" s="152" t="s">
        <v>1524</v>
      </c>
      <c r="D71" s="152" t="s">
        <v>6719</v>
      </c>
    </row>
    <row r="72" customFormat="false" ht="16.5" hidden="false" customHeight="true" outlineLevel="0" collapsed="false">
      <c r="B72" s="170" t="s">
        <v>15256</v>
      </c>
      <c r="C72" s="170" t="s">
        <v>13983</v>
      </c>
      <c r="D72" s="170" t="s">
        <v>14886</v>
      </c>
    </row>
  </sheetData>
  <mergeCells count="8">
    <mergeCell ref="B2:J2"/>
    <mergeCell ref="D3:E3"/>
    <mergeCell ref="B6:D7"/>
    <mergeCell ref="B8:D9"/>
    <mergeCell ref="B10:D11"/>
    <mergeCell ref="B13:D13"/>
    <mergeCell ref="B14:D14"/>
    <mergeCell ref="B58:D58"/>
  </mergeCells>
  <hyperlinks>
    <hyperlink ref="B3" location="'N-03 Index DMAIC'!A1" display="← Back to Index"/>
    <hyperlink ref="I17" location="'E-01 Data Types'!A1" display="E-01 Data Types"/>
    <hyperlink ref="I18" location="'E-01 Data Types'!A1" display="E-01 Data Types"/>
    <hyperlink ref="I19" location="'E-01 Data Types'!A1" display="E-01 Data Types"/>
    <hyperlink ref="I20" location="'E-02 Population vs Sample'!A1" display="E-02 Population vs Sample"/>
    <hyperlink ref="I21" location="'E-02 Population vs Sample'!A1" display="E-02 Population vs Sample"/>
    <hyperlink ref="I22" location="'E-03 Descriptive Stats'!A1" display="E-03 Descriptive Stats"/>
    <hyperlink ref="I23" location="'E-03 Descriptive Stats'!A1" display="E-03 Descriptive Stats"/>
    <hyperlink ref="I24" location="'E-04 Skewness Kurtosis'!A1" display="E-04 Skewness Kurtosis"/>
    <hyperlink ref="I25" location="'E-04 Skewness Kurtosis'!A1" display="E-04 Skewness Kurtosis"/>
    <hyperlink ref="I26" location="'E-05 Sampling Subgroups'!A1" display="E-05 Sampling Subgroups"/>
    <hyperlink ref="I27" location="'E-05 Sampling Subgroups'!A1" display="E-05 Sampling Subgroups"/>
    <hyperlink ref="I28" location="'H-05 Check Sheets'!A1" display="H-05 Check Sheets"/>
    <hyperlink ref="I29" location="'E-07 Normal Distribution'!A1" display="E-07 Normal Distribution"/>
    <hyperlink ref="I30" location="'E-07 Normal Distribution'!A1" display="E-07 Normal Distribution"/>
    <hyperlink ref="I31" location="'E-08 Central Limit Theorem'!A1" display="E-08 Central Limit Theorem"/>
    <hyperlink ref="I32" location="'E-14 Standard Error'!A1" display="E-14 Standard Error"/>
    <hyperlink ref="I33" location="'E-14 Standard Error'!A1" display="E-14 Standard Error"/>
    <hyperlink ref="I34" location="'E-09 t Chi2 F Distributions'!A1" display="E-09 t Chi2 F Distributions"/>
    <hyperlink ref="I35" location="'E-09 t Chi2 F Distributions'!A1" display="E-09 t Chi2 F Distributions"/>
    <hyperlink ref="I36" location="'E-10 Binomial Distribution'!A1" display="E-10 Binomial Distribution"/>
    <hyperlink ref="I37" location="'E-11 Poisson Distribution'!A1" display="E-11 Poisson Distribution"/>
    <hyperlink ref="I38" location="'E-11 Poisson Distribution'!A1" display="E-11 Poisson Distribution"/>
    <hyperlink ref="I39" location="'E-12 Weibull Expon Lognorm'!A1" display="E-12 Weibull Expon Lognorm"/>
    <hyperlink ref="I40" location="'E-15 CI Mean'!A1" display="E-15 CI Mean"/>
    <hyperlink ref="I41" location="'E-15 CI Mean'!A1" display="E-15 CI Mean"/>
    <hyperlink ref="I42" location="'E-16 CI Proportion StdDev'!A1" display="E-16 CI Proportion StdDev"/>
    <hyperlink ref="I43" location="'E-19 Type I II Error Power'!A1" display="E-19 Type I II Error Power"/>
    <hyperlink ref="I44" location="'E-19 Type I II Error Power'!A1" display="E-19 Type I II Error Power"/>
    <hyperlink ref="I45" location="'E-18 The p-Value'!A1" display="E-18 The p-Value"/>
    <hyperlink ref="I46" location="'E-18 The p-Value'!A1" display="E-18 The p-Value"/>
    <hyperlink ref="I47" location="'E-21 Statistical vs Practical'!A1" display="E-21 Statistical vs Practical"/>
    <hyperlink ref="I48" location="'E-20 Sample Size'!A1" display="E-20 Sample Size"/>
    <hyperlink ref="I49" location="'E-20 Sample Size'!A1" display="E-20 Sample Size"/>
    <hyperlink ref="I50" location="'E-59 Gage R and R'!A1" display="E-59 Gage R and R"/>
    <hyperlink ref="I51" location="'E-59 Gage R and R'!A1" display="E-59 Gage R and R"/>
    <hyperlink ref="I52" location="'E-59 Gage R and R'!A1" display="E-59 Gage R and R"/>
    <hyperlink ref="I53" location="'E-59 Gage R and R'!A1" display="E-59 Gage R and R"/>
    <hyperlink ref="I54" location="'E-60 MSA Bias Linearity'!A1" display="E-60 MSA Bias Linearity"/>
    <hyperlink ref="I55" location="'E-60 MSA Bias Linearity'!A1" display="E-60 MSA Bias Linearity"/>
    <hyperlink ref="I56" location="'E-60 MSA Bias Linearity'!A1" display="E-60 MSA Bias Linearity"/>
    <hyperlink ref="B72" location="'U-09 Exam Bank Inference'!A1" display="U-09  Exam Bank: Inference"/>
    <hyperlink ref="C72" location="'U-04 Formula Sheet'!A1" display="U-04  Master Formula Sheet"/>
    <hyperlink ref="D72" location="'N-03 Index DMAIC'!A1" display="N-03  Master Index by DMAIC Phas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O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76"/>
    <col collapsed="false" customWidth="true" hidden="false" outlineLevel="0" max="7" min="4" style="1" width="34"/>
    <col collapsed="false" customWidth="true" hidden="false" outlineLevel="0" max="8" min="8" style="1" width="15"/>
    <col collapsed="false" customWidth="true" hidden="false" outlineLevel="0" max="9" min="9" style="1" width="30"/>
    <col collapsed="false" customWidth="true" hidden="false" outlineLevel="0" max="10" min="10" style="1" width="14"/>
    <col collapsed="false" customWidth="true" hidden="false" outlineLevel="0" max="11" min="11" style="1" width="40"/>
    <col collapsed="false" customWidth="true" hidden="false" outlineLevel="0" max="14" min="12" style="1" width="13"/>
    <col collapsed="false" customWidth="true" hidden="false" outlineLevel="0" max="15" min="15" style="1" width="76"/>
  </cols>
  <sheetData>
    <row r="1" customFormat="false" ht="15" hidden="false" customHeight="true" outlineLevel="0" collapsed="false">
      <c r="A1" s="147" t="s">
        <v>0</v>
      </c>
    </row>
    <row r="2" customFormat="false" ht="22.5" hidden="false" customHeight="true" outlineLevel="0" collapsed="false">
      <c r="B2" s="148" t="s">
        <v>15257</v>
      </c>
      <c r="C2" s="148"/>
      <c r="D2" s="148"/>
      <c r="E2" s="148"/>
      <c r="F2" s="148"/>
      <c r="G2" s="148"/>
      <c r="H2" s="148"/>
      <c r="I2" s="148"/>
      <c r="J2" s="148"/>
      <c r="K2" s="202" t="s">
        <v>2</v>
      </c>
    </row>
    <row r="3" customFormat="false" ht="28.5" hidden="false" customHeight="true" outlineLevel="0" collapsed="false">
      <c r="B3" s="150" t="s">
        <v>3</v>
      </c>
      <c r="D3" s="151" t="s">
        <v>15026</v>
      </c>
      <c r="E3" s="151"/>
    </row>
    <row r="5" customFormat="false" ht="15.75" hidden="false" customHeight="true" outlineLevel="0" collapsed="false">
      <c r="B5" s="103" t="s">
        <v>5</v>
      </c>
      <c r="C5" s="8"/>
      <c r="D5" s="8"/>
      <c r="E5" s="8"/>
      <c r="F5" s="8"/>
      <c r="G5" s="8"/>
      <c r="H5" s="8"/>
      <c r="I5" s="8"/>
      <c r="J5" s="8"/>
      <c r="K5" s="8"/>
    </row>
    <row r="6" customFormat="false" ht="15.75" hidden="false" customHeight="true" outlineLevel="0" collapsed="false">
      <c r="B6" s="106" t="s">
        <v>15258</v>
      </c>
      <c r="C6" s="106"/>
      <c r="D6" s="106"/>
    </row>
    <row r="7" customFormat="false" ht="15.75" hidden="false" customHeight="true" outlineLevel="0" collapsed="false">
      <c r="B7" s="106"/>
      <c r="C7" s="106"/>
      <c r="D7" s="106"/>
    </row>
    <row r="8" customFormat="false" ht="10.5" hidden="false" customHeight="true" outlineLevel="0" collapsed="false">
      <c r="B8" s="106" t="s">
        <v>15259</v>
      </c>
      <c r="C8" s="106"/>
      <c r="D8" s="106"/>
    </row>
    <row r="9" customFormat="false" ht="10.5" hidden="false" customHeight="true" outlineLevel="0" collapsed="false">
      <c r="B9" s="106"/>
      <c r="C9" s="106"/>
      <c r="D9" s="106"/>
    </row>
    <row r="10" customFormat="false" ht="10.5" hidden="false" customHeight="true" outlineLevel="0" collapsed="false">
      <c r="B10" s="106"/>
      <c r="C10" s="106"/>
      <c r="D10" s="106"/>
    </row>
    <row r="12" customFormat="false" ht="17.25" hidden="false" customHeight="true" outlineLevel="0" collapsed="false">
      <c r="B12" s="107" t="s">
        <v>15260</v>
      </c>
      <c r="C12" s="107"/>
      <c r="D12" s="107"/>
    </row>
    <row r="13" customFormat="false" ht="28.5" hidden="false" customHeight="true" outlineLevel="0" collapsed="false">
      <c r="B13" s="182" t="s">
        <v>15031</v>
      </c>
      <c r="C13" s="182"/>
      <c r="D13" s="182"/>
    </row>
    <row r="15" customFormat="false" ht="16.5" hidden="false" customHeight="true" outlineLevel="0" collapsed="false">
      <c r="B15" s="152" t="s">
        <v>6912</v>
      </c>
      <c r="C15" s="152" t="s">
        <v>7242</v>
      </c>
      <c r="D15" s="152" t="s">
        <v>378</v>
      </c>
      <c r="E15" s="152" t="s">
        <v>5359</v>
      </c>
      <c r="F15" s="152" t="s">
        <v>640</v>
      </c>
      <c r="G15" s="152" t="s">
        <v>175</v>
      </c>
      <c r="H15" s="152" t="s">
        <v>15032</v>
      </c>
      <c r="I15" s="152" t="s">
        <v>15033</v>
      </c>
      <c r="N15" s="105" t="s">
        <v>1515</v>
      </c>
      <c r="O15" s="105" t="s">
        <v>15034</v>
      </c>
    </row>
    <row r="16" customFormat="false" ht="30.75" hidden="false" customHeight="true" outlineLevel="0" collapsed="false">
      <c r="B16" s="15" t="n">
        <v>1</v>
      </c>
      <c r="C16" s="15" t="s">
        <v>15261</v>
      </c>
      <c r="D16" s="15" t="s">
        <v>15262</v>
      </c>
      <c r="E16" s="15" t="s">
        <v>15263</v>
      </c>
      <c r="F16" s="15" t="s">
        <v>15264</v>
      </c>
      <c r="G16" s="15" t="s">
        <v>15265</v>
      </c>
      <c r="H16" s="177"/>
      <c r="I16" s="153" t="s">
        <v>15266</v>
      </c>
      <c r="N16" s="120" t="s">
        <v>378</v>
      </c>
      <c r="O16" s="120" t="s">
        <v>15267</v>
      </c>
    </row>
    <row r="17" customFormat="false" ht="44.25" hidden="false" customHeight="true" outlineLevel="0" collapsed="false">
      <c r="B17" s="15" t="n">
        <v>2</v>
      </c>
      <c r="C17" s="15" t="s">
        <v>15268</v>
      </c>
      <c r="D17" s="15" t="s">
        <v>15269</v>
      </c>
      <c r="E17" s="15" t="s">
        <v>15270</v>
      </c>
      <c r="F17" s="15" t="s">
        <v>15271</v>
      </c>
      <c r="G17" s="15" t="s">
        <v>15272</v>
      </c>
      <c r="H17" s="177"/>
      <c r="I17" s="153" t="s">
        <v>14218</v>
      </c>
      <c r="N17" s="120" t="s">
        <v>5359</v>
      </c>
      <c r="O17" s="120" t="s">
        <v>15273</v>
      </c>
    </row>
    <row r="18" customFormat="false" ht="16.5" hidden="false" customHeight="true" outlineLevel="0" collapsed="false">
      <c r="B18" s="15" t="n">
        <v>3</v>
      </c>
      <c r="C18" s="15" t="s">
        <v>15274</v>
      </c>
      <c r="D18" s="15" t="s">
        <v>14222</v>
      </c>
      <c r="E18" s="15" t="s">
        <v>15275</v>
      </c>
      <c r="F18" s="15" t="s">
        <v>15276</v>
      </c>
      <c r="G18" s="15" t="s">
        <v>3382</v>
      </c>
      <c r="H18" s="177"/>
      <c r="I18" s="153" t="s">
        <v>15266</v>
      </c>
      <c r="N18" s="120" t="s">
        <v>640</v>
      </c>
      <c r="O18" s="120" t="s">
        <v>15277</v>
      </c>
    </row>
    <row r="19" customFormat="false" ht="16.5" hidden="false" customHeight="true" outlineLevel="0" collapsed="false">
      <c r="B19" s="15" t="n">
        <v>4</v>
      </c>
      <c r="C19" s="15" t="s">
        <v>15278</v>
      </c>
      <c r="D19" s="15" t="s">
        <v>15276</v>
      </c>
      <c r="E19" s="15" t="s">
        <v>2254</v>
      </c>
      <c r="F19" s="15" t="s">
        <v>3382</v>
      </c>
      <c r="G19" s="15" t="s">
        <v>15275</v>
      </c>
      <c r="H19" s="177"/>
      <c r="I19" s="153" t="s">
        <v>14863</v>
      </c>
      <c r="N19" s="120" t="s">
        <v>175</v>
      </c>
      <c r="O19" s="120" t="s">
        <v>15279</v>
      </c>
    </row>
    <row r="20" customFormat="false" ht="44.25" hidden="false" customHeight="true" outlineLevel="0" collapsed="false">
      <c r="B20" s="15" t="n">
        <v>5</v>
      </c>
      <c r="C20" s="15" t="s">
        <v>15280</v>
      </c>
      <c r="D20" s="15" t="s">
        <v>15281</v>
      </c>
      <c r="E20" s="15" t="s">
        <v>15282</v>
      </c>
      <c r="F20" s="15" t="s">
        <v>15283</v>
      </c>
      <c r="G20" s="15" t="s">
        <v>15284</v>
      </c>
      <c r="H20" s="177"/>
      <c r="I20" s="153" t="s">
        <v>14863</v>
      </c>
      <c r="N20" s="120" t="s">
        <v>378</v>
      </c>
      <c r="O20" s="120" t="s">
        <v>15285</v>
      </c>
    </row>
    <row r="21" customFormat="false" ht="44.25" hidden="false" customHeight="true" outlineLevel="0" collapsed="false">
      <c r="B21" s="15" t="n">
        <v>6</v>
      </c>
      <c r="C21" s="15" t="s">
        <v>15286</v>
      </c>
      <c r="D21" s="15" t="s">
        <v>15287</v>
      </c>
      <c r="E21" s="15" t="s">
        <v>15288</v>
      </c>
      <c r="F21" s="15" t="s">
        <v>15289</v>
      </c>
      <c r="G21" s="15" t="s">
        <v>15159</v>
      </c>
      <c r="H21" s="177"/>
      <c r="I21" s="153" t="s">
        <v>14863</v>
      </c>
      <c r="N21" s="120" t="s">
        <v>5359</v>
      </c>
      <c r="O21" s="120" t="s">
        <v>15290</v>
      </c>
    </row>
    <row r="22" customFormat="false" ht="30.75" hidden="false" customHeight="true" outlineLevel="0" collapsed="false">
      <c r="B22" s="15" t="n">
        <v>7</v>
      </c>
      <c r="C22" s="15" t="s">
        <v>15291</v>
      </c>
      <c r="D22" s="15" t="s">
        <v>2254</v>
      </c>
      <c r="E22" s="15" t="s">
        <v>15275</v>
      </c>
      <c r="F22" s="15" t="s">
        <v>3382</v>
      </c>
      <c r="G22" s="15" t="s">
        <v>14222</v>
      </c>
      <c r="H22" s="177"/>
      <c r="I22" s="153" t="s">
        <v>14623</v>
      </c>
      <c r="N22" s="120" t="s">
        <v>640</v>
      </c>
      <c r="O22" s="120" t="s">
        <v>15292</v>
      </c>
    </row>
    <row r="23" customFormat="false" ht="44.25" hidden="false" customHeight="true" outlineLevel="0" collapsed="false">
      <c r="B23" s="15" t="n">
        <v>8</v>
      </c>
      <c r="C23" s="15" t="s">
        <v>15293</v>
      </c>
      <c r="D23" s="15" t="s">
        <v>15294</v>
      </c>
      <c r="E23" s="15" t="s">
        <v>15295</v>
      </c>
      <c r="F23" s="15" t="s">
        <v>15296</v>
      </c>
      <c r="G23" s="15" t="s">
        <v>15297</v>
      </c>
      <c r="H23" s="177"/>
      <c r="I23" s="153" t="s">
        <v>14623</v>
      </c>
      <c r="N23" s="120" t="s">
        <v>175</v>
      </c>
      <c r="O23" s="120" t="s">
        <v>15298</v>
      </c>
    </row>
    <row r="24" customFormat="false" ht="30.75" hidden="false" customHeight="true" outlineLevel="0" collapsed="false">
      <c r="B24" s="15" t="n">
        <v>9</v>
      </c>
      <c r="C24" s="15" t="s">
        <v>15299</v>
      </c>
      <c r="D24" s="15" t="s">
        <v>15300</v>
      </c>
      <c r="E24" s="15" t="s">
        <v>15301</v>
      </c>
      <c r="F24" s="15" t="s">
        <v>15302</v>
      </c>
      <c r="G24" s="15" t="s">
        <v>15303</v>
      </c>
      <c r="H24" s="177"/>
      <c r="I24" s="153" t="s">
        <v>2927</v>
      </c>
      <c r="N24" s="120" t="s">
        <v>378</v>
      </c>
      <c r="O24" s="120" t="s">
        <v>15304</v>
      </c>
    </row>
    <row r="25" customFormat="false" ht="44.25" hidden="false" customHeight="true" outlineLevel="0" collapsed="false">
      <c r="B25" s="15" t="n">
        <v>10</v>
      </c>
      <c r="C25" s="15" t="s">
        <v>15305</v>
      </c>
      <c r="D25" s="15" t="s">
        <v>15306</v>
      </c>
      <c r="E25" s="15" t="s">
        <v>15307</v>
      </c>
      <c r="F25" s="15" t="s">
        <v>15308</v>
      </c>
      <c r="G25" s="15" t="s">
        <v>15309</v>
      </c>
      <c r="H25" s="177"/>
      <c r="I25" s="153" t="s">
        <v>2927</v>
      </c>
      <c r="N25" s="120" t="s">
        <v>5359</v>
      </c>
      <c r="O25" s="120" t="s">
        <v>15310</v>
      </c>
    </row>
    <row r="26" customFormat="false" ht="30.75" hidden="false" customHeight="true" outlineLevel="0" collapsed="false">
      <c r="B26" s="15" t="n">
        <v>11</v>
      </c>
      <c r="C26" s="15" t="s">
        <v>15311</v>
      </c>
      <c r="D26" s="15" t="s">
        <v>15312</v>
      </c>
      <c r="E26" s="15" t="s">
        <v>15313</v>
      </c>
      <c r="F26" s="15" t="s">
        <v>15314</v>
      </c>
      <c r="G26" s="15" t="s">
        <v>15315</v>
      </c>
      <c r="H26" s="177"/>
      <c r="I26" s="153" t="s">
        <v>2927</v>
      </c>
      <c r="N26" s="120" t="s">
        <v>640</v>
      </c>
      <c r="O26" s="120" t="s">
        <v>15316</v>
      </c>
    </row>
    <row r="27" customFormat="false" ht="44.25" hidden="false" customHeight="true" outlineLevel="0" collapsed="false">
      <c r="B27" s="15" t="n">
        <v>12</v>
      </c>
      <c r="C27" s="15" t="s">
        <v>15317</v>
      </c>
      <c r="D27" s="15" t="s">
        <v>15318</v>
      </c>
      <c r="E27" s="15" t="s">
        <v>15319</v>
      </c>
      <c r="F27" s="15" t="s">
        <v>15320</v>
      </c>
      <c r="G27" s="15" t="s">
        <v>15321</v>
      </c>
      <c r="H27" s="177"/>
      <c r="I27" s="153" t="s">
        <v>2927</v>
      </c>
      <c r="N27" s="120" t="s">
        <v>175</v>
      </c>
      <c r="O27" s="120" t="s">
        <v>15322</v>
      </c>
    </row>
    <row r="28" customFormat="false" ht="30.75" hidden="false" customHeight="true" outlineLevel="0" collapsed="false">
      <c r="B28" s="15" t="n">
        <v>13</v>
      </c>
      <c r="C28" s="15" t="s">
        <v>15323</v>
      </c>
      <c r="D28" s="15" t="s">
        <v>15324</v>
      </c>
      <c r="E28" s="15" t="s">
        <v>15325</v>
      </c>
      <c r="F28" s="15" t="s">
        <v>15326</v>
      </c>
      <c r="G28" s="15" t="s">
        <v>15327</v>
      </c>
      <c r="H28" s="177"/>
      <c r="I28" s="153" t="s">
        <v>2927</v>
      </c>
      <c r="N28" s="120" t="s">
        <v>378</v>
      </c>
      <c r="O28" s="120" t="s">
        <v>15328</v>
      </c>
    </row>
    <row r="29" customFormat="false" ht="30.75" hidden="false" customHeight="true" outlineLevel="0" collapsed="false">
      <c r="B29" s="15" t="n">
        <v>14</v>
      </c>
      <c r="C29" s="15" t="s">
        <v>15329</v>
      </c>
      <c r="D29" s="15" t="s">
        <v>3938</v>
      </c>
      <c r="E29" s="15" t="s">
        <v>15330</v>
      </c>
      <c r="F29" s="15" t="s">
        <v>2254</v>
      </c>
      <c r="G29" s="15" t="s">
        <v>15331</v>
      </c>
      <c r="H29" s="177"/>
      <c r="I29" s="153" t="s">
        <v>14520</v>
      </c>
      <c r="N29" s="120" t="s">
        <v>5359</v>
      </c>
      <c r="O29" s="120" t="s">
        <v>15332</v>
      </c>
    </row>
    <row r="30" customFormat="false" ht="30.75" hidden="false" customHeight="true" outlineLevel="0" collapsed="false">
      <c r="B30" s="15" t="n">
        <v>15</v>
      </c>
      <c r="C30" s="15" t="s">
        <v>15333</v>
      </c>
      <c r="D30" s="15" t="s">
        <v>3382</v>
      </c>
      <c r="E30" s="15" t="s">
        <v>15276</v>
      </c>
      <c r="F30" s="15" t="s">
        <v>15334</v>
      </c>
      <c r="G30" s="15" t="s">
        <v>15335</v>
      </c>
      <c r="H30" s="177"/>
      <c r="I30" s="153" t="s">
        <v>15336</v>
      </c>
      <c r="N30" s="120" t="s">
        <v>640</v>
      </c>
      <c r="O30" s="120" t="s">
        <v>15337</v>
      </c>
    </row>
    <row r="31" customFormat="false" ht="30.75" hidden="false" customHeight="true" outlineLevel="0" collapsed="false">
      <c r="B31" s="15" t="n">
        <v>16</v>
      </c>
      <c r="C31" s="15" t="s">
        <v>15338</v>
      </c>
      <c r="D31" s="15" t="s">
        <v>15339</v>
      </c>
      <c r="E31" s="15" t="s">
        <v>15340</v>
      </c>
      <c r="F31" s="15" t="s">
        <v>15341</v>
      </c>
      <c r="G31" s="15" t="s">
        <v>15342</v>
      </c>
      <c r="H31" s="177"/>
      <c r="I31" s="153" t="s">
        <v>14324</v>
      </c>
      <c r="N31" s="120" t="s">
        <v>175</v>
      </c>
      <c r="O31" s="120" t="s">
        <v>15343</v>
      </c>
    </row>
    <row r="32" customFormat="false" ht="16.5" hidden="false" customHeight="true" outlineLevel="0" collapsed="false">
      <c r="B32" s="15" t="n">
        <v>17</v>
      </c>
      <c r="C32" s="15" t="s">
        <v>15344</v>
      </c>
      <c r="D32" s="15" t="s">
        <v>45</v>
      </c>
      <c r="E32" s="15" t="s">
        <v>15345</v>
      </c>
      <c r="F32" s="15" t="s">
        <v>13749</v>
      </c>
      <c r="G32" s="15" t="s">
        <v>13745</v>
      </c>
      <c r="H32" s="177"/>
      <c r="I32" s="153" t="s">
        <v>14324</v>
      </c>
      <c r="N32" s="120" t="s">
        <v>378</v>
      </c>
      <c r="O32" s="120" t="s">
        <v>15346</v>
      </c>
    </row>
    <row r="33" customFormat="false" ht="16.5" hidden="false" customHeight="true" outlineLevel="0" collapsed="false">
      <c r="B33" s="15" t="n">
        <v>18</v>
      </c>
      <c r="C33" s="15" t="s">
        <v>15347</v>
      </c>
      <c r="D33" s="15" t="s">
        <v>933</v>
      </c>
      <c r="E33" s="15" t="s">
        <v>932</v>
      </c>
      <c r="F33" s="15" t="s">
        <v>15348</v>
      </c>
      <c r="G33" s="15" t="s">
        <v>3934</v>
      </c>
      <c r="H33" s="177"/>
      <c r="I33" s="153" t="s">
        <v>14513</v>
      </c>
      <c r="N33" s="120" t="s">
        <v>5359</v>
      </c>
      <c r="O33" s="120" t="s">
        <v>15349</v>
      </c>
    </row>
    <row r="34" customFormat="false" ht="16.5" hidden="false" customHeight="true" outlineLevel="0" collapsed="false">
      <c r="B34" s="15" t="n">
        <v>19</v>
      </c>
      <c r="C34" s="15" t="s">
        <v>15350</v>
      </c>
      <c r="D34" s="15" t="s">
        <v>15351</v>
      </c>
      <c r="E34" s="15" t="s">
        <v>932</v>
      </c>
      <c r="F34" s="15" t="s">
        <v>933</v>
      </c>
      <c r="G34" s="15" t="s">
        <v>15352</v>
      </c>
      <c r="H34" s="177"/>
      <c r="I34" s="153" t="s">
        <v>14513</v>
      </c>
      <c r="N34" s="120" t="s">
        <v>640</v>
      </c>
      <c r="O34" s="120" t="s">
        <v>15353</v>
      </c>
    </row>
    <row r="35" customFormat="false" ht="30.75" hidden="false" customHeight="true" outlineLevel="0" collapsed="false">
      <c r="B35" s="15" t="n">
        <v>20</v>
      </c>
      <c r="C35" s="15" t="s">
        <v>15354</v>
      </c>
      <c r="D35" s="15" t="s">
        <v>6557</v>
      </c>
      <c r="E35" s="15" t="s">
        <v>15355</v>
      </c>
      <c r="F35" s="15" t="s">
        <v>15356</v>
      </c>
      <c r="G35" s="15" t="s">
        <v>15357</v>
      </c>
      <c r="H35" s="177"/>
      <c r="I35" s="153" t="s">
        <v>14513</v>
      </c>
      <c r="N35" s="120" t="s">
        <v>175</v>
      </c>
      <c r="O35" s="120" t="s">
        <v>15358</v>
      </c>
    </row>
    <row r="36" customFormat="false" ht="30.75" hidden="false" customHeight="true" outlineLevel="0" collapsed="false">
      <c r="B36" s="15" t="n">
        <v>21</v>
      </c>
      <c r="C36" s="15" t="s">
        <v>15359</v>
      </c>
      <c r="D36" s="15" t="s">
        <v>15360</v>
      </c>
      <c r="E36" s="15" t="s">
        <v>15361</v>
      </c>
      <c r="F36" s="15" t="s">
        <v>15362</v>
      </c>
      <c r="G36" s="15" t="s">
        <v>15363</v>
      </c>
      <c r="H36" s="177"/>
      <c r="I36" s="153" t="s">
        <v>14588</v>
      </c>
      <c r="N36" s="120" t="s">
        <v>378</v>
      </c>
      <c r="O36" s="120" t="s">
        <v>15364</v>
      </c>
    </row>
    <row r="37" customFormat="false" ht="30.75" hidden="false" customHeight="true" outlineLevel="0" collapsed="false">
      <c r="B37" s="15" t="n">
        <v>22</v>
      </c>
      <c r="C37" s="15" t="s">
        <v>15365</v>
      </c>
      <c r="D37" s="15" t="s">
        <v>963</v>
      </c>
      <c r="E37" s="15" t="s">
        <v>15366</v>
      </c>
      <c r="F37" s="15" t="s">
        <v>15367</v>
      </c>
      <c r="G37" s="15" t="s">
        <v>15368</v>
      </c>
      <c r="H37" s="177"/>
      <c r="I37" s="153" t="s">
        <v>14588</v>
      </c>
      <c r="N37" s="120" t="s">
        <v>5359</v>
      </c>
      <c r="O37" s="120" t="s">
        <v>15369</v>
      </c>
    </row>
    <row r="38" customFormat="false" ht="30.75" hidden="false" customHeight="true" outlineLevel="0" collapsed="false">
      <c r="B38" s="15" t="n">
        <v>23</v>
      </c>
      <c r="C38" s="15" t="s">
        <v>15370</v>
      </c>
      <c r="D38" s="15" t="s">
        <v>15371</v>
      </c>
      <c r="E38" s="15" t="s">
        <v>15372</v>
      </c>
      <c r="F38" s="15" t="s">
        <v>15373</v>
      </c>
      <c r="G38" s="15" t="s">
        <v>15374</v>
      </c>
      <c r="H38" s="177"/>
      <c r="I38" s="153" t="s">
        <v>14588</v>
      </c>
      <c r="N38" s="120" t="s">
        <v>640</v>
      </c>
      <c r="O38" s="120" t="s">
        <v>15375</v>
      </c>
    </row>
    <row r="39" customFormat="false" ht="44.25" hidden="false" customHeight="true" outlineLevel="0" collapsed="false">
      <c r="B39" s="15" t="n">
        <v>24</v>
      </c>
      <c r="C39" s="15" t="s">
        <v>15376</v>
      </c>
      <c r="D39" s="15" t="s">
        <v>15377</v>
      </c>
      <c r="E39" s="15" t="s">
        <v>15378</v>
      </c>
      <c r="F39" s="15" t="s">
        <v>15379</v>
      </c>
      <c r="G39" s="15" t="s">
        <v>15380</v>
      </c>
      <c r="H39" s="177"/>
      <c r="I39" s="153" t="s">
        <v>14282</v>
      </c>
      <c r="N39" s="120" t="s">
        <v>175</v>
      </c>
      <c r="O39" s="120" t="s">
        <v>15381</v>
      </c>
    </row>
    <row r="40" customFormat="false" ht="30.75" hidden="false" customHeight="true" outlineLevel="0" collapsed="false">
      <c r="B40" s="15" t="n">
        <v>25</v>
      </c>
      <c r="C40" s="15" t="s">
        <v>15382</v>
      </c>
      <c r="D40" s="15" t="s">
        <v>15383</v>
      </c>
      <c r="E40" s="15" t="s">
        <v>15384</v>
      </c>
      <c r="F40" s="15" t="s">
        <v>15385</v>
      </c>
      <c r="G40" s="15" t="s">
        <v>15386</v>
      </c>
      <c r="H40" s="177"/>
      <c r="I40" s="153" t="s">
        <v>14282</v>
      </c>
      <c r="N40" s="120" t="s">
        <v>378</v>
      </c>
      <c r="O40" s="120" t="s">
        <v>15387</v>
      </c>
    </row>
    <row r="41" customFormat="false" ht="30.75" hidden="false" customHeight="true" outlineLevel="0" collapsed="false">
      <c r="B41" s="15" t="n">
        <v>26</v>
      </c>
      <c r="C41" s="15" t="s">
        <v>15388</v>
      </c>
      <c r="D41" s="15" t="s">
        <v>15389</v>
      </c>
      <c r="E41" s="15" t="s">
        <v>15390</v>
      </c>
      <c r="F41" s="15" t="s">
        <v>15391</v>
      </c>
      <c r="G41" s="15" t="s">
        <v>15392</v>
      </c>
      <c r="H41" s="177"/>
      <c r="I41" s="153" t="s">
        <v>14355</v>
      </c>
      <c r="N41" s="120" t="s">
        <v>5359</v>
      </c>
      <c r="O41" s="120" t="s">
        <v>15393</v>
      </c>
    </row>
    <row r="42" customFormat="false" ht="30.75" hidden="false" customHeight="true" outlineLevel="0" collapsed="false">
      <c r="B42" s="15" t="n">
        <v>27</v>
      </c>
      <c r="C42" s="15" t="s">
        <v>15394</v>
      </c>
      <c r="D42" s="15" t="s">
        <v>15395</v>
      </c>
      <c r="E42" s="15" t="s">
        <v>15396</v>
      </c>
      <c r="F42" s="15" t="s">
        <v>15397</v>
      </c>
      <c r="G42" s="15" t="s">
        <v>15398</v>
      </c>
      <c r="H42" s="177"/>
      <c r="I42" s="153" t="s">
        <v>15399</v>
      </c>
      <c r="N42" s="120" t="s">
        <v>640</v>
      </c>
      <c r="O42" s="120" t="s">
        <v>15400</v>
      </c>
    </row>
    <row r="43" customFormat="false" ht="30.75" hidden="false" customHeight="true" outlineLevel="0" collapsed="false">
      <c r="B43" s="15" t="n">
        <v>28</v>
      </c>
      <c r="C43" s="15" t="s">
        <v>15401</v>
      </c>
      <c r="D43" s="15" t="s">
        <v>15402</v>
      </c>
      <c r="E43" s="15" t="s">
        <v>15403</v>
      </c>
      <c r="F43" s="15" t="s">
        <v>15404</v>
      </c>
      <c r="G43" s="15" t="s">
        <v>15405</v>
      </c>
      <c r="H43" s="177"/>
      <c r="I43" s="153" t="s">
        <v>14695</v>
      </c>
      <c r="N43" s="120" t="s">
        <v>175</v>
      </c>
      <c r="O43" s="120" t="s">
        <v>15406</v>
      </c>
    </row>
    <row r="44" customFormat="false" ht="30.75" hidden="false" customHeight="true" outlineLevel="0" collapsed="false">
      <c r="B44" s="15" t="n">
        <v>29</v>
      </c>
      <c r="C44" s="15" t="s">
        <v>15407</v>
      </c>
      <c r="D44" s="15" t="s">
        <v>15408</v>
      </c>
      <c r="E44" s="15" t="s">
        <v>15409</v>
      </c>
      <c r="F44" s="15" t="s">
        <v>15410</v>
      </c>
      <c r="G44" s="15" t="s">
        <v>15411</v>
      </c>
      <c r="H44" s="177"/>
      <c r="I44" s="153" t="s">
        <v>14707</v>
      </c>
      <c r="N44" s="120" t="s">
        <v>378</v>
      </c>
      <c r="O44" s="120" t="s">
        <v>15412</v>
      </c>
    </row>
    <row r="45" customFormat="false" ht="30.75" hidden="false" customHeight="true" outlineLevel="0" collapsed="false">
      <c r="B45" s="15" t="n">
        <v>30</v>
      </c>
      <c r="C45" s="15" t="s">
        <v>15413</v>
      </c>
      <c r="D45" s="15" t="s">
        <v>15414</v>
      </c>
      <c r="E45" s="15" t="s">
        <v>15415</v>
      </c>
      <c r="F45" s="15" t="s">
        <v>15368</v>
      </c>
      <c r="G45" s="15" t="s">
        <v>15416</v>
      </c>
      <c r="H45" s="177"/>
      <c r="I45" s="153" t="s">
        <v>14707</v>
      </c>
      <c r="N45" s="120" t="s">
        <v>5359</v>
      </c>
      <c r="O45" s="120" t="s">
        <v>15417</v>
      </c>
    </row>
    <row r="46" customFormat="false" ht="58.5" hidden="false" customHeight="true" outlineLevel="0" collapsed="false">
      <c r="B46" s="15" t="n">
        <v>31</v>
      </c>
      <c r="C46" s="15" t="s">
        <v>15418</v>
      </c>
      <c r="D46" s="15" t="s">
        <v>15419</v>
      </c>
      <c r="E46" s="15" t="s">
        <v>15414</v>
      </c>
      <c r="F46" s="15" t="s">
        <v>15420</v>
      </c>
      <c r="G46" s="15" t="s">
        <v>15421</v>
      </c>
      <c r="H46" s="177"/>
      <c r="I46" s="153" t="s">
        <v>14707</v>
      </c>
      <c r="N46" s="120" t="s">
        <v>640</v>
      </c>
      <c r="O46" s="120" t="s">
        <v>15422</v>
      </c>
    </row>
    <row r="47" customFormat="false" ht="30.75" hidden="false" customHeight="true" outlineLevel="0" collapsed="false">
      <c r="B47" s="15" t="n">
        <v>32</v>
      </c>
      <c r="C47" s="15" t="s">
        <v>15423</v>
      </c>
      <c r="D47" s="15" t="s">
        <v>15424</v>
      </c>
      <c r="E47" s="15" t="s">
        <v>15425</v>
      </c>
      <c r="F47" s="15" t="s">
        <v>15426</v>
      </c>
      <c r="G47" s="15" t="s">
        <v>15427</v>
      </c>
      <c r="H47" s="177"/>
      <c r="I47" s="153" t="s">
        <v>14846</v>
      </c>
      <c r="N47" s="120" t="s">
        <v>175</v>
      </c>
      <c r="O47" s="120" t="s">
        <v>15428</v>
      </c>
    </row>
    <row r="48" customFormat="false" ht="30.75" hidden="false" customHeight="true" outlineLevel="0" collapsed="false">
      <c r="B48" s="15" t="n">
        <v>33</v>
      </c>
      <c r="C48" s="15" t="s">
        <v>15429</v>
      </c>
      <c r="D48" s="15" t="s">
        <v>15430</v>
      </c>
      <c r="E48" s="15" t="s">
        <v>15431</v>
      </c>
      <c r="F48" s="15" t="s">
        <v>15432</v>
      </c>
      <c r="G48" s="15" t="s">
        <v>15433</v>
      </c>
      <c r="H48" s="177"/>
      <c r="I48" s="153" t="s">
        <v>14846</v>
      </c>
      <c r="N48" s="120" t="s">
        <v>378</v>
      </c>
      <c r="O48" s="120" t="s">
        <v>15434</v>
      </c>
    </row>
    <row r="49" customFormat="false" ht="16.5" hidden="false" customHeight="true" outlineLevel="0" collapsed="false">
      <c r="B49" s="15" t="n">
        <v>34</v>
      </c>
      <c r="C49" s="15" t="s">
        <v>15435</v>
      </c>
      <c r="D49" s="15" t="s">
        <v>15436</v>
      </c>
      <c r="E49" s="15" t="s">
        <v>15437</v>
      </c>
      <c r="F49" s="15" t="s">
        <v>15361</v>
      </c>
      <c r="G49" s="15" t="s">
        <v>15438</v>
      </c>
      <c r="H49" s="177"/>
      <c r="I49" s="153" t="s">
        <v>14532</v>
      </c>
      <c r="N49" s="120" t="s">
        <v>5359</v>
      </c>
      <c r="O49" s="120" t="s">
        <v>15439</v>
      </c>
    </row>
    <row r="50" customFormat="false" ht="44.25" hidden="false" customHeight="true" outlineLevel="0" collapsed="false">
      <c r="B50" s="15" t="n">
        <v>35</v>
      </c>
      <c r="C50" s="15" t="s">
        <v>15440</v>
      </c>
      <c r="D50" s="15" t="s">
        <v>15441</v>
      </c>
      <c r="E50" s="15" t="s">
        <v>15442</v>
      </c>
      <c r="F50" s="15" t="s">
        <v>15443</v>
      </c>
      <c r="G50" s="15" t="s">
        <v>15444</v>
      </c>
      <c r="H50" s="177"/>
      <c r="I50" s="153" t="s">
        <v>14569</v>
      </c>
      <c r="N50" s="120" t="s">
        <v>640</v>
      </c>
      <c r="O50" s="120" t="s">
        <v>15445</v>
      </c>
    </row>
    <row r="51" customFormat="false" ht="30.75" hidden="false" customHeight="true" outlineLevel="0" collapsed="false">
      <c r="B51" s="15" t="n">
        <v>36</v>
      </c>
      <c r="C51" s="15" t="s">
        <v>15446</v>
      </c>
      <c r="D51" s="15" t="s">
        <v>15187</v>
      </c>
      <c r="E51" s="15" t="s">
        <v>15447</v>
      </c>
      <c r="F51" s="15" t="s">
        <v>15448</v>
      </c>
      <c r="G51" s="15" t="s">
        <v>15449</v>
      </c>
      <c r="H51" s="177"/>
      <c r="I51" s="153" t="s">
        <v>14330</v>
      </c>
      <c r="N51" s="120" t="s">
        <v>175</v>
      </c>
      <c r="O51" s="120" t="s">
        <v>15450</v>
      </c>
    </row>
    <row r="52" customFormat="false" ht="30.75" hidden="false" customHeight="true" outlineLevel="0" collapsed="false">
      <c r="B52" s="15" t="n">
        <v>37</v>
      </c>
      <c r="C52" s="15" t="s">
        <v>15451</v>
      </c>
      <c r="D52" s="15" t="s">
        <v>15452</v>
      </c>
      <c r="E52" s="15" t="s">
        <v>15453</v>
      </c>
      <c r="F52" s="15" t="s">
        <v>15153</v>
      </c>
      <c r="G52" s="15" t="s">
        <v>15454</v>
      </c>
      <c r="H52" s="177"/>
      <c r="I52" s="153" t="s">
        <v>14214</v>
      </c>
      <c r="N52" s="120" t="s">
        <v>378</v>
      </c>
      <c r="O52" s="120" t="s">
        <v>15455</v>
      </c>
    </row>
    <row r="53" customFormat="false" ht="30.75" hidden="false" customHeight="true" outlineLevel="0" collapsed="false">
      <c r="B53" s="15" t="n">
        <v>38</v>
      </c>
      <c r="C53" s="15" t="s">
        <v>15456</v>
      </c>
      <c r="D53" s="15" t="s">
        <v>7631</v>
      </c>
      <c r="E53" s="15" t="s">
        <v>34</v>
      </c>
      <c r="F53" s="15" t="s">
        <v>40</v>
      </c>
      <c r="G53" s="15" t="s">
        <v>13751</v>
      </c>
      <c r="H53" s="177"/>
      <c r="I53" s="153" t="s">
        <v>14214</v>
      </c>
      <c r="N53" s="120" t="s">
        <v>5359</v>
      </c>
      <c r="O53" s="120" t="s">
        <v>15457</v>
      </c>
    </row>
    <row r="54" customFormat="false" ht="30.75" hidden="false" customHeight="true" outlineLevel="0" collapsed="false">
      <c r="B54" s="15" t="n">
        <v>39</v>
      </c>
      <c r="C54" s="15" t="s">
        <v>15458</v>
      </c>
      <c r="D54" s="15" t="s">
        <v>14352</v>
      </c>
      <c r="E54" s="15" t="s">
        <v>14222</v>
      </c>
      <c r="F54" s="15" t="s">
        <v>15459</v>
      </c>
      <c r="G54" s="15" t="s">
        <v>3382</v>
      </c>
      <c r="H54" s="177"/>
      <c r="I54" s="153" t="s">
        <v>14324</v>
      </c>
      <c r="N54" s="120" t="s">
        <v>640</v>
      </c>
      <c r="O54" s="120" t="s">
        <v>15460</v>
      </c>
    </row>
    <row r="55" customFormat="false" ht="44.25" hidden="false" customHeight="true" outlineLevel="0" collapsed="false">
      <c r="B55" s="15" t="n">
        <v>40</v>
      </c>
      <c r="C55" s="15" t="s">
        <v>15461</v>
      </c>
      <c r="D55" s="15" t="s">
        <v>15462</v>
      </c>
      <c r="E55" s="15" t="s">
        <v>15463</v>
      </c>
      <c r="F55" s="15" t="s">
        <v>15464</v>
      </c>
      <c r="G55" s="15" t="s">
        <v>15465</v>
      </c>
      <c r="H55" s="177"/>
      <c r="I55" s="153" t="s">
        <v>14260</v>
      </c>
      <c r="N55" s="120" t="s">
        <v>175</v>
      </c>
      <c r="O55" s="120" t="s">
        <v>15466</v>
      </c>
    </row>
    <row r="57" customFormat="false" ht="17.25" hidden="false" customHeight="true" outlineLevel="0" collapsed="false">
      <c r="B57" s="107" t="s">
        <v>15244</v>
      </c>
      <c r="C57" s="107"/>
      <c r="D57" s="107"/>
    </row>
    <row r="58" customFormat="false" ht="16.5" hidden="false" customHeight="true" outlineLevel="0" collapsed="false">
      <c r="B58" s="152" t="s">
        <v>6689</v>
      </c>
      <c r="C58" s="152" t="s">
        <v>6654</v>
      </c>
      <c r="D58" s="152" t="s">
        <v>88</v>
      </c>
    </row>
    <row r="59" customFormat="false" ht="16.5" hidden="false" customHeight="true" outlineLevel="0" collapsed="false">
      <c r="B59" s="15" t="s">
        <v>15245</v>
      </c>
      <c r="C59" s="161" t="n">
        <f aca="false">COUNTA(C16:C55)</f>
        <v>40</v>
      </c>
      <c r="D59" s="15"/>
    </row>
    <row r="60" customFormat="false" ht="16.5" hidden="false" customHeight="true" outlineLevel="0" collapsed="false">
      <c r="B60" s="15" t="s">
        <v>15246</v>
      </c>
      <c r="C60" s="161" t="n">
        <f aca="false">COUNTA(H16:H55)</f>
        <v>0</v>
      </c>
      <c r="D60" s="15" t="s">
        <v>15247</v>
      </c>
    </row>
    <row r="61" customFormat="false" ht="30.75" hidden="false" customHeight="true" outlineLevel="0" collapsed="false">
      <c r="B61" s="15" t="s">
        <v>15248</v>
      </c>
      <c r="C61" s="161" t="n">
        <f aca="false">SUMPRODUCT((UPPER(H16:H55)=N16:N55)*(H16:H55&lt;&gt;""))</f>
        <v>0</v>
      </c>
      <c r="D61" s="15" t="s">
        <v>15249</v>
      </c>
    </row>
    <row r="62" customFormat="false" ht="16.5" hidden="false" customHeight="true" outlineLevel="0" collapsed="false">
      <c r="B62" s="15" t="s">
        <v>7997</v>
      </c>
      <c r="C62" s="160" t="n">
        <f aca="false">IFERROR(C61/C60,0)</f>
        <v>0</v>
      </c>
      <c r="D62" s="15" t="s">
        <v>15250</v>
      </c>
    </row>
    <row r="63" customFormat="false" ht="16.5" hidden="false" customHeight="true" outlineLevel="0" collapsed="false">
      <c r="B63" s="15" t="s">
        <v>3730</v>
      </c>
      <c r="C63" s="167" t="str">
        <f aca="false">IF(C60=0,"Not started",IF(C62&gt;=0.8,"Pass standard — 80% or better",IF(C62&gt;=0.7,"Close — review the questions you missed","Below the usual pass mark: work through the topic sheets in the last column")))</f>
        <v>Not started</v>
      </c>
      <c r="D63" s="15"/>
    </row>
    <row r="64" customFormat="false" ht="16.5" hidden="false" customHeight="true" outlineLevel="0" collapsed="false">
      <c r="B64" s="15" t="s">
        <v>15251</v>
      </c>
      <c r="C64" s="161" t="n">
        <f aca="false">COUNTIF(N16:N55,"A")</f>
        <v>10</v>
      </c>
      <c r="D64" s="15" t="s">
        <v>15252</v>
      </c>
    </row>
    <row r="65" customFormat="false" ht="16.5" hidden="false" customHeight="true" outlineLevel="0" collapsed="false">
      <c r="B65" s="15" t="s">
        <v>15253</v>
      </c>
      <c r="C65" s="161" t="n">
        <f aca="false">COUNTIF(N16:N55,"B")</f>
        <v>10</v>
      </c>
      <c r="D65" s="15"/>
    </row>
    <row r="66" customFormat="false" ht="16.5" hidden="false" customHeight="true" outlineLevel="0" collapsed="false">
      <c r="B66" s="15" t="s">
        <v>15254</v>
      </c>
      <c r="C66" s="161" t="n">
        <f aca="false">COUNTIF(N16:N55,"C")</f>
        <v>10</v>
      </c>
      <c r="D66" s="15"/>
    </row>
    <row r="67" customFormat="false" ht="16.5" hidden="false" customHeight="true" outlineLevel="0" collapsed="false">
      <c r="B67" s="15" t="s">
        <v>15255</v>
      </c>
      <c r="C67" s="161" t="n">
        <f aca="false">COUNTIF(N16:N55,"D")</f>
        <v>10</v>
      </c>
      <c r="D67" s="15"/>
    </row>
    <row r="69" customFormat="false" ht="15.75" hidden="false" customHeight="true" outlineLevel="0" collapsed="false">
      <c r="B69" s="103" t="s">
        <v>13754</v>
      </c>
      <c r="C69" s="8"/>
      <c r="D69" s="8"/>
      <c r="E69" s="8"/>
      <c r="F69" s="8"/>
      <c r="G69" s="8"/>
      <c r="H69" s="8"/>
      <c r="I69" s="8"/>
      <c r="J69" s="8"/>
      <c r="K69" s="8"/>
    </row>
    <row r="70" customFormat="false" ht="30.75" hidden="false" customHeight="true" outlineLevel="0" collapsed="false">
      <c r="B70" s="152" t="s">
        <v>1523</v>
      </c>
      <c r="C70" s="152" t="s">
        <v>1524</v>
      </c>
      <c r="D70" s="152" t="s">
        <v>6719</v>
      </c>
    </row>
    <row r="71" customFormat="false" ht="16.5" hidden="false" customHeight="true" outlineLevel="0" collapsed="false">
      <c r="B71" s="170" t="s">
        <v>15467</v>
      </c>
      <c r="C71" s="170" t="s">
        <v>15468</v>
      </c>
      <c r="D71" s="170" t="s">
        <v>15469</v>
      </c>
    </row>
  </sheetData>
  <mergeCells count="7">
    <mergeCell ref="B2:J2"/>
    <mergeCell ref="D3:E3"/>
    <mergeCell ref="B6:D7"/>
    <mergeCell ref="B8:D10"/>
    <mergeCell ref="B12:D12"/>
    <mergeCell ref="B13:D13"/>
    <mergeCell ref="B57:D57"/>
  </mergeCells>
  <hyperlinks>
    <hyperlink ref="B3" location="'N-03 Index DMAIC'!A1" display="← Back to Index"/>
    <hyperlink ref="I16" location="'E-23 1-Sample t-Test'!A1" display="E-23 1-Sample t-Test"/>
    <hyperlink ref="I17" location="'E-17 Hypothesis Framework'!A1" display="E-17 Hypothesis Framework"/>
    <hyperlink ref="I18" location="'E-23 1-Sample t-Test'!A1" display="E-23 1-Sample t-Test"/>
    <hyperlink ref="I19" location="'E-24 2-Sample t-Test'!A1" display="E-24 2-Sample t-Test"/>
    <hyperlink ref="I20" location="'E-24 2-Sample t-Test'!A1" display="E-24 2-Sample t-Test"/>
    <hyperlink ref="I21" location="'E-24 2-Sample t-Test'!A1" display="E-24 2-Sample t-Test"/>
    <hyperlink ref="I22" location="'E-25 Paired t-Test'!A1" display="E-25 Paired t-Test"/>
    <hyperlink ref="I23" location="'E-25 Paired t-Test'!A1" display="E-25 Paired t-Test"/>
    <hyperlink ref="I24" location="'E-26 One-Way ANOVA'!A1" display="E-26 One-Way ANOVA"/>
    <hyperlink ref="I25" location="'E-26 One-Way ANOVA'!A1" display="E-26 One-Way ANOVA"/>
    <hyperlink ref="I26" location="'E-26 One-Way ANOVA'!A1" display="E-26 One-Way ANOVA"/>
    <hyperlink ref="I27" location="'E-26 One-Way ANOVA'!A1" display="E-26 One-Way ANOVA"/>
    <hyperlink ref="I28" location="'E-26 One-Way ANOVA'!A1" display="E-26 One-Way ANOVA"/>
    <hyperlink ref="I29" location="'E-28 Variance Tests'!A1" display="E-28 Variance Tests"/>
    <hyperlink ref="I30" location="'E-29 Proportion Tests'!A1" display="E-29 Proportion Tests"/>
    <hyperlink ref="I31" location="'E-30 Chi-Square Tests'!A1" display="E-30 Chi-Square Tests"/>
    <hyperlink ref="I32" location="'E-30 Chi-Square Tests'!A1" display="E-30 Chi-Square Tests"/>
    <hyperlink ref="I33" location="'E-31 Nonparametric Tests'!A1" display="E-31 Nonparametric Tests"/>
    <hyperlink ref="I34" location="'E-31 Nonparametric Tests'!A1" display="E-31 Nonparametric Tests"/>
    <hyperlink ref="I35" location="'E-31 Nonparametric Tests'!A1" display="E-31 Nonparametric Tests"/>
    <hyperlink ref="I36" location="'E-32 Normality Testing'!A1" display="E-32 Normality Testing"/>
    <hyperlink ref="I37" location="'E-32 Normality Testing'!A1" display="E-32 Normality Testing"/>
    <hyperlink ref="I38" location="'E-32 Normality Testing'!A1" display="E-32 Normality Testing"/>
    <hyperlink ref="I39" location="'E-33 When Assumptions Fail'!A1" display="E-33 When Assumptions Fail"/>
    <hyperlink ref="I40" location="'E-33 When Assumptions Fail'!A1" display="E-33 When Assumptions Fail"/>
    <hyperlink ref="I41" location="'E-34 Correlation'!A1" display="E-34 Correlation"/>
    <hyperlink ref="I42" location="'E-35 Correlation vs Causation'!A1" display="E-35 Correlation vs Causation"/>
    <hyperlink ref="I43" location="'E-36 Simple Regression'!A1" display="E-36 Simple Regression"/>
    <hyperlink ref="I44" location="'E-37 Residual Analysis'!A1" display="E-37 Residual Analysis"/>
    <hyperlink ref="I45" location="'E-37 Residual Analysis'!A1" display="E-37 Residual Analysis"/>
    <hyperlink ref="I46" location="'E-37 Residual Analysis'!A1" display="E-37 Residual Analysis"/>
    <hyperlink ref="I47" location="'E-38 Multiple Regression'!A1" display="E-38 Multiple Regression"/>
    <hyperlink ref="I48" location="'E-38 Multiple Regression'!A1" display="E-38 Multiple Regression"/>
    <hyperlink ref="I49" location="'E-39 Logistic Regression'!A1" display="E-39 Logistic Regression"/>
    <hyperlink ref="I50" location="'E-40 Multi-Vari Analysis'!A1" display="E-40 Multi-Vari Analysis"/>
    <hyperlink ref="I51" location="'E-15 CI Mean'!A1" display="E-15 CI Mean"/>
    <hyperlink ref="I52" location="'E-19 Type I II Error Power'!A1" display="E-19 Type I II Error Power"/>
    <hyperlink ref="I53" location="'E-19 Type I II Error Power'!A1" display="E-19 Type I II Error Power"/>
    <hyperlink ref="I54" location="'E-30 Chi-Square Tests'!A1" display="E-30 Chi-Square Tests"/>
    <hyperlink ref="I55" location="'H-07 Histogram and Box Plot'!A1" display="H-07 Histogram and Box Plot"/>
    <hyperlink ref="B71" location="'U-08 Exam Bank Foundations'!A1" display="U-08  Exam Bank: Foundations"/>
    <hyperlink ref="C71" location="'U-10 Exam Bank Advanced'!A1" display="U-10  Exam Bank: Advanced"/>
    <hyperlink ref="D71" location="'N-05 Test Selector'!A1" display="N-05  Statistical Test Selecto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O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76"/>
    <col collapsed="false" customWidth="true" hidden="false" outlineLevel="0" max="7" min="4" style="1" width="34"/>
    <col collapsed="false" customWidth="true" hidden="false" outlineLevel="0" max="8" min="8" style="1" width="15"/>
    <col collapsed="false" customWidth="true" hidden="false" outlineLevel="0" max="9" min="9" style="1" width="30"/>
    <col collapsed="false" customWidth="true" hidden="false" outlineLevel="0" max="10" min="10" style="1" width="14"/>
    <col collapsed="false" customWidth="true" hidden="false" outlineLevel="0" max="11" min="11" style="1" width="40"/>
    <col collapsed="false" customWidth="true" hidden="false" outlineLevel="0" max="14" min="12" style="1" width="13"/>
    <col collapsed="false" customWidth="true" hidden="false" outlineLevel="0" max="15" min="15" style="1" width="76"/>
  </cols>
  <sheetData>
    <row r="1" customFormat="false" ht="15" hidden="false" customHeight="true" outlineLevel="0" collapsed="false">
      <c r="A1" s="147" t="s">
        <v>0</v>
      </c>
    </row>
    <row r="2" customFormat="false" ht="22.5" hidden="false" customHeight="true" outlineLevel="0" collapsed="false">
      <c r="B2" s="148" t="s">
        <v>15470</v>
      </c>
      <c r="C2" s="148"/>
      <c r="D2" s="148"/>
      <c r="E2" s="148"/>
      <c r="F2" s="148"/>
      <c r="G2" s="148"/>
      <c r="H2" s="148"/>
      <c r="I2" s="148"/>
      <c r="J2" s="148"/>
      <c r="K2" s="202" t="s">
        <v>2</v>
      </c>
    </row>
    <row r="3" customFormat="false" ht="28.5" hidden="false" customHeight="true" outlineLevel="0" collapsed="false">
      <c r="B3" s="150" t="s">
        <v>3</v>
      </c>
      <c r="D3" s="151" t="s">
        <v>15026</v>
      </c>
      <c r="E3" s="151"/>
    </row>
    <row r="5" customFormat="false" ht="15.75" hidden="false" customHeight="true" outlineLevel="0" collapsed="false">
      <c r="B5" s="103" t="s">
        <v>5</v>
      </c>
      <c r="C5" s="8"/>
      <c r="D5" s="8"/>
      <c r="E5" s="8"/>
      <c r="F5" s="8"/>
      <c r="G5" s="8"/>
      <c r="H5" s="8"/>
      <c r="I5" s="8"/>
      <c r="J5" s="8"/>
      <c r="K5" s="8"/>
    </row>
    <row r="6" customFormat="false" ht="15.75" hidden="false" customHeight="true" outlineLevel="0" collapsed="false">
      <c r="B6" s="106" t="s">
        <v>15471</v>
      </c>
      <c r="C6" s="106"/>
      <c r="D6" s="106"/>
    </row>
    <row r="7" customFormat="false" ht="15.75" hidden="false" customHeight="true" outlineLevel="0" collapsed="false">
      <c r="B7" s="106"/>
      <c r="C7" s="106"/>
      <c r="D7" s="106"/>
    </row>
    <row r="8" customFormat="false" ht="10.5" hidden="false" customHeight="true" outlineLevel="0" collapsed="false">
      <c r="B8" s="106" t="s">
        <v>15472</v>
      </c>
      <c r="C8" s="106"/>
      <c r="D8" s="106"/>
    </row>
    <row r="9" customFormat="false" ht="10.5" hidden="false" customHeight="true" outlineLevel="0" collapsed="false">
      <c r="B9" s="106"/>
      <c r="C9" s="106"/>
      <c r="D9" s="106"/>
    </row>
    <row r="10" customFormat="false" ht="10.5" hidden="false" customHeight="true" outlineLevel="0" collapsed="false">
      <c r="B10" s="106"/>
      <c r="C10" s="106"/>
      <c r="D10" s="106"/>
    </row>
    <row r="12" customFormat="false" ht="17.25" hidden="false" customHeight="true" outlineLevel="0" collapsed="false">
      <c r="B12" s="107" t="s">
        <v>15473</v>
      </c>
      <c r="C12" s="107"/>
      <c r="D12" s="107"/>
    </row>
    <row r="13" customFormat="false" ht="28.5" hidden="false" customHeight="true" outlineLevel="0" collapsed="false">
      <c r="B13" s="182" t="s">
        <v>15031</v>
      </c>
      <c r="C13" s="182"/>
      <c r="D13" s="182"/>
    </row>
    <row r="15" customFormat="false" ht="16.5" hidden="false" customHeight="true" outlineLevel="0" collapsed="false">
      <c r="B15" s="152" t="s">
        <v>6912</v>
      </c>
      <c r="C15" s="152" t="s">
        <v>7242</v>
      </c>
      <c r="D15" s="152" t="s">
        <v>378</v>
      </c>
      <c r="E15" s="152" t="s">
        <v>5359</v>
      </c>
      <c r="F15" s="152" t="s">
        <v>640</v>
      </c>
      <c r="G15" s="152" t="s">
        <v>175</v>
      </c>
      <c r="H15" s="152" t="s">
        <v>15032</v>
      </c>
      <c r="I15" s="152" t="s">
        <v>15033</v>
      </c>
      <c r="N15" s="105" t="s">
        <v>1515</v>
      </c>
      <c r="O15" s="105" t="s">
        <v>15034</v>
      </c>
    </row>
    <row r="16" customFormat="false" ht="30.75" hidden="false" customHeight="true" outlineLevel="0" collapsed="false">
      <c r="B16" s="15" t="n">
        <v>1</v>
      </c>
      <c r="C16" s="15" t="s">
        <v>15474</v>
      </c>
      <c r="D16" s="15" t="s">
        <v>15475</v>
      </c>
      <c r="E16" s="15" t="s">
        <v>15476</v>
      </c>
      <c r="F16" s="15" t="s">
        <v>15477</v>
      </c>
      <c r="G16" s="15" t="s">
        <v>15478</v>
      </c>
      <c r="H16" s="177"/>
      <c r="I16" s="153" t="s">
        <v>14271</v>
      </c>
      <c r="N16" s="120" t="s">
        <v>378</v>
      </c>
      <c r="O16" s="120" t="s">
        <v>15479</v>
      </c>
    </row>
    <row r="17" customFormat="false" ht="30.75" hidden="false" customHeight="true" outlineLevel="0" collapsed="false">
      <c r="B17" s="15" t="n">
        <v>2</v>
      </c>
      <c r="C17" s="15" t="s">
        <v>15480</v>
      </c>
      <c r="D17" s="15" t="s">
        <v>15166</v>
      </c>
      <c r="E17" s="15" t="s">
        <v>15481</v>
      </c>
      <c r="F17" s="15" t="s">
        <v>5475</v>
      </c>
      <c r="G17" s="15" t="s">
        <v>15414</v>
      </c>
      <c r="H17" s="177"/>
      <c r="I17" s="153" t="s">
        <v>14271</v>
      </c>
      <c r="N17" s="120" t="s">
        <v>5359</v>
      </c>
      <c r="O17" s="120" t="s">
        <v>15482</v>
      </c>
    </row>
    <row r="18" customFormat="false" ht="30.75" hidden="false" customHeight="true" outlineLevel="0" collapsed="false">
      <c r="B18" s="15" t="n">
        <v>3</v>
      </c>
      <c r="C18" s="15" t="s">
        <v>15483</v>
      </c>
      <c r="D18" s="15" t="s">
        <v>15484</v>
      </c>
      <c r="E18" s="15" t="s">
        <v>13746</v>
      </c>
      <c r="F18" s="15" t="s">
        <v>8035</v>
      </c>
      <c r="G18" s="15" t="s">
        <v>15485</v>
      </c>
      <c r="H18" s="177"/>
      <c r="I18" s="153" t="s">
        <v>5180</v>
      </c>
      <c r="N18" s="120" t="s">
        <v>640</v>
      </c>
      <c r="O18" s="120" t="s">
        <v>15486</v>
      </c>
    </row>
    <row r="19" customFormat="false" ht="44.25" hidden="false" customHeight="true" outlineLevel="0" collapsed="false">
      <c r="B19" s="15" t="n">
        <v>4</v>
      </c>
      <c r="C19" s="15" t="s">
        <v>15487</v>
      </c>
      <c r="D19" s="15" t="s">
        <v>15488</v>
      </c>
      <c r="E19" s="15" t="s">
        <v>15489</v>
      </c>
      <c r="F19" s="15" t="s">
        <v>15490</v>
      </c>
      <c r="G19" s="15" t="s">
        <v>15491</v>
      </c>
      <c r="H19" s="177"/>
      <c r="I19" s="153" t="s">
        <v>5180</v>
      </c>
      <c r="N19" s="120" t="s">
        <v>175</v>
      </c>
      <c r="O19" s="120" t="s">
        <v>15492</v>
      </c>
    </row>
    <row r="20" customFormat="false" ht="30.75" hidden="false" customHeight="true" outlineLevel="0" collapsed="false">
      <c r="B20" s="15" t="n">
        <v>5</v>
      </c>
      <c r="C20" s="15" t="s">
        <v>15493</v>
      </c>
      <c r="D20" s="15" t="s">
        <v>13746</v>
      </c>
      <c r="E20" s="15" t="s">
        <v>13749</v>
      </c>
      <c r="F20" s="15" t="s">
        <v>8035</v>
      </c>
      <c r="G20" s="15" t="s">
        <v>6931</v>
      </c>
      <c r="H20" s="177"/>
      <c r="I20" s="153" t="s">
        <v>5184</v>
      </c>
      <c r="N20" s="120" t="s">
        <v>378</v>
      </c>
      <c r="O20" s="120" t="s">
        <v>15494</v>
      </c>
    </row>
    <row r="21" customFormat="false" ht="58.5" hidden="false" customHeight="true" outlineLevel="0" collapsed="false">
      <c r="B21" s="15" t="n">
        <v>6</v>
      </c>
      <c r="C21" s="15" t="s">
        <v>15495</v>
      </c>
      <c r="D21" s="15" t="s">
        <v>15496</v>
      </c>
      <c r="E21" s="15" t="s">
        <v>15497</v>
      </c>
      <c r="F21" s="15" t="s">
        <v>15498</v>
      </c>
      <c r="G21" s="15" t="s">
        <v>15499</v>
      </c>
      <c r="H21" s="177"/>
      <c r="I21" s="153" t="s">
        <v>5184</v>
      </c>
      <c r="N21" s="120" t="s">
        <v>5359</v>
      </c>
      <c r="O21" s="120" t="s">
        <v>15500</v>
      </c>
    </row>
    <row r="22" customFormat="false" ht="30.75" hidden="false" customHeight="true" outlineLevel="0" collapsed="false">
      <c r="B22" s="15" t="n">
        <v>7</v>
      </c>
      <c r="C22" s="15" t="s">
        <v>15501</v>
      </c>
      <c r="D22" s="15" t="s">
        <v>15502</v>
      </c>
      <c r="E22" s="15" t="s">
        <v>15503</v>
      </c>
      <c r="F22" s="15" t="s">
        <v>15504</v>
      </c>
      <c r="G22" s="15" t="s">
        <v>15505</v>
      </c>
      <c r="H22" s="177"/>
      <c r="I22" s="153" t="s">
        <v>5184</v>
      </c>
      <c r="N22" s="120" t="s">
        <v>640</v>
      </c>
      <c r="O22" s="120" t="s">
        <v>15506</v>
      </c>
    </row>
    <row r="23" customFormat="false" ht="30.75" hidden="false" customHeight="true" outlineLevel="0" collapsed="false">
      <c r="B23" s="15" t="n">
        <v>8</v>
      </c>
      <c r="C23" s="15" t="s">
        <v>15507</v>
      </c>
      <c r="D23" s="15" t="s">
        <v>15508</v>
      </c>
      <c r="E23" s="15" t="s">
        <v>15509</v>
      </c>
      <c r="F23" s="15" t="s">
        <v>15510</v>
      </c>
      <c r="G23" s="15" t="s">
        <v>15511</v>
      </c>
      <c r="H23" s="177"/>
      <c r="I23" s="153" t="s">
        <v>5192</v>
      </c>
      <c r="N23" s="120" t="s">
        <v>175</v>
      </c>
      <c r="O23" s="120" t="s">
        <v>15512</v>
      </c>
    </row>
    <row r="24" customFormat="false" ht="30.75" hidden="false" customHeight="true" outlineLevel="0" collapsed="false">
      <c r="B24" s="15" t="n">
        <v>9</v>
      </c>
      <c r="C24" s="15" t="s">
        <v>15513</v>
      </c>
      <c r="D24" s="15" t="s">
        <v>15514</v>
      </c>
      <c r="E24" s="15" t="s">
        <v>15515</v>
      </c>
      <c r="F24" s="15" t="s">
        <v>15516</v>
      </c>
      <c r="G24" s="15" t="s">
        <v>15517</v>
      </c>
      <c r="H24" s="177"/>
      <c r="I24" s="153" t="s">
        <v>5196</v>
      </c>
      <c r="N24" s="120" t="s">
        <v>378</v>
      </c>
      <c r="O24" s="120" t="s">
        <v>15518</v>
      </c>
    </row>
    <row r="25" customFormat="false" ht="44.25" hidden="false" customHeight="true" outlineLevel="0" collapsed="false">
      <c r="B25" s="15" t="n">
        <v>10</v>
      </c>
      <c r="C25" s="15" t="s">
        <v>15519</v>
      </c>
      <c r="D25" s="15" t="s">
        <v>15520</v>
      </c>
      <c r="E25" s="15" t="s">
        <v>15521</v>
      </c>
      <c r="F25" s="15" t="s">
        <v>15522</v>
      </c>
      <c r="G25" s="15" t="s">
        <v>15523</v>
      </c>
      <c r="H25" s="177"/>
      <c r="I25" s="153" t="s">
        <v>5188</v>
      </c>
      <c r="N25" s="120" t="s">
        <v>5359</v>
      </c>
      <c r="O25" s="120" t="s">
        <v>15524</v>
      </c>
    </row>
    <row r="26" customFormat="false" ht="30.75" hidden="false" customHeight="true" outlineLevel="0" collapsed="false">
      <c r="B26" s="15" t="n">
        <v>11</v>
      </c>
      <c r="C26" s="15" t="s">
        <v>15525</v>
      </c>
      <c r="D26" s="15" t="s">
        <v>15526</v>
      </c>
      <c r="E26" s="15" t="s">
        <v>15527</v>
      </c>
      <c r="F26" s="15" t="s">
        <v>15528</v>
      </c>
      <c r="G26" s="15" t="s">
        <v>15529</v>
      </c>
      <c r="H26" s="177"/>
      <c r="I26" s="153" t="s">
        <v>14232</v>
      </c>
      <c r="N26" s="120" t="s">
        <v>640</v>
      </c>
      <c r="O26" s="120" t="s">
        <v>15530</v>
      </c>
    </row>
    <row r="27" customFormat="false" ht="44.25" hidden="false" customHeight="true" outlineLevel="0" collapsed="false">
      <c r="B27" s="15" t="n">
        <v>12</v>
      </c>
      <c r="C27" s="15" t="s">
        <v>15531</v>
      </c>
      <c r="D27" s="15" t="s">
        <v>15532</v>
      </c>
      <c r="E27" s="15" t="s">
        <v>15533</v>
      </c>
      <c r="F27" s="15" t="s">
        <v>15534</v>
      </c>
      <c r="G27" s="15" t="s">
        <v>15535</v>
      </c>
      <c r="H27" s="177"/>
      <c r="I27" s="153" t="s">
        <v>14232</v>
      </c>
      <c r="N27" s="120" t="s">
        <v>175</v>
      </c>
      <c r="O27" s="120" t="s">
        <v>15536</v>
      </c>
    </row>
    <row r="28" customFormat="false" ht="30.75" hidden="false" customHeight="true" outlineLevel="0" collapsed="false">
      <c r="B28" s="15" t="n">
        <v>13</v>
      </c>
      <c r="C28" s="15" t="s">
        <v>15537</v>
      </c>
      <c r="D28" s="15" t="s">
        <v>15538</v>
      </c>
      <c r="E28" s="15" t="s">
        <v>15539</v>
      </c>
      <c r="F28" s="15" t="s">
        <v>15540</v>
      </c>
      <c r="G28" s="15" t="s">
        <v>15541</v>
      </c>
      <c r="H28" s="177"/>
      <c r="I28" s="153" t="s">
        <v>14232</v>
      </c>
      <c r="N28" s="120" t="s">
        <v>378</v>
      </c>
      <c r="O28" s="120" t="s">
        <v>15542</v>
      </c>
    </row>
    <row r="29" customFormat="false" ht="16.5" hidden="false" customHeight="true" outlineLevel="0" collapsed="false">
      <c r="B29" s="15" t="n">
        <v>14</v>
      </c>
      <c r="C29" s="15" t="s">
        <v>15543</v>
      </c>
      <c r="D29" s="15" t="s">
        <v>5726</v>
      </c>
      <c r="E29" s="15" t="s">
        <v>15544</v>
      </c>
      <c r="F29" s="15" t="s">
        <v>5736</v>
      </c>
      <c r="G29" s="15" t="s">
        <v>5738</v>
      </c>
      <c r="H29" s="177"/>
      <c r="I29" s="153" t="s">
        <v>5724</v>
      </c>
      <c r="N29" s="120" t="s">
        <v>5359</v>
      </c>
      <c r="O29" s="120" t="s">
        <v>15545</v>
      </c>
    </row>
    <row r="30" customFormat="false" ht="16.5" hidden="false" customHeight="true" outlineLevel="0" collapsed="false">
      <c r="B30" s="15" t="n">
        <v>15</v>
      </c>
      <c r="C30" s="15" t="s">
        <v>15546</v>
      </c>
      <c r="D30" s="15" t="s">
        <v>5741</v>
      </c>
      <c r="E30" s="15" t="s">
        <v>15544</v>
      </c>
      <c r="F30" s="15" t="s">
        <v>5726</v>
      </c>
      <c r="G30" s="15" t="s">
        <v>5736</v>
      </c>
      <c r="H30" s="177"/>
      <c r="I30" s="153" t="s">
        <v>5727</v>
      </c>
      <c r="N30" s="120" t="s">
        <v>640</v>
      </c>
      <c r="O30" s="120" t="s">
        <v>15547</v>
      </c>
    </row>
    <row r="31" customFormat="false" ht="30.75" hidden="false" customHeight="true" outlineLevel="0" collapsed="false">
      <c r="B31" s="15" t="n">
        <v>16</v>
      </c>
      <c r="C31" s="15" t="s">
        <v>15548</v>
      </c>
      <c r="D31" s="15" t="s">
        <v>15549</v>
      </c>
      <c r="E31" s="15" t="s">
        <v>15550</v>
      </c>
      <c r="F31" s="15" t="s">
        <v>15159</v>
      </c>
      <c r="G31" s="15" t="s">
        <v>15551</v>
      </c>
      <c r="H31" s="177"/>
      <c r="I31" s="153" t="s">
        <v>5730</v>
      </c>
      <c r="N31" s="120" t="s">
        <v>175</v>
      </c>
      <c r="O31" s="120" t="s">
        <v>15552</v>
      </c>
    </row>
    <row r="32" customFormat="false" ht="16.5" hidden="false" customHeight="true" outlineLevel="0" collapsed="false">
      <c r="B32" s="15" t="n">
        <v>17</v>
      </c>
      <c r="C32" s="15" t="s">
        <v>15553</v>
      </c>
      <c r="D32" s="15" t="s">
        <v>5736</v>
      </c>
      <c r="E32" s="15" t="s">
        <v>5738</v>
      </c>
      <c r="F32" s="15" t="s">
        <v>5741</v>
      </c>
      <c r="G32" s="15" t="s">
        <v>5733</v>
      </c>
      <c r="H32" s="177"/>
      <c r="I32" s="153" t="s">
        <v>5734</v>
      </c>
      <c r="N32" s="120" t="s">
        <v>378</v>
      </c>
      <c r="O32" s="120" t="s">
        <v>15554</v>
      </c>
    </row>
    <row r="33" customFormat="false" ht="30.75" hidden="false" customHeight="true" outlineLevel="0" collapsed="false">
      <c r="B33" s="15" t="n">
        <v>18</v>
      </c>
      <c r="C33" s="15" t="s">
        <v>15555</v>
      </c>
      <c r="D33" s="15" t="s">
        <v>5738</v>
      </c>
      <c r="E33" s="15" t="s">
        <v>5741</v>
      </c>
      <c r="F33" s="15" t="s">
        <v>5736</v>
      </c>
      <c r="G33" s="15" t="s">
        <v>5733</v>
      </c>
      <c r="H33" s="177"/>
      <c r="I33" s="153" t="s">
        <v>5739</v>
      </c>
      <c r="N33" s="120" t="s">
        <v>5359</v>
      </c>
      <c r="O33" s="120" t="s">
        <v>15556</v>
      </c>
    </row>
    <row r="34" customFormat="false" ht="44.25" hidden="false" customHeight="true" outlineLevel="0" collapsed="false">
      <c r="B34" s="15" t="n">
        <v>19</v>
      </c>
      <c r="C34" s="15" t="s">
        <v>15557</v>
      </c>
      <c r="D34" s="15" t="s">
        <v>15558</v>
      </c>
      <c r="E34" s="15" t="s">
        <v>15559</v>
      </c>
      <c r="F34" s="15" t="s">
        <v>15560</v>
      </c>
      <c r="G34" s="15" t="s">
        <v>15561</v>
      </c>
      <c r="H34" s="177"/>
      <c r="I34" s="153" t="s">
        <v>5745</v>
      </c>
      <c r="N34" s="120" t="s">
        <v>640</v>
      </c>
      <c r="O34" s="120" t="s">
        <v>15562</v>
      </c>
    </row>
    <row r="35" customFormat="false" ht="30.75" hidden="false" customHeight="true" outlineLevel="0" collapsed="false">
      <c r="B35" s="15" t="n">
        <v>20</v>
      </c>
      <c r="C35" s="15" t="s">
        <v>15563</v>
      </c>
      <c r="D35" s="15" t="s">
        <v>15564</v>
      </c>
      <c r="E35" s="15" t="s">
        <v>15414</v>
      </c>
      <c r="F35" s="15" t="s">
        <v>15565</v>
      </c>
      <c r="G35" s="15" t="s">
        <v>15566</v>
      </c>
      <c r="H35" s="177"/>
      <c r="I35" s="153" t="s">
        <v>5748</v>
      </c>
      <c r="N35" s="120" t="s">
        <v>175</v>
      </c>
      <c r="O35" s="120" t="s">
        <v>15567</v>
      </c>
    </row>
    <row r="36" customFormat="false" ht="30.75" hidden="false" customHeight="true" outlineLevel="0" collapsed="false">
      <c r="B36" s="15" t="n">
        <v>21</v>
      </c>
      <c r="C36" s="15" t="s">
        <v>15568</v>
      </c>
      <c r="D36" s="15" t="s">
        <v>15569</v>
      </c>
      <c r="E36" s="15" t="s">
        <v>15570</v>
      </c>
      <c r="F36" s="15" t="s">
        <v>15571</v>
      </c>
      <c r="G36" s="15" t="s">
        <v>15572</v>
      </c>
      <c r="H36" s="177"/>
      <c r="I36" s="153" t="s">
        <v>14867</v>
      </c>
      <c r="N36" s="120" t="s">
        <v>378</v>
      </c>
      <c r="O36" s="120" t="s">
        <v>15573</v>
      </c>
    </row>
    <row r="37" customFormat="false" ht="30.75" hidden="false" customHeight="true" outlineLevel="0" collapsed="false">
      <c r="B37" s="15" t="n">
        <v>22</v>
      </c>
      <c r="C37" s="15" t="s">
        <v>15574</v>
      </c>
      <c r="D37" s="15" t="s">
        <v>15575</v>
      </c>
      <c r="E37" s="15" t="s">
        <v>15576</v>
      </c>
      <c r="F37" s="15" t="s">
        <v>15577</v>
      </c>
      <c r="G37" s="15" t="s">
        <v>15197</v>
      </c>
      <c r="H37" s="177"/>
      <c r="I37" s="153" t="s">
        <v>14867</v>
      </c>
      <c r="N37" s="120" t="s">
        <v>5359</v>
      </c>
      <c r="O37" s="120" t="s">
        <v>15578</v>
      </c>
    </row>
    <row r="38" customFormat="false" ht="30.75" hidden="false" customHeight="true" outlineLevel="0" collapsed="false">
      <c r="B38" s="15" t="n">
        <v>23</v>
      </c>
      <c r="C38" s="15" t="s">
        <v>15579</v>
      </c>
      <c r="D38" s="15" t="s">
        <v>15580</v>
      </c>
      <c r="E38" s="15" t="s">
        <v>15581</v>
      </c>
      <c r="F38" s="15" t="s">
        <v>15582</v>
      </c>
      <c r="G38" s="15" t="s">
        <v>15583</v>
      </c>
      <c r="H38" s="177"/>
      <c r="I38" s="153" t="s">
        <v>14297</v>
      </c>
      <c r="N38" s="120" t="s">
        <v>640</v>
      </c>
      <c r="O38" s="120" t="s">
        <v>15584</v>
      </c>
    </row>
    <row r="39" customFormat="false" ht="30.75" hidden="false" customHeight="true" outlineLevel="0" collapsed="false">
      <c r="B39" s="15" t="n">
        <v>24</v>
      </c>
      <c r="C39" s="15" t="s">
        <v>15585</v>
      </c>
      <c r="D39" s="15" t="s">
        <v>15361</v>
      </c>
      <c r="E39" s="15" t="s">
        <v>15586</v>
      </c>
      <c r="F39" s="15" t="s">
        <v>15587</v>
      </c>
      <c r="G39" s="15" t="s">
        <v>15588</v>
      </c>
      <c r="H39" s="177"/>
      <c r="I39" s="153" t="s">
        <v>14297</v>
      </c>
      <c r="N39" s="120" t="s">
        <v>175</v>
      </c>
      <c r="O39" s="120" t="s">
        <v>15589</v>
      </c>
    </row>
    <row r="40" customFormat="false" ht="44.25" hidden="false" customHeight="true" outlineLevel="0" collapsed="false">
      <c r="B40" s="15" t="n">
        <v>25</v>
      </c>
      <c r="C40" s="15" t="s">
        <v>15590</v>
      </c>
      <c r="D40" s="15" t="s">
        <v>15591</v>
      </c>
      <c r="E40" s="15" t="s">
        <v>15414</v>
      </c>
      <c r="F40" s="15" t="s">
        <v>15592</v>
      </c>
      <c r="G40" s="15" t="s">
        <v>15593</v>
      </c>
      <c r="H40" s="177"/>
      <c r="I40" s="153" t="s">
        <v>14297</v>
      </c>
      <c r="N40" s="120" t="s">
        <v>378</v>
      </c>
      <c r="O40" s="120" t="s">
        <v>15594</v>
      </c>
    </row>
    <row r="41" customFormat="false" ht="44.25" hidden="false" customHeight="true" outlineLevel="0" collapsed="false">
      <c r="B41" s="15" t="n">
        <v>26</v>
      </c>
      <c r="C41" s="15" t="s">
        <v>15595</v>
      </c>
      <c r="D41" s="15" t="s">
        <v>15596</v>
      </c>
      <c r="E41" s="15" t="s">
        <v>15597</v>
      </c>
      <c r="F41" s="15" t="s">
        <v>15598</v>
      </c>
      <c r="G41" s="15" t="s">
        <v>15599</v>
      </c>
      <c r="H41" s="177"/>
      <c r="I41" s="153" t="s">
        <v>14297</v>
      </c>
      <c r="N41" s="120" t="s">
        <v>5359</v>
      </c>
      <c r="O41" s="120" t="s">
        <v>15600</v>
      </c>
    </row>
    <row r="42" customFormat="false" ht="44.25" hidden="false" customHeight="true" outlineLevel="0" collapsed="false">
      <c r="B42" s="15" t="n">
        <v>27</v>
      </c>
      <c r="C42" s="15" t="s">
        <v>15601</v>
      </c>
      <c r="D42" s="15" t="s">
        <v>15602</v>
      </c>
      <c r="E42" s="15" t="s">
        <v>15603</v>
      </c>
      <c r="F42" s="15" t="s">
        <v>15604</v>
      </c>
      <c r="G42" s="15" t="s">
        <v>15605</v>
      </c>
      <c r="H42" s="177"/>
      <c r="I42" s="153" t="s">
        <v>14297</v>
      </c>
      <c r="N42" s="120" t="s">
        <v>640</v>
      </c>
      <c r="O42" s="120" t="s">
        <v>15606</v>
      </c>
    </row>
    <row r="43" customFormat="false" ht="44.25" hidden="false" customHeight="true" outlineLevel="0" collapsed="false">
      <c r="B43" s="15" t="n">
        <v>28</v>
      </c>
      <c r="C43" s="15" t="s">
        <v>15607</v>
      </c>
      <c r="D43" s="15" t="s">
        <v>15608</v>
      </c>
      <c r="E43" s="15" t="s">
        <v>15609</v>
      </c>
      <c r="F43" s="15" t="s">
        <v>15610</v>
      </c>
      <c r="G43" s="15" t="s">
        <v>15611</v>
      </c>
      <c r="H43" s="177"/>
      <c r="I43" s="153" t="s">
        <v>15612</v>
      </c>
      <c r="N43" s="120" t="s">
        <v>175</v>
      </c>
      <c r="O43" s="120" t="s">
        <v>15613</v>
      </c>
    </row>
    <row r="44" customFormat="false" ht="30.75" hidden="false" customHeight="true" outlineLevel="0" collapsed="false">
      <c r="B44" s="15" t="n">
        <v>29</v>
      </c>
      <c r="C44" s="15" t="s">
        <v>15614</v>
      </c>
      <c r="D44" s="15" t="s">
        <v>15615</v>
      </c>
      <c r="E44" s="15" t="s">
        <v>14395</v>
      </c>
      <c r="F44" s="15" t="s">
        <v>182</v>
      </c>
      <c r="G44" s="15" t="s">
        <v>14630</v>
      </c>
      <c r="H44" s="177"/>
      <c r="I44" s="153" t="s">
        <v>14565</v>
      </c>
      <c r="N44" s="120" t="s">
        <v>378</v>
      </c>
      <c r="O44" s="120" t="s">
        <v>15616</v>
      </c>
    </row>
    <row r="45" customFormat="false" ht="30.75" hidden="false" customHeight="true" outlineLevel="0" collapsed="false">
      <c r="B45" s="15" t="n">
        <v>30</v>
      </c>
      <c r="C45" s="15" t="s">
        <v>15617</v>
      </c>
      <c r="D45" s="15" t="s">
        <v>15618</v>
      </c>
      <c r="E45" s="15" t="s">
        <v>15619</v>
      </c>
      <c r="F45" s="15" t="s">
        <v>15620</v>
      </c>
      <c r="G45" s="15" t="s">
        <v>15621</v>
      </c>
      <c r="H45" s="177"/>
      <c r="I45" s="153" t="s">
        <v>14565</v>
      </c>
      <c r="N45" s="120" t="s">
        <v>5359</v>
      </c>
      <c r="O45" s="120" t="s">
        <v>15622</v>
      </c>
    </row>
    <row r="46" customFormat="false" ht="30.75" hidden="false" customHeight="true" outlineLevel="0" collapsed="false">
      <c r="B46" s="15" t="n">
        <v>31</v>
      </c>
      <c r="C46" s="15" t="s">
        <v>15623</v>
      </c>
      <c r="D46" s="15" t="s">
        <v>15624</v>
      </c>
      <c r="E46" s="15" t="s">
        <v>15625</v>
      </c>
      <c r="F46" s="15" t="s">
        <v>15626</v>
      </c>
      <c r="G46" s="15" t="s">
        <v>7484</v>
      </c>
      <c r="H46" s="177"/>
      <c r="I46" s="153" t="s">
        <v>14379</v>
      </c>
      <c r="N46" s="120" t="s">
        <v>640</v>
      </c>
      <c r="O46" s="120" t="s">
        <v>15627</v>
      </c>
    </row>
    <row r="47" customFormat="false" ht="30.75" hidden="false" customHeight="true" outlineLevel="0" collapsed="false">
      <c r="B47" s="15" t="n">
        <v>32</v>
      </c>
      <c r="C47" s="15" t="s">
        <v>15628</v>
      </c>
      <c r="D47" s="15" t="s">
        <v>15629</v>
      </c>
      <c r="E47" s="15" t="s">
        <v>15630</v>
      </c>
      <c r="F47" s="15" t="s">
        <v>15631</v>
      </c>
      <c r="G47" s="15" t="s">
        <v>15632</v>
      </c>
      <c r="H47" s="177"/>
      <c r="I47" s="153" t="s">
        <v>14516</v>
      </c>
      <c r="N47" s="120" t="s">
        <v>175</v>
      </c>
      <c r="O47" s="120" t="s">
        <v>15633</v>
      </c>
    </row>
    <row r="48" customFormat="false" ht="30.75" hidden="false" customHeight="true" outlineLevel="0" collapsed="false">
      <c r="B48" s="15" t="n">
        <v>33</v>
      </c>
      <c r="C48" s="15" t="s">
        <v>15634</v>
      </c>
      <c r="D48" s="15" t="s">
        <v>15635</v>
      </c>
      <c r="E48" s="15" t="s">
        <v>15636</v>
      </c>
      <c r="F48" s="15" t="s">
        <v>15637</v>
      </c>
      <c r="G48" s="15" t="s">
        <v>15638</v>
      </c>
      <c r="H48" s="177"/>
      <c r="I48" s="153" t="s">
        <v>14275</v>
      </c>
      <c r="N48" s="120" t="s">
        <v>378</v>
      </c>
      <c r="O48" s="120" t="s">
        <v>15639</v>
      </c>
    </row>
    <row r="49" customFormat="false" ht="30.75" hidden="false" customHeight="true" outlineLevel="0" collapsed="false">
      <c r="B49" s="15" t="n">
        <v>34</v>
      </c>
      <c r="C49" s="15" t="s">
        <v>15640</v>
      </c>
      <c r="D49" s="15" t="s">
        <v>15641</v>
      </c>
      <c r="E49" s="15" t="s">
        <v>15642</v>
      </c>
      <c r="F49" s="15" t="s">
        <v>15643</v>
      </c>
      <c r="G49" s="15" t="s">
        <v>15644</v>
      </c>
      <c r="H49" s="177"/>
      <c r="I49" s="153" t="s">
        <v>14242</v>
      </c>
      <c r="N49" s="120" t="s">
        <v>5359</v>
      </c>
      <c r="O49" s="120" t="s">
        <v>15645</v>
      </c>
    </row>
    <row r="50" customFormat="false" ht="44.25" hidden="false" customHeight="true" outlineLevel="0" collapsed="false">
      <c r="B50" s="15" t="n">
        <v>35</v>
      </c>
      <c r="C50" s="15" t="s">
        <v>15646</v>
      </c>
      <c r="D50" s="15" t="s">
        <v>15647</v>
      </c>
      <c r="E50" s="15" t="s">
        <v>15648</v>
      </c>
      <c r="F50" s="15" t="s">
        <v>15649</v>
      </c>
      <c r="G50" s="15" t="s">
        <v>15650</v>
      </c>
      <c r="H50" s="177"/>
      <c r="I50" s="153" t="s">
        <v>14242</v>
      </c>
      <c r="N50" s="120" t="s">
        <v>640</v>
      </c>
      <c r="O50" s="120" t="s">
        <v>15651</v>
      </c>
    </row>
    <row r="51" customFormat="false" ht="30.75" hidden="false" customHeight="true" outlineLevel="0" collapsed="false">
      <c r="B51" s="15" t="n">
        <v>36</v>
      </c>
      <c r="C51" s="15" t="s">
        <v>15652</v>
      </c>
      <c r="D51" s="15" t="s">
        <v>15653</v>
      </c>
      <c r="E51" s="15" t="s">
        <v>15654</v>
      </c>
      <c r="F51" s="15" t="s">
        <v>15655</v>
      </c>
      <c r="G51" s="15" t="s">
        <v>15656</v>
      </c>
      <c r="H51" s="177"/>
      <c r="I51" s="153" t="s">
        <v>14313</v>
      </c>
      <c r="N51" s="120" t="s">
        <v>175</v>
      </c>
      <c r="O51" s="120" t="s">
        <v>15657</v>
      </c>
    </row>
    <row r="52" customFormat="false" ht="30.75" hidden="false" customHeight="true" outlineLevel="0" collapsed="false">
      <c r="B52" s="15" t="n">
        <v>37</v>
      </c>
      <c r="C52" s="15" t="s">
        <v>15658</v>
      </c>
      <c r="D52" s="15" t="s">
        <v>15659</v>
      </c>
      <c r="E52" s="15" t="s">
        <v>15660</v>
      </c>
      <c r="F52" s="15" t="s">
        <v>15661</v>
      </c>
      <c r="G52" s="15" t="s">
        <v>15662</v>
      </c>
      <c r="H52" s="177"/>
      <c r="I52" s="153" t="s">
        <v>14239</v>
      </c>
      <c r="N52" s="120" t="s">
        <v>378</v>
      </c>
      <c r="O52" s="120" t="s">
        <v>15663</v>
      </c>
    </row>
    <row r="53" customFormat="false" ht="30.75" hidden="false" customHeight="true" outlineLevel="0" collapsed="false">
      <c r="B53" s="15" t="n">
        <v>38</v>
      </c>
      <c r="C53" s="15" t="s">
        <v>15664</v>
      </c>
      <c r="D53" s="15" t="s">
        <v>15665</v>
      </c>
      <c r="E53" s="15" t="s">
        <v>15666</v>
      </c>
      <c r="F53" s="15" t="s">
        <v>15667</v>
      </c>
      <c r="G53" s="15" t="s">
        <v>15668</v>
      </c>
      <c r="H53" s="177"/>
      <c r="I53" s="153" t="s">
        <v>14552</v>
      </c>
      <c r="N53" s="120" t="s">
        <v>5359</v>
      </c>
      <c r="O53" s="120" t="s">
        <v>15669</v>
      </c>
    </row>
    <row r="54" customFormat="false" ht="44.25" hidden="false" customHeight="true" outlineLevel="0" collapsed="false">
      <c r="B54" s="15" t="n">
        <v>39</v>
      </c>
      <c r="C54" s="15" t="s">
        <v>15670</v>
      </c>
      <c r="D54" s="15" t="s">
        <v>15671</v>
      </c>
      <c r="E54" s="15" t="s">
        <v>15672</v>
      </c>
      <c r="F54" s="15" t="s">
        <v>15673</v>
      </c>
      <c r="G54" s="15" t="s">
        <v>15674</v>
      </c>
      <c r="H54" s="177"/>
      <c r="I54" s="153" t="s">
        <v>14203</v>
      </c>
      <c r="N54" s="120" t="s">
        <v>640</v>
      </c>
      <c r="O54" s="120" t="s">
        <v>15675</v>
      </c>
    </row>
    <row r="55" customFormat="false" ht="44.25" hidden="false" customHeight="true" outlineLevel="0" collapsed="false">
      <c r="B55" s="15" t="n">
        <v>40</v>
      </c>
      <c r="C55" s="15" t="s">
        <v>15676</v>
      </c>
      <c r="D55" s="15" t="s">
        <v>15677</v>
      </c>
      <c r="E55" s="15" t="s">
        <v>15678</v>
      </c>
      <c r="F55" s="15" t="s">
        <v>15679</v>
      </c>
      <c r="G55" s="15" t="s">
        <v>15680</v>
      </c>
      <c r="H55" s="177"/>
      <c r="I55" s="153" t="s">
        <v>14203</v>
      </c>
      <c r="N55" s="120" t="s">
        <v>175</v>
      </c>
      <c r="O55" s="120" t="s">
        <v>15681</v>
      </c>
    </row>
    <row r="57" customFormat="false" ht="17.25" hidden="false" customHeight="true" outlineLevel="0" collapsed="false">
      <c r="B57" s="107" t="s">
        <v>15244</v>
      </c>
      <c r="C57" s="107"/>
      <c r="D57" s="107"/>
    </row>
    <row r="58" customFormat="false" ht="16.5" hidden="false" customHeight="true" outlineLevel="0" collapsed="false">
      <c r="B58" s="152" t="s">
        <v>6689</v>
      </c>
      <c r="C58" s="152" t="s">
        <v>6654</v>
      </c>
      <c r="D58" s="152" t="s">
        <v>88</v>
      </c>
    </row>
    <row r="59" customFormat="false" ht="16.5" hidden="false" customHeight="true" outlineLevel="0" collapsed="false">
      <c r="B59" s="15" t="s">
        <v>15245</v>
      </c>
      <c r="C59" s="161" t="n">
        <f aca="false">COUNTA(C16:C55)</f>
        <v>40</v>
      </c>
      <c r="D59" s="15"/>
    </row>
    <row r="60" customFormat="false" ht="16.5" hidden="false" customHeight="true" outlineLevel="0" collapsed="false">
      <c r="B60" s="15" t="s">
        <v>15246</v>
      </c>
      <c r="C60" s="161" t="n">
        <f aca="false">COUNTA(H16:H55)</f>
        <v>0</v>
      </c>
      <c r="D60" s="15" t="s">
        <v>15247</v>
      </c>
    </row>
    <row r="61" customFormat="false" ht="30.75" hidden="false" customHeight="true" outlineLevel="0" collapsed="false">
      <c r="B61" s="15" t="s">
        <v>15248</v>
      </c>
      <c r="C61" s="161" t="n">
        <f aca="false">SUMPRODUCT((UPPER(H16:H55)=N16:N55)*(H16:H55&lt;&gt;""))</f>
        <v>0</v>
      </c>
      <c r="D61" s="15" t="s">
        <v>15249</v>
      </c>
    </row>
    <row r="62" customFormat="false" ht="16.5" hidden="false" customHeight="true" outlineLevel="0" collapsed="false">
      <c r="B62" s="15" t="s">
        <v>7997</v>
      </c>
      <c r="C62" s="160" t="n">
        <f aca="false">IFERROR(C61/C60,0)</f>
        <v>0</v>
      </c>
      <c r="D62" s="15" t="s">
        <v>15250</v>
      </c>
    </row>
    <row r="63" customFormat="false" ht="16.5" hidden="false" customHeight="true" outlineLevel="0" collapsed="false">
      <c r="B63" s="15" t="s">
        <v>3730</v>
      </c>
      <c r="C63" s="167" t="str">
        <f aca="false">IF(C60=0,"Not started",IF(C62&gt;=0.8,"Pass standard — 80% or better",IF(C62&gt;=0.7,"Close — review the questions you missed","Below the usual pass mark: work through the topic sheets in the last column")))</f>
        <v>Not started</v>
      </c>
      <c r="D63" s="15"/>
    </row>
    <row r="64" customFormat="false" ht="16.5" hidden="false" customHeight="true" outlineLevel="0" collapsed="false">
      <c r="B64" s="15" t="s">
        <v>15251</v>
      </c>
      <c r="C64" s="161" t="n">
        <f aca="false">COUNTIF(N16:N55,"A")</f>
        <v>10</v>
      </c>
      <c r="D64" s="15" t="s">
        <v>15252</v>
      </c>
    </row>
    <row r="65" customFormat="false" ht="16.5" hidden="false" customHeight="true" outlineLevel="0" collapsed="false">
      <c r="B65" s="15" t="s">
        <v>15253</v>
      </c>
      <c r="C65" s="161" t="n">
        <f aca="false">COUNTIF(N16:N55,"B")</f>
        <v>10</v>
      </c>
      <c r="D65" s="15"/>
    </row>
    <row r="66" customFormat="false" ht="16.5" hidden="false" customHeight="true" outlineLevel="0" collapsed="false">
      <c r="B66" s="15" t="s">
        <v>15254</v>
      </c>
      <c r="C66" s="161" t="n">
        <f aca="false">COUNTIF(N16:N55,"C")</f>
        <v>10</v>
      </c>
      <c r="D66" s="15"/>
    </row>
    <row r="67" customFormat="false" ht="16.5" hidden="false" customHeight="true" outlineLevel="0" collapsed="false">
      <c r="B67" s="15" t="s">
        <v>15255</v>
      </c>
      <c r="C67" s="161" t="n">
        <f aca="false">COUNTIF(N16:N55,"D")</f>
        <v>10</v>
      </c>
      <c r="D67" s="15"/>
    </row>
    <row r="69" customFormat="false" ht="15.75" hidden="false" customHeight="true" outlineLevel="0" collapsed="false">
      <c r="B69" s="103" t="s">
        <v>13754</v>
      </c>
      <c r="C69" s="8"/>
      <c r="D69" s="8"/>
      <c r="E69" s="8"/>
      <c r="F69" s="8"/>
      <c r="G69" s="8"/>
      <c r="H69" s="8"/>
      <c r="I69" s="8"/>
      <c r="J69" s="8"/>
      <c r="K69" s="8"/>
    </row>
    <row r="70" customFormat="false" ht="30.75" hidden="false" customHeight="true" outlineLevel="0" collapsed="false">
      <c r="B70" s="152" t="s">
        <v>1523</v>
      </c>
      <c r="C70" s="152" t="s">
        <v>1524</v>
      </c>
      <c r="D70" s="152" t="s">
        <v>6719</v>
      </c>
    </row>
    <row r="71" customFormat="false" ht="16.5" hidden="false" customHeight="true" outlineLevel="0" collapsed="false">
      <c r="B71" s="170" t="s">
        <v>15256</v>
      </c>
      <c r="C71" s="170" t="s">
        <v>13983</v>
      </c>
      <c r="D71" s="170" t="s">
        <v>15682</v>
      </c>
    </row>
  </sheetData>
  <mergeCells count="7">
    <mergeCell ref="B2:J2"/>
    <mergeCell ref="D3:E3"/>
    <mergeCell ref="B6:D7"/>
    <mergeCell ref="B8:D10"/>
    <mergeCell ref="B12:D12"/>
    <mergeCell ref="B13:D13"/>
    <mergeCell ref="B57:D57"/>
  </mergeCells>
  <hyperlinks>
    <hyperlink ref="B3" location="'N-03 Index DMAIC'!A1" display="← Back to Index"/>
    <hyperlink ref="I16" location="'E-41 DOE Fundamentals'!A1" display="E-41 DOE Fundamentals"/>
    <hyperlink ref="I17" location="'E-41 DOE Fundamentals'!A1" display="E-41 DOE Fundamentals"/>
    <hyperlink ref="I18" location="'E-42 Full Factorial'!A1" display="E-42 Full Factorial"/>
    <hyperlink ref="I19" location="'E-42 Full Factorial'!A1" display="E-42 Full Factorial"/>
    <hyperlink ref="I20" location="'E-43 Fractional Factorial'!A1" display="E-43 Fractional Factorial"/>
    <hyperlink ref="I21" location="'E-43 Fractional Factorial'!A1" display="E-43 Fractional Factorial"/>
    <hyperlink ref="I22" location="'E-43 Fractional Factorial'!A1" display="E-43 Fractional Factorial"/>
    <hyperlink ref="I23" location="'E-45 Center Points Curvature'!A1" display="E-45 Center Points Curvature"/>
    <hyperlink ref="I24" location="'E-46 Response Surface'!A1" display="E-46 Response Surface"/>
    <hyperlink ref="I25" location="'E-44 Screening Designs'!A1" display="E-44 Screening Designs"/>
    <hyperlink ref="I26" location="'E-47 Common vs Special Cause'!A1" display="E-47 Common vs Special Cause"/>
    <hyperlink ref="I27" location="'E-47 Common vs Special Cause'!A1" display="E-47 Common vs Special Cause"/>
    <hyperlink ref="I28" location="'E-47 Common vs Special Cause'!A1" display="E-47 Common vs Special Cause"/>
    <hyperlink ref="I29" location="'E-49 I-MR Chart'!A1" display="E-49 I-MR Chart"/>
    <hyperlink ref="I30" location="'E-50 Xbar-R Chart'!A1" display="E-50 Xbar-R Chart"/>
    <hyperlink ref="I31" location="'E-51 Xbar-S Chart'!A1" display="E-51 Xbar-S Chart"/>
    <hyperlink ref="I32" location="'E-52 p and np Charts'!A1" display="E-52 p and np Charts"/>
    <hyperlink ref="I33" location="'E-53 c and u Charts'!A1" display="E-53 c and u Charts"/>
    <hyperlink ref="I34" location="'E-54 Laney p and u Charts'!A1" display="E-54 Laney p and u Charts"/>
    <hyperlink ref="I35" location="'E-55 CUSUM and EWMA'!A1" display="E-55 CUSUM and EWMA"/>
    <hyperlink ref="I36" location="'E-56 WE and Nelson Rules'!A1" display="E-56 WE and Nelson Rules"/>
    <hyperlink ref="I37" location="'E-56 WE and Nelson Rules'!A1" display="E-56 WE and Nelson Rules"/>
    <hyperlink ref="I38" location="'E-57 Process Capability'!A1" display="E-57 Process Capability"/>
    <hyperlink ref="I39" location="'E-57 Process Capability'!A1" display="E-57 Process Capability"/>
    <hyperlink ref="I40" location="'E-57 Process Capability'!A1" display="E-57 Process Capability"/>
    <hyperlink ref="I41" location="'E-57 Process Capability'!A1" display="E-57 Process Capability"/>
    <hyperlink ref="I42" location="'E-57 Process Capability'!A1" display="E-57 Process Capability"/>
    <hyperlink ref="I43" location="'E-58 Non-Normal Capability'!A1" display="E-58 Non-Normal Capability"/>
    <hyperlink ref="I44" location="'L-01 Eight Wastes'!A1" display="L-01 Eight Wastes"/>
    <hyperlink ref="I45" location="'L-01 Eight Wastes'!A1" display="L-01 Eight Wastes"/>
    <hyperlink ref="I46" location="'L-07 Takt Cycle Lead Time'!A1" display="L-07 Takt Cycle Lead Time"/>
    <hyperlink ref="I47" location="'L-08 Littles Law and WIP'!A1" display="L-08 Littles Law and WIP"/>
    <hyperlink ref="I48" location="'L-09 Theory of Constraints'!A1" display="L-09 Theory of Constraints"/>
    <hyperlink ref="I49" location="'L-11 OEE'!A1" display="L-11 OEE"/>
    <hyperlink ref="I50" location="'L-11 OEE'!A1" display="L-11 OEE"/>
    <hyperlink ref="I51" location="'L-15 SMED'!A1" display="L-15 SMED"/>
    <hyperlink ref="I52" location="'L-16 TPM'!A1" display="L-16 TPM"/>
    <hyperlink ref="I53" location="'L-17 Poka-Yoke'!A1" display="L-17 Poka-Yoke"/>
    <hyperlink ref="I54" location="'H-13 FMEA AIAG-VDA'!A1" display="H-13 FMEA AIAG-VDA"/>
    <hyperlink ref="I55" location="'H-13 FMEA AIAG-VDA'!A1" display="H-13 FMEA AIAG-VDA"/>
    <hyperlink ref="B71" location="'U-09 Exam Bank Inference'!A1" display="U-09  Exam Bank: Inference"/>
    <hyperlink ref="C71" location="'U-04 Formula Sheet'!A1" display="U-04  Master Formula Sheet"/>
    <hyperlink ref="D71" location="'N-06 Index by Problem'!A1" display="N-06  Index by Problem Archetyp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2026-07-26T18:29:18Z</dcterms:created>
  <dc:creator>openpyxl</dc:creator>
  <dc:description/>
  <dc:language>en-US</dc:language>
  <cp:lastModifiedBy/>
  <dcterms:modified xsi:type="dcterms:W3CDTF">2026-07-29T23:55:29Z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