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2107\Documents\GitHub\VolStuff\stats\"/>
    </mc:Choice>
  </mc:AlternateContent>
  <bookViews>
    <workbookView xWindow="0" yWindow="0" windowWidth="2370" windowHeight="225"/>
  </bookViews>
  <sheets>
    <sheet name="Everybody" sheetId="5" r:id="rId1"/>
    <sheet name="East" sheetId="1" r:id="rId2"/>
    <sheet name="West" sheetId="2" r:id="rId3"/>
    <sheet name="Midwest" sheetId="3" r:id="rId4"/>
    <sheet name="South" sheetId="4" r:id="rId5"/>
  </sheets>
  <definedNames>
    <definedName name="_xlnm._FilterDatabase" localSheetId="0" hidden="1">Everybody!$A$1:$A$69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4" i="5" l="1"/>
  <c r="AA50" i="5"/>
  <c r="AA49" i="5"/>
  <c r="AA2" i="5"/>
  <c r="AA26" i="5"/>
  <c r="AA21" i="5"/>
  <c r="AA7" i="5"/>
  <c r="AA4" i="5"/>
  <c r="AA27" i="5"/>
  <c r="AA55" i="5"/>
  <c r="AA20" i="5"/>
  <c r="AA15" i="5"/>
  <c r="AA45" i="5"/>
  <c r="AA53" i="5"/>
  <c r="AA58" i="5"/>
  <c r="AA61" i="5"/>
  <c r="AA47" i="5"/>
  <c r="AA51" i="5"/>
  <c r="AA34" i="5"/>
  <c r="AA25" i="5"/>
  <c r="AA32" i="5"/>
  <c r="AA68" i="5"/>
  <c r="AA36" i="5"/>
  <c r="AA23" i="5"/>
  <c r="AA31" i="5"/>
  <c r="AA44" i="5"/>
  <c r="AA35" i="5"/>
  <c r="AA12" i="5"/>
  <c r="AA39" i="5"/>
  <c r="AA10" i="5"/>
  <c r="AA19" i="5"/>
  <c r="AA59" i="5"/>
  <c r="AA65" i="5"/>
  <c r="AA60" i="5"/>
  <c r="AA63" i="5"/>
  <c r="AA30" i="5"/>
  <c r="AA29" i="5"/>
  <c r="AA16" i="5"/>
  <c r="AA69" i="5"/>
  <c r="AA37" i="5"/>
  <c r="AA14" i="5"/>
  <c r="AA64" i="5"/>
  <c r="AA3" i="5"/>
  <c r="AA9" i="5"/>
  <c r="AA11" i="5"/>
  <c r="AA28" i="5"/>
  <c r="AA40" i="5"/>
  <c r="AA54" i="5"/>
  <c r="AA67" i="5"/>
  <c r="AA6" i="5"/>
  <c r="AA56" i="5"/>
  <c r="AA41" i="5"/>
  <c r="AA17" i="5"/>
  <c r="AA52" i="5"/>
  <c r="AA5" i="5"/>
  <c r="AA46" i="5"/>
  <c r="AA38" i="5"/>
  <c r="AA66" i="5"/>
  <c r="AA33" i="5"/>
  <c r="AA43" i="5"/>
  <c r="AA22" i="5"/>
  <c r="AA48" i="5"/>
  <c r="AA42" i="5"/>
  <c r="AA62" i="5"/>
  <c r="AA13" i="5"/>
  <c r="AA18" i="5"/>
  <c r="AA8" i="5"/>
  <c r="AA57" i="5"/>
  <c r="Z24" i="5"/>
  <c r="Z50" i="5"/>
  <c r="Z49" i="5"/>
  <c r="Z2" i="5"/>
  <c r="Z26" i="5"/>
  <c r="Z21" i="5"/>
  <c r="Z7" i="5"/>
  <c r="Z4" i="5"/>
  <c r="Z27" i="5"/>
  <c r="Z55" i="5"/>
  <c r="Z20" i="5"/>
  <c r="Z15" i="5"/>
  <c r="Z45" i="5"/>
  <c r="Z53" i="5"/>
  <c r="Z58" i="5"/>
  <c r="Z61" i="5"/>
  <c r="Z47" i="5"/>
  <c r="Z51" i="5"/>
  <c r="Z34" i="5"/>
  <c r="Z25" i="5"/>
  <c r="Z32" i="5"/>
  <c r="Z68" i="5"/>
  <c r="Z36" i="5"/>
  <c r="Z23" i="5"/>
  <c r="Z31" i="5"/>
  <c r="Z44" i="5"/>
  <c r="Z35" i="5"/>
  <c r="Z12" i="5"/>
  <c r="Z39" i="5"/>
  <c r="Z10" i="5"/>
  <c r="Z19" i="5"/>
  <c r="Z59" i="5"/>
  <c r="Z65" i="5"/>
  <c r="Z60" i="5"/>
  <c r="Z63" i="5"/>
  <c r="Z30" i="5"/>
  <c r="Z29" i="5"/>
  <c r="Z16" i="5"/>
  <c r="Z69" i="5"/>
  <c r="Z37" i="5"/>
  <c r="Z14" i="5"/>
  <c r="Z64" i="5"/>
  <c r="Z3" i="5"/>
  <c r="Z9" i="5"/>
  <c r="Z11" i="5"/>
  <c r="Z28" i="5"/>
  <c r="Z40" i="5"/>
  <c r="Z54" i="5"/>
  <c r="Z67" i="5"/>
  <c r="Z6" i="5"/>
  <c r="Z56" i="5"/>
  <c r="Z41" i="5"/>
  <c r="Z17" i="5"/>
  <c r="Z52" i="5"/>
  <c r="Z5" i="5"/>
  <c r="Z46" i="5"/>
  <c r="Z38" i="5"/>
  <c r="Z66" i="5"/>
  <c r="Z33" i="5"/>
  <c r="Z43" i="5"/>
  <c r="Z22" i="5"/>
  <c r="Z48" i="5"/>
  <c r="Z42" i="5"/>
  <c r="Z62" i="5"/>
  <c r="Z13" i="5"/>
  <c r="Z18" i="5"/>
  <c r="Z8" i="5"/>
  <c r="Z57" i="5"/>
  <c r="S24" i="5"/>
  <c r="S50" i="5"/>
  <c r="S49" i="5"/>
  <c r="S2" i="5"/>
  <c r="S26" i="5"/>
  <c r="S21" i="5"/>
  <c r="S7" i="5"/>
  <c r="S4" i="5"/>
  <c r="S27" i="5"/>
  <c r="S55" i="5"/>
  <c r="S20" i="5"/>
  <c r="S15" i="5"/>
  <c r="S45" i="5"/>
  <c r="S53" i="5"/>
  <c r="S58" i="5"/>
  <c r="S61" i="5"/>
  <c r="S47" i="5"/>
  <c r="S51" i="5"/>
  <c r="S34" i="5"/>
  <c r="S25" i="5"/>
  <c r="S32" i="5"/>
  <c r="S68" i="5"/>
  <c r="S36" i="5"/>
  <c r="S23" i="5"/>
  <c r="S31" i="5"/>
  <c r="S44" i="5"/>
  <c r="S35" i="5"/>
  <c r="S12" i="5"/>
  <c r="S39" i="5"/>
  <c r="S10" i="5"/>
  <c r="S19" i="5"/>
  <c r="S59" i="5"/>
  <c r="S65" i="5"/>
  <c r="S60" i="5"/>
  <c r="S63" i="5"/>
  <c r="S30" i="5"/>
  <c r="S29" i="5"/>
  <c r="S16" i="5"/>
  <c r="S69" i="5"/>
  <c r="S37" i="5"/>
  <c r="S14" i="5"/>
  <c r="S64" i="5"/>
  <c r="S3" i="5"/>
  <c r="S9" i="5"/>
  <c r="S11" i="5"/>
  <c r="S28" i="5"/>
  <c r="S40" i="5"/>
  <c r="S54" i="5"/>
  <c r="S67" i="5"/>
  <c r="S6" i="5"/>
  <c r="S56" i="5"/>
  <c r="S41" i="5"/>
  <c r="S17" i="5"/>
  <c r="S52" i="5"/>
  <c r="S5" i="5"/>
  <c r="S46" i="5"/>
  <c r="S38" i="5"/>
  <c r="S66" i="5"/>
  <c r="S33" i="5"/>
  <c r="S43" i="5"/>
  <c r="S22" i="5"/>
  <c r="S48" i="5"/>
  <c r="S42" i="5"/>
  <c r="S62" i="5"/>
  <c r="S13" i="5"/>
  <c r="S18" i="5"/>
  <c r="S8" i="5"/>
  <c r="S57" i="5"/>
  <c r="V24" i="5"/>
  <c r="V50" i="5"/>
  <c r="V49" i="5"/>
  <c r="V2" i="5"/>
  <c r="V26" i="5"/>
  <c r="V21" i="5"/>
  <c r="V7" i="5"/>
  <c r="V4" i="5"/>
  <c r="V27" i="5"/>
  <c r="V55" i="5"/>
  <c r="V20" i="5"/>
  <c r="V15" i="5"/>
  <c r="V45" i="5"/>
  <c r="V53" i="5"/>
  <c r="V58" i="5"/>
  <c r="V61" i="5"/>
  <c r="V47" i="5"/>
  <c r="V51" i="5"/>
  <c r="V34" i="5"/>
  <c r="V25" i="5"/>
  <c r="V32" i="5"/>
  <c r="V68" i="5"/>
  <c r="V36" i="5"/>
  <c r="V23" i="5"/>
  <c r="V31" i="5"/>
  <c r="V44" i="5"/>
  <c r="V35" i="5"/>
  <c r="V12" i="5"/>
  <c r="V39" i="5"/>
  <c r="V10" i="5"/>
  <c r="V19" i="5"/>
  <c r="V59" i="5"/>
  <c r="V65" i="5"/>
  <c r="V60" i="5"/>
  <c r="V63" i="5"/>
  <c r="V30" i="5"/>
  <c r="V29" i="5"/>
  <c r="V16" i="5"/>
  <c r="V69" i="5"/>
  <c r="V37" i="5"/>
  <c r="V14" i="5"/>
  <c r="V64" i="5"/>
  <c r="V3" i="5"/>
  <c r="V9" i="5"/>
  <c r="V11" i="5"/>
  <c r="V28" i="5"/>
  <c r="V40" i="5"/>
  <c r="V54" i="5"/>
  <c r="V67" i="5"/>
  <c r="V6" i="5"/>
  <c r="V56" i="5"/>
  <c r="V41" i="5"/>
  <c r="V17" i="5"/>
  <c r="V52" i="5"/>
  <c r="V5" i="5"/>
  <c r="V46" i="5"/>
  <c r="V38" i="5"/>
  <c r="V66" i="5"/>
  <c r="V33" i="5"/>
  <c r="V43" i="5"/>
  <c r="V22" i="5"/>
  <c r="V48" i="5"/>
  <c r="V42" i="5"/>
  <c r="V62" i="5"/>
  <c r="V13" i="5"/>
  <c r="V18" i="5"/>
  <c r="V8" i="5"/>
  <c r="V57" i="5"/>
  <c r="R54" i="5" l="1"/>
  <c r="R47" i="5"/>
  <c r="R42" i="5"/>
  <c r="R37" i="5"/>
  <c r="R25" i="5"/>
  <c r="R19" i="5"/>
  <c r="R17" i="5"/>
  <c r="R12" i="5"/>
  <c r="Q59" i="5"/>
  <c r="R59" i="5" s="1"/>
  <c r="Q27" i="5"/>
  <c r="Q26" i="5"/>
  <c r="R26" i="5" s="1"/>
  <c r="Q18" i="5"/>
  <c r="R18" i="5" s="1"/>
  <c r="Q14" i="5"/>
  <c r="R14" i="5" s="1"/>
  <c r="Q47" i="5"/>
  <c r="Q41" i="5"/>
  <c r="Q36" i="5"/>
  <c r="R36" i="5" s="1"/>
  <c r="Q9" i="5"/>
  <c r="R9" i="5" s="1"/>
  <c r="Q37" i="5"/>
  <c r="Q62" i="5"/>
  <c r="R62" i="5" s="1"/>
  <c r="Q63" i="5"/>
  <c r="R63" i="5" s="1"/>
  <c r="Q61" i="5"/>
  <c r="R61" i="5" s="1"/>
  <c r="Q16" i="5"/>
  <c r="R16" i="5" s="1"/>
  <c r="Q40" i="5"/>
  <c r="R40" i="5" s="1"/>
  <c r="Q33" i="5"/>
  <c r="R33" i="5" s="1"/>
  <c r="Q29" i="5"/>
  <c r="R29" i="5" s="1"/>
  <c r="Q30" i="5"/>
  <c r="Q50" i="5"/>
  <c r="R50" i="5" s="1"/>
  <c r="Q55" i="5"/>
  <c r="R55" i="5" s="1"/>
  <c r="Q13" i="5"/>
  <c r="R13" i="5" s="1"/>
  <c r="Q58" i="5"/>
  <c r="Q15" i="5"/>
  <c r="R15" i="5" s="1"/>
  <c r="Q53" i="5"/>
  <c r="R53" i="5" s="1"/>
  <c r="Q31" i="5"/>
  <c r="R31" i="5" s="1"/>
  <c r="Q67" i="5"/>
  <c r="Q64" i="5"/>
  <c r="R64" i="5" s="1"/>
  <c r="Q66" i="5"/>
  <c r="Q65" i="5"/>
  <c r="R65" i="5" s="1"/>
  <c r="Q22" i="5"/>
  <c r="R22" i="5" s="1"/>
  <c r="Q25" i="5"/>
  <c r="Q20" i="5"/>
  <c r="Q45" i="5"/>
  <c r="R45" i="5" s="1"/>
  <c r="Q57" i="5"/>
  <c r="R57" i="5" s="1"/>
  <c r="Q19" i="5"/>
  <c r="Q60" i="5"/>
  <c r="R60" i="5" s="1"/>
  <c r="Q68" i="5"/>
  <c r="R68" i="5" s="1"/>
  <c r="Q24" i="5"/>
  <c r="Q54" i="5"/>
  <c r="Q17" i="5"/>
  <c r="Q6" i="5"/>
  <c r="R6" i="5" s="1"/>
  <c r="Q43" i="5"/>
  <c r="R43" i="5" s="1"/>
  <c r="Q7" i="5"/>
  <c r="Q23" i="5"/>
  <c r="R23" i="5" s="1"/>
  <c r="Q28" i="5"/>
  <c r="R28" i="5" s="1"/>
  <c r="Q5" i="5"/>
  <c r="Q52" i="5"/>
  <c r="R52" i="5" s="1"/>
  <c r="Q35" i="5"/>
  <c r="R35" i="5" s="1"/>
  <c r="Q44" i="5"/>
  <c r="R44" i="5" s="1"/>
  <c r="Q12" i="5"/>
  <c r="Q49" i="5"/>
  <c r="Q11" i="5"/>
  <c r="Q32" i="5"/>
  <c r="R32" i="5" s="1"/>
  <c r="Q48" i="5"/>
  <c r="Q10" i="5"/>
  <c r="R10" i="5" s="1"/>
  <c r="Q69" i="5"/>
  <c r="R69" i="5" s="1"/>
  <c r="Q38" i="5"/>
  <c r="R38" i="5" s="1"/>
  <c r="Q42" i="5"/>
  <c r="Q46" i="5"/>
  <c r="R46" i="5" s="1"/>
  <c r="Q56" i="5"/>
  <c r="Q8" i="5"/>
  <c r="R8" i="5" s="1"/>
  <c r="Q34" i="5"/>
  <c r="Q39" i="5"/>
  <c r="R39" i="5" s="1"/>
  <c r="Q51" i="5"/>
  <c r="R51" i="5" s="1"/>
  <c r="Q21" i="5"/>
  <c r="R21" i="5" s="1"/>
  <c r="Q3" i="5"/>
  <c r="R3" i="5" s="1"/>
  <c r="Q2" i="5"/>
  <c r="R2" i="5" s="1"/>
  <c r="Q4" i="5"/>
  <c r="R4" i="5" s="1"/>
  <c r="P68" i="5"/>
  <c r="O68" i="5"/>
  <c r="P65" i="5"/>
  <c r="O65" i="5"/>
  <c r="P60" i="5"/>
  <c r="O60" i="5"/>
  <c r="P58" i="5"/>
  <c r="R58" i="5" s="1"/>
  <c r="O58" i="5"/>
  <c r="P52" i="5"/>
  <c r="O52" i="5"/>
  <c r="P51" i="5"/>
  <c r="O51" i="5"/>
  <c r="P45" i="5"/>
  <c r="O45" i="5"/>
  <c r="P38" i="5"/>
  <c r="O38" i="5"/>
  <c r="P34" i="5"/>
  <c r="R34" i="5" s="1"/>
  <c r="O34" i="5"/>
  <c r="P32" i="5"/>
  <c r="O32" i="5"/>
  <c r="P28" i="5"/>
  <c r="O28" i="5"/>
  <c r="P25" i="5"/>
  <c r="O25" i="5"/>
  <c r="P20" i="5"/>
  <c r="R20" i="5" s="1"/>
  <c r="O20" i="5"/>
  <c r="P17" i="5"/>
  <c r="O17" i="5"/>
  <c r="P11" i="5"/>
  <c r="R11" i="5" s="1"/>
  <c r="O11" i="5"/>
  <c r="P6" i="5"/>
  <c r="O6" i="5"/>
  <c r="P5" i="5"/>
  <c r="R5" i="5" s="1"/>
  <c r="O5" i="5"/>
  <c r="P69" i="5"/>
  <c r="O69" i="5"/>
  <c r="P67" i="5"/>
  <c r="R67" i="5" s="1"/>
  <c r="O67" i="5"/>
  <c r="P63" i="5"/>
  <c r="O63" i="5"/>
  <c r="P59" i="5"/>
  <c r="O59" i="5"/>
  <c r="P55" i="5"/>
  <c r="O55" i="5"/>
  <c r="P48" i="5"/>
  <c r="R48" i="5" s="1"/>
  <c r="O48" i="5"/>
  <c r="P47" i="5"/>
  <c r="O47" i="5"/>
  <c r="P40" i="5"/>
  <c r="O40" i="5"/>
  <c r="P36" i="5"/>
  <c r="O36" i="5"/>
  <c r="P33" i="5"/>
  <c r="O33" i="5"/>
  <c r="P26" i="5"/>
  <c r="O26" i="5"/>
  <c r="P22" i="5"/>
  <c r="O22" i="5"/>
  <c r="P21" i="5"/>
  <c r="O21" i="5"/>
  <c r="P16" i="5"/>
  <c r="O16" i="5"/>
  <c r="P10" i="5"/>
  <c r="O10" i="5"/>
  <c r="P9" i="5"/>
  <c r="O9" i="5"/>
  <c r="P3" i="5"/>
  <c r="O3" i="5"/>
  <c r="P66" i="5"/>
  <c r="R66" i="5" s="1"/>
  <c r="O66" i="5"/>
  <c r="P61" i="5"/>
  <c r="O61" i="5"/>
  <c r="P56" i="5"/>
  <c r="R56" i="5" s="1"/>
  <c r="O56" i="5"/>
  <c r="P54" i="5"/>
  <c r="O54" i="5"/>
  <c r="P49" i="5"/>
  <c r="R49" i="5" s="1"/>
  <c r="O49" i="5"/>
  <c r="P44" i="5"/>
  <c r="O44" i="5"/>
  <c r="P43" i="5"/>
  <c r="O43" i="5"/>
  <c r="P39" i="5"/>
  <c r="O39" i="5"/>
  <c r="P35" i="5"/>
  <c r="O35" i="5"/>
  <c r="P31" i="5"/>
  <c r="O31" i="5"/>
  <c r="P27" i="5"/>
  <c r="R27" i="5" s="1"/>
  <c r="O27" i="5"/>
  <c r="P24" i="5"/>
  <c r="R24" i="5" s="1"/>
  <c r="O24" i="5"/>
  <c r="P18" i="5"/>
  <c r="O18" i="5"/>
  <c r="P15" i="5"/>
  <c r="O15" i="5"/>
  <c r="P13" i="5"/>
  <c r="O13" i="5"/>
  <c r="P8" i="5"/>
  <c r="O8" i="5"/>
  <c r="P2" i="5"/>
  <c r="O2" i="5"/>
  <c r="P64" i="5"/>
  <c r="O64" i="5"/>
  <c r="P62" i="5"/>
  <c r="O62" i="5"/>
  <c r="P57" i="5"/>
  <c r="O57" i="5"/>
  <c r="P53" i="5"/>
  <c r="O53" i="5"/>
  <c r="P50" i="5"/>
  <c r="O50" i="5"/>
  <c r="P46" i="5"/>
  <c r="O46" i="5"/>
  <c r="P42" i="5"/>
  <c r="O42" i="5"/>
  <c r="P41" i="5"/>
  <c r="R41" i="5" s="1"/>
  <c r="O41" i="5"/>
  <c r="P37" i="5"/>
  <c r="O37" i="5"/>
  <c r="P30" i="5"/>
  <c r="R30" i="5" s="1"/>
  <c r="O30" i="5"/>
  <c r="P29" i="5"/>
  <c r="O29" i="5"/>
  <c r="P23" i="5"/>
  <c r="O23" i="5"/>
  <c r="P19" i="5"/>
  <c r="O19" i="5"/>
  <c r="P14" i="5"/>
  <c r="O14" i="5"/>
  <c r="P12" i="5"/>
  <c r="O12" i="5"/>
  <c r="P7" i="5"/>
  <c r="R7" i="5" s="1"/>
  <c r="O7" i="5"/>
  <c r="P4" i="5"/>
  <c r="O4" i="5"/>
  <c r="P18" i="3"/>
  <c r="P17" i="3"/>
  <c r="P16" i="3"/>
  <c r="P15" i="3"/>
  <c r="P14" i="3"/>
  <c r="P13" i="3"/>
  <c r="P12" i="3"/>
  <c r="P11" i="3"/>
  <c r="P10" i="3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P9" i="3" l="1"/>
  <c r="P8" i="3"/>
  <c r="P7" i="3"/>
  <c r="P6" i="3"/>
  <c r="P5" i="3"/>
  <c r="P4" i="3"/>
  <c r="P3" i="3"/>
  <c r="P2" i="3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O7" i="2" l="1"/>
  <c r="O4" i="3"/>
  <c r="O6" i="2"/>
  <c r="O5" i="2"/>
  <c r="O6" i="3"/>
  <c r="O18" i="3"/>
  <c r="O17" i="3"/>
  <c r="O13" i="4"/>
  <c r="O12" i="2"/>
  <c r="O8" i="2"/>
  <c r="O8" i="1"/>
  <c r="O5" i="4"/>
  <c r="O13" i="2"/>
  <c r="O10" i="3"/>
  <c r="O9" i="2"/>
  <c r="O18" i="4"/>
  <c r="O3" i="2"/>
  <c r="O16" i="2"/>
  <c r="O7" i="1"/>
  <c r="O14" i="4"/>
  <c r="O16" i="4"/>
  <c r="O15" i="4"/>
  <c r="O3" i="3"/>
  <c r="O10" i="2"/>
  <c r="O12" i="4"/>
  <c r="O17" i="2"/>
  <c r="O11" i="1"/>
  <c r="O13" i="3"/>
  <c r="O11" i="4"/>
  <c r="O9" i="1"/>
  <c r="O11" i="3"/>
  <c r="O3" i="4"/>
  <c r="O2" i="3"/>
  <c r="O14" i="2"/>
  <c r="O15" i="1"/>
  <c r="O5" i="1"/>
  <c r="O10" i="4"/>
  <c r="O7" i="3"/>
  <c r="O2" i="1"/>
  <c r="O12" i="1"/>
  <c r="O4" i="2"/>
  <c r="O5" i="3"/>
  <c r="O18" i="2"/>
  <c r="O17" i="4"/>
  <c r="O14" i="3"/>
  <c r="O7" i="4"/>
  <c r="O6" i="4"/>
  <c r="O8" i="3"/>
  <c r="O12" i="3"/>
  <c r="O11" i="2"/>
  <c r="O2" i="4"/>
  <c r="O16" i="1"/>
  <c r="O17" i="1"/>
  <c r="O16" i="3"/>
  <c r="O13" i="1"/>
  <c r="O4" i="1"/>
  <c r="O4" i="4"/>
  <c r="O8" i="4"/>
  <c r="O10" i="1"/>
  <c r="O18" i="1"/>
  <c r="O9" i="4"/>
  <c r="O15" i="3"/>
  <c r="O6" i="1"/>
  <c r="O9" i="3"/>
  <c r="O14" i="1"/>
  <c r="O3" i="1"/>
  <c r="O15" i="2"/>
  <c r="O2" i="2"/>
</calcChain>
</file>

<file path=xl/sharedStrings.xml><?xml version="1.0" encoding="utf-8"?>
<sst xmlns="http://schemas.openxmlformats.org/spreadsheetml/2006/main" count="371" uniqueCount="134">
  <si>
    <t>Team</t>
  </si>
  <si>
    <t>Seed</t>
  </si>
  <si>
    <t>KenPom Rank</t>
  </si>
  <si>
    <t>AdjO</t>
  </si>
  <si>
    <t>AdjD</t>
  </si>
  <si>
    <t>3 pt %</t>
  </si>
  <si>
    <t>3 pt ATT/game</t>
  </si>
  <si>
    <t>3 pt DEF</t>
  </si>
  <si>
    <t>Off Rebound</t>
  </si>
  <si>
    <t>Def Rebound</t>
  </si>
  <si>
    <t>Fouls</t>
  </si>
  <si>
    <t>Turnovers</t>
  </si>
  <si>
    <t>FG %</t>
  </si>
  <si>
    <t>FG ATT/game</t>
  </si>
  <si>
    <t>FG DEF</t>
  </si>
  <si>
    <t>FT %</t>
  </si>
  <si>
    <t>FT ATT/game</t>
  </si>
  <si>
    <t>Villanova</t>
  </si>
  <si>
    <t>Virginia</t>
  </si>
  <si>
    <t>Oklahoma</t>
  </si>
  <si>
    <t>Louisville</t>
  </si>
  <si>
    <t>Northern Iowa</t>
  </si>
  <si>
    <t>Providence</t>
  </si>
  <si>
    <t>Michigan State</t>
  </si>
  <si>
    <t>N.C. State</t>
  </si>
  <si>
    <t>LSU</t>
  </si>
  <si>
    <t>Georgia</t>
  </si>
  <si>
    <t>Boise State</t>
  </si>
  <si>
    <t>Dayton</t>
  </si>
  <si>
    <t>Wyoming</t>
  </si>
  <si>
    <t>UC-Irvine</t>
  </si>
  <si>
    <t>Albany</t>
  </si>
  <si>
    <t>Belmont</t>
  </si>
  <si>
    <t>Lafayette</t>
  </si>
  <si>
    <t>Wisconsin</t>
  </si>
  <si>
    <t>Arizona</t>
  </si>
  <si>
    <t>Baylor</t>
  </si>
  <si>
    <t>UNC</t>
  </si>
  <si>
    <t>Arkansas</t>
  </si>
  <si>
    <t>Xavier</t>
  </si>
  <si>
    <t>VCU</t>
  </si>
  <si>
    <t>Oregon</t>
  </si>
  <si>
    <t>Oklahoma State</t>
  </si>
  <si>
    <t>Ohio State</t>
  </si>
  <si>
    <t>BYU</t>
  </si>
  <si>
    <t>Ole Miss</t>
  </si>
  <si>
    <t>Wofford</t>
  </si>
  <si>
    <t>Harvard</t>
  </si>
  <si>
    <t>Georgia State</t>
  </si>
  <si>
    <t>Texas Southern</t>
  </si>
  <si>
    <t>Coastal Carolina</t>
  </si>
  <si>
    <t>Kentucky</t>
  </si>
  <si>
    <t>Kansas</t>
  </si>
  <si>
    <t>Notre Dame</t>
  </si>
  <si>
    <t>Maryland</t>
  </si>
  <si>
    <t>West Virginia</t>
  </si>
  <si>
    <t>Butler</t>
  </si>
  <si>
    <t>Wichita State</t>
  </si>
  <si>
    <t>Cincinnati</t>
  </si>
  <si>
    <t>Purdue</t>
  </si>
  <si>
    <t>Indiana</t>
  </si>
  <si>
    <t>Texas</t>
  </si>
  <si>
    <t>Buffalo</t>
  </si>
  <si>
    <t>Valparaiso</t>
  </si>
  <si>
    <t>Northeastern</t>
  </si>
  <si>
    <t>New Mexico State</t>
  </si>
  <si>
    <t>Hampton</t>
  </si>
  <si>
    <t>Manhattan</t>
  </si>
  <si>
    <t>Duke</t>
  </si>
  <si>
    <t>Gonzaga</t>
  </si>
  <si>
    <t>Iowa State</t>
  </si>
  <si>
    <t>Georgetown</t>
  </si>
  <si>
    <t>Utah</t>
  </si>
  <si>
    <t>SMU</t>
  </si>
  <si>
    <t>Iowa</t>
  </si>
  <si>
    <t>San Diego State</t>
  </si>
  <si>
    <t>St. John's</t>
  </si>
  <si>
    <t>Davidson</t>
  </si>
  <si>
    <t>UCLA</t>
  </si>
  <si>
    <t>Stephen F Austin</t>
  </si>
  <si>
    <t>Eastern Washington</t>
  </si>
  <si>
    <t>UAB</t>
  </si>
  <si>
    <t>North Dakota State</t>
  </si>
  <si>
    <t>North Florida</t>
  </si>
  <si>
    <t>Robert Morris</t>
  </si>
  <si>
    <t>Record</t>
  </si>
  <si>
    <t>32-2</t>
  </si>
  <si>
    <t>29-3</t>
  </si>
  <si>
    <t>22-10</t>
  </si>
  <si>
    <t>24-8</t>
  </si>
  <si>
    <t>25-8</t>
  </si>
  <si>
    <t>26-8</t>
  </si>
  <si>
    <t>30-3</t>
  </si>
  <si>
    <t>22-11</t>
  </si>
  <si>
    <t>23-11</t>
  </si>
  <si>
    <t>20-13</t>
  </si>
  <si>
    <t>21-11</t>
  </si>
  <si>
    <t>25-9</t>
  </si>
  <si>
    <t>21-12</t>
  </si>
  <si>
    <t>20-12</t>
  </si>
  <si>
    <t>31-3</t>
  </si>
  <si>
    <t>24-9</t>
  </si>
  <si>
    <t>24-11</t>
  </si>
  <si>
    <t>21-13</t>
  </si>
  <si>
    <t>26-9</t>
  </si>
  <si>
    <t>18-13</t>
  </si>
  <si>
    <t>23-10</t>
  </si>
  <si>
    <t>22-7</t>
  </si>
  <si>
    <t>28-6</t>
  </si>
  <si>
    <t>22-12</t>
  </si>
  <si>
    <t>19-13</t>
  </si>
  <si>
    <t>34-0</t>
  </si>
  <si>
    <t>29-5</t>
  </si>
  <si>
    <t>27-6</t>
  </si>
  <si>
    <t>23-9</t>
  </si>
  <si>
    <t>28-4</t>
  </si>
  <si>
    <t>28-5</t>
  </si>
  <si>
    <t>16-17</t>
  </si>
  <si>
    <t>29-4</t>
  </si>
  <si>
    <t>21-10</t>
  </si>
  <si>
    <t>24-7</t>
  </si>
  <si>
    <t>19-15</t>
  </si>
  <si>
    <t>19-14</t>
  </si>
  <si>
    <t>Fouls/Game</t>
  </si>
  <si>
    <t>OR %</t>
  </si>
  <si>
    <t>PPP/game</t>
  </si>
  <si>
    <t>PPG</t>
  </si>
  <si>
    <t>POS/Game</t>
  </si>
  <si>
    <t>TO %</t>
  </si>
  <si>
    <t>TO Margin</t>
  </si>
  <si>
    <t>TO Forced</t>
  </si>
  <si>
    <t>TO Committed</t>
  </si>
  <si>
    <t>FT Rate</t>
  </si>
  <si>
    <t>eFG%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</si>
</sst>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0" fillId="0" borderId="1" xfId="0" applyBorder="1"/>
    <xf numFmtId="10" fontId="0" fillId="0" borderId="1" xfId="0" applyNumberFormat="1" applyBorder="1"/>
    <xf numFmtId="2" fontId="0" fillId="0" borderId="1" xfId="0" applyNumberFormat="1" applyBorder="1"/>
    <xf numFmtId="10" fontId="0" fillId="0" borderId="1" xfId="1" applyNumberFormat="1" applyFont="1" applyBorder="1"/>
    <xf numFmtId="0" fontId="0" fillId="0" borderId="2" xfId="0" applyBorder="1"/>
    <xf numFmtId="10" fontId="0" fillId="0" borderId="2" xfId="0" applyNumberFormat="1" applyBorder="1"/>
    <xf numFmtId="2" fontId="0" fillId="0" borderId="2" xfId="0" applyNumberFormat="1" applyBorder="1"/>
    <xf numFmtId="2" fontId="0" fillId="0" borderId="0" xfId="0" applyNumberFormat="1" applyBorder="1"/>
    <xf numFmtId="0" fontId="0" fillId="0" borderId="0" xfId="0" applyAlignment="1">
      <alignment wrapText="1"/>
    </xf>
    <xf numFmtId="10" fontId="0" fillId="2" borderId="1" xfId="0" applyNumberFormat="1" applyFill="1" applyBorder="1"/>
    <xf numFmtId="10" fontId="0" fillId="2" borderId="2" xfId="0" applyNumberForma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10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workbookViewId="0">
      <selection activeCell="L2" sqref="L2"/>
    </sheetView>
  </sheetViews>
  <sheetFormatPr defaultRowHeight="15" x14ac:dyDescent="0.25"/>
  <cols>
    <col min="2" max="2" width="22.140625" customWidth="1"/>
    <col min="3" max="3" width="8.28515625" customWidth="1"/>
    <col min="4" max="19" width="9.140625" customWidth="1"/>
  </cols>
  <sheetData>
    <row r="1" spans="1:27" s="12" customFormat="1" ht="45" x14ac:dyDescent="0.25">
      <c r="A1" s="15" t="s">
        <v>1</v>
      </c>
      <c r="B1" s="15" t="s">
        <v>0</v>
      </c>
      <c r="C1" s="15" t="s">
        <v>85</v>
      </c>
      <c r="D1" s="15" t="s">
        <v>2</v>
      </c>
      <c r="E1" s="15" t="s">
        <v>3</v>
      </c>
      <c r="F1" s="15" t="s">
        <v>4</v>
      </c>
      <c r="G1" s="15" t="s">
        <v>12</v>
      </c>
      <c r="H1" s="15" t="s">
        <v>13</v>
      </c>
      <c r="I1" s="15" t="s">
        <v>14</v>
      </c>
      <c r="J1" s="15" t="s">
        <v>5</v>
      </c>
      <c r="K1" s="15" t="s">
        <v>6</v>
      </c>
      <c r="L1" s="15" t="s">
        <v>7</v>
      </c>
      <c r="M1" s="15" t="s">
        <v>8</v>
      </c>
      <c r="N1" s="15" t="s">
        <v>9</v>
      </c>
      <c r="O1" s="15" t="s">
        <v>123</v>
      </c>
      <c r="P1" s="15" t="s">
        <v>131</v>
      </c>
      <c r="Q1" s="15" t="s">
        <v>130</v>
      </c>
      <c r="R1" s="15" t="s">
        <v>129</v>
      </c>
      <c r="S1" s="16" t="s">
        <v>128</v>
      </c>
      <c r="T1" s="15" t="s">
        <v>127</v>
      </c>
      <c r="U1" s="17" t="s">
        <v>126</v>
      </c>
      <c r="V1" s="17" t="s">
        <v>125</v>
      </c>
      <c r="W1" s="16" t="s">
        <v>124</v>
      </c>
      <c r="X1" s="15" t="s">
        <v>15</v>
      </c>
      <c r="Y1" s="15" t="s">
        <v>16</v>
      </c>
      <c r="Z1" s="16" t="s">
        <v>132</v>
      </c>
      <c r="AA1" s="16" t="s">
        <v>133</v>
      </c>
    </row>
    <row r="2" spans="1:27" x14ac:dyDescent="0.25">
      <c r="A2" s="8">
        <v>1</v>
      </c>
      <c r="B2" s="8" t="s">
        <v>34</v>
      </c>
      <c r="C2" s="8" t="s">
        <v>100</v>
      </c>
      <c r="D2" s="8">
        <v>3</v>
      </c>
      <c r="E2" s="8">
        <v>1</v>
      </c>
      <c r="F2" s="8">
        <v>30</v>
      </c>
      <c r="G2" s="9">
        <v>0.48</v>
      </c>
      <c r="H2" s="8">
        <v>52.7</v>
      </c>
      <c r="I2" s="18">
        <v>0.41899999999999998</v>
      </c>
      <c r="J2" s="9">
        <v>0.35699999999999998</v>
      </c>
      <c r="K2" s="8">
        <v>19.5</v>
      </c>
      <c r="L2" s="9">
        <v>0.36</v>
      </c>
      <c r="M2" s="8">
        <v>9.5</v>
      </c>
      <c r="N2" s="8">
        <v>24.2</v>
      </c>
      <c r="O2" s="10">
        <f>409/34</f>
        <v>12.029411764705882</v>
      </c>
      <c r="P2" s="10">
        <f>252/34</f>
        <v>7.4117647058823533</v>
      </c>
      <c r="Q2" s="10">
        <f>339/34</f>
        <v>9.9705882352941178</v>
      </c>
      <c r="R2" s="10">
        <f>Q2-P2</f>
        <v>2.5588235294117645</v>
      </c>
      <c r="S2" s="9">
        <f>P2/T2</f>
        <v>0.12071278022609697</v>
      </c>
      <c r="T2" s="10">
        <v>61.4</v>
      </c>
      <c r="U2" s="8">
        <v>71.7</v>
      </c>
      <c r="V2" s="10">
        <f>U2/T2</f>
        <v>1.1677524429967427</v>
      </c>
      <c r="W2" s="8">
        <v>0.91</v>
      </c>
      <c r="X2" s="9">
        <v>0.76300000000000001</v>
      </c>
      <c r="Y2" s="8">
        <v>18.8</v>
      </c>
      <c r="Z2" s="9">
        <f>Y2/H2</f>
        <v>0.35673624288425049</v>
      </c>
      <c r="AA2" s="14">
        <f>(0.5*(K2*L2) + (G2*H2))/H2</f>
        <v>0.54660341555977221</v>
      </c>
    </row>
    <row r="3" spans="1:27" x14ac:dyDescent="0.25">
      <c r="A3" s="4">
        <v>1</v>
      </c>
      <c r="B3" s="4" t="s">
        <v>51</v>
      </c>
      <c r="C3" s="4" t="s">
        <v>111</v>
      </c>
      <c r="D3" s="4">
        <v>1</v>
      </c>
      <c r="E3" s="4">
        <v>5</v>
      </c>
      <c r="F3" s="4">
        <v>2</v>
      </c>
      <c r="G3" s="5">
        <v>0.46899999999999997</v>
      </c>
      <c r="H3" s="4">
        <v>55.4</v>
      </c>
      <c r="I3" s="5">
        <v>0.35499999999999998</v>
      </c>
      <c r="J3" s="5">
        <v>0.35</v>
      </c>
      <c r="K3" s="4">
        <v>15.6</v>
      </c>
      <c r="L3" s="5">
        <v>0.27400000000000002</v>
      </c>
      <c r="M3" s="4">
        <v>12.9</v>
      </c>
      <c r="N3" s="4">
        <v>25.3</v>
      </c>
      <c r="O3" s="6">
        <f>579/34</f>
        <v>17.029411764705884</v>
      </c>
      <c r="P3" s="6">
        <f>361/34</f>
        <v>10.617647058823529</v>
      </c>
      <c r="Q3" s="6">
        <f>478/34</f>
        <v>14.058823529411764</v>
      </c>
      <c r="R3" s="10">
        <f>Q3-P3</f>
        <v>3.4411764705882355</v>
      </c>
      <c r="S3" s="9">
        <f>P3/T3</f>
        <v>0.15966386554621848</v>
      </c>
      <c r="T3" s="10">
        <v>66.5</v>
      </c>
      <c r="U3" s="4">
        <v>74.599999999999994</v>
      </c>
      <c r="V3" s="10">
        <f>U3/T3</f>
        <v>1.1218045112781954</v>
      </c>
      <c r="W3" s="4">
        <v>1.1000000000000001</v>
      </c>
      <c r="X3" s="5">
        <v>0.72199999999999998</v>
      </c>
      <c r="Y3" s="4">
        <v>24.3</v>
      </c>
      <c r="Z3" s="5">
        <f>Y3/H3</f>
        <v>0.43862815884476536</v>
      </c>
      <c r="AA3" s="13">
        <f>(0.5*(K3*L3) + (G3*H3))/H3</f>
        <v>0.5075776173285198</v>
      </c>
    </row>
    <row r="4" spans="1:27" x14ac:dyDescent="0.25">
      <c r="A4" s="4">
        <v>1</v>
      </c>
      <c r="B4" s="4" t="s">
        <v>17</v>
      </c>
      <c r="C4" s="4" t="s">
        <v>86</v>
      </c>
      <c r="D4" s="4">
        <v>5</v>
      </c>
      <c r="E4" s="4">
        <v>4</v>
      </c>
      <c r="F4" s="4">
        <v>13</v>
      </c>
      <c r="G4" s="5">
        <v>0.47</v>
      </c>
      <c r="H4" s="4">
        <v>53.9</v>
      </c>
      <c r="I4" s="5">
        <v>0.40500000000000003</v>
      </c>
      <c r="J4" s="5">
        <v>0.38900000000000001</v>
      </c>
      <c r="K4" s="4">
        <v>23.1</v>
      </c>
      <c r="L4" s="5">
        <v>0.308</v>
      </c>
      <c r="M4" s="4">
        <v>10.3</v>
      </c>
      <c r="N4" s="4">
        <v>24.1</v>
      </c>
      <c r="O4" s="6">
        <f>564/34</f>
        <v>16.588235294117649</v>
      </c>
      <c r="P4" s="6">
        <f>369/34</f>
        <v>10.852941176470589</v>
      </c>
      <c r="Q4" s="6">
        <f>483/34</f>
        <v>14.205882352941176</v>
      </c>
      <c r="R4" s="10">
        <f>Q4-P4</f>
        <v>3.352941176470587</v>
      </c>
      <c r="S4" s="9">
        <f>P4/T4</f>
        <v>0.15983713072858008</v>
      </c>
      <c r="T4" s="10">
        <v>67.900000000000006</v>
      </c>
      <c r="U4" s="4">
        <v>76.7</v>
      </c>
      <c r="V4" s="10">
        <f>U4/T4</f>
        <v>1.1296023564064801</v>
      </c>
      <c r="W4" s="4">
        <v>0.92</v>
      </c>
      <c r="X4" s="5">
        <v>0.72699999999999998</v>
      </c>
      <c r="Y4" s="4">
        <v>22.9</v>
      </c>
      <c r="Z4" s="5">
        <f>Y4/H4</f>
        <v>0.42486085343228197</v>
      </c>
      <c r="AA4" s="13">
        <f>(0.5*(K4*L4) + (G4*H4))/H4</f>
        <v>0.53600000000000003</v>
      </c>
    </row>
    <row r="5" spans="1:27" x14ac:dyDescent="0.25">
      <c r="A5" s="4">
        <v>1</v>
      </c>
      <c r="B5" s="4" t="s">
        <v>68</v>
      </c>
      <c r="C5" s="4" t="s">
        <v>118</v>
      </c>
      <c r="D5" s="4">
        <v>7</v>
      </c>
      <c r="E5" s="4">
        <v>3</v>
      </c>
      <c r="F5" s="4">
        <v>57</v>
      </c>
      <c r="G5" s="5">
        <v>0.502</v>
      </c>
      <c r="H5" s="4">
        <v>57</v>
      </c>
      <c r="I5" s="5">
        <v>0.42899999999999999</v>
      </c>
      <c r="J5" s="5">
        <v>0.38600000000000001</v>
      </c>
      <c r="K5" s="4">
        <v>19.600000000000001</v>
      </c>
      <c r="L5" s="5">
        <v>0.32</v>
      </c>
      <c r="M5" s="4">
        <v>12.2</v>
      </c>
      <c r="N5" s="4">
        <v>25.2</v>
      </c>
      <c r="O5" s="6">
        <f>528/33</f>
        <v>16</v>
      </c>
      <c r="P5" s="6">
        <f>371/33</f>
        <v>11.242424242424242</v>
      </c>
      <c r="Q5" s="6">
        <f>415/33</f>
        <v>12.575757575757576</v>
      </c>
      <c r="R5" s="10">
        <f>Q5-P5</f>
        <v>1.3333333333333339</v>
      </c>
      <c r="S5" s="9">
        <f>P5/T5</f>
        <v>0.16083582607187755</v>
      </c>
      <c r="T5" s="10">
        <v>69.900000000000006</v>
      </c>
      <c r="U5" s="4">
        <v>81.3</v>
      </c>
      <c r="V5" s="10">
        <f>U5/T5</f>
        <v>1.1630901287553648</v>
      </c>
      <c r="W5" s="4">
        <v>1.1200000000000001</v>
      </c>
      <c r="X5" s="5">
        <v>0.71099999999999997</v>
      </c>
      <c r="Y5" s="4">
        <v>22.9</v>
      </c>
      <c r="Z5" s="5">
        <f>Y5/H5</f>
        <v>0.40175438596491225</v>
      </c>
      <c r="AA5" s="13">
        <f>(0.5*(K5*L5) + (G5*H5))/H5</f>
        <v>0.55701754385964908</v>
      </c>
    </row>
    <row r="6" spans="1:27" x14ac:dyDescent="0.25">
      <c r="A6" s="4">
        <v>2</v>
      </c>
      <c r="B6" s="4" t="s">
        <v>69</v>
      </c>
      <c r="C6" s="4" t="s">
        <v>86</v>
      </c>
      <c r="D6" s="4">
        <v>6</v>
      </c>
      <c r="E6" s="4">
        <v>6</v>
      </c>
      <c r="F6" s="4">
        <v>20</v>
      </c>
      <c r="G6" s="5">
        <v>0.52400000000000002</v>
      </c>
      <c r="H6" s="4">
        <v>54.6</v>
      </c>
      <c r="I6" s="5">
        <v>0.38400000000000001</v>
      </c>
      <c r="J6" s="5">
        <v>0.40799999999999997</v>
      </c>
      <c r="K6" s="4">
        <v>17.399999999999999</v>
      </c>
      <c r="L6" s="5">
        <v>0.32400000000000001</v>
      </c>
      <c r="M6" s="4">
        <v>10.199999999999999</v>
      </c>
      <c r="N6" s="4">
        <v>27.6</v>
      </c>
      <c r="O6" s="6">
        <f>580/34</f>
        <v>17.058823529411764</v>
      </c>
      <c r="P6" s="6">
        <f>359/34</f>
        <v>10.558823529411764</v>
      </c>
      <c r="Q6" s="6">
        <f>394/34</f>
        <v>11.588235294117647</v>
      </c>
      <c r="R6" s="10">
        <f>Q6-P6</f>
        <v>1.0294117647058822</v>
      </c>
      <c r="S6" s="9">
        <f>P6/T6</f>
        <v>0.1559648970371014</v>
      </c>
      <c r="T6" s="10">
        <v>67.7</v>
      </c>
      <c r="U6" s="4">
        <v>78.8</v>
      </c>
      <c r="V6" s="10">
        <f>U6/T6</f>
        <v>1.1639586410635154</v>
      </c>
      <c r="W6" s="4">
        <v>1.01</v>
      </c>
      <c r="X6" s="5">
        <v>0.69099999999999995</v>
      </c>
      <c r="Y6" s="4">
        <v>21.4</v>
      </c>
      <c r="Z6" s="5">
        <f>Y6/H6</f>
        <v>0.39194139194139188</v>
      </c>
      <c r="AA6" s="13">
        <f>(0.5*(K6*L6) + (G6*H6))/H6</f>
        <v>0.57562637362637359</v>
      </c>
    </row>
    <row r="7" spans="1:27" x14ac:dyDescent="0.25">
      <c r="A7" s="4">
        <v>2</v>
      </c>
      <c r="B7" s="4" t="s">
        <v>18</v>
      </c>
      <c r="C7" s="4" t="s">
        <v>87</v>
      </c>
      <c r="D7" s="4">
        <v>4</v>
      </c>
      <c r="E7" s="4">
        <v>27</v>
      </c>
      <c r="F7" s="4">
        <v>1</v>
      </c>
      <c r="G7" s="5">
        <v>0.46300000000000002</v>
      </c>
      <c r="H7" s="4">
        <v>51.4</v>
      </c>
      <c r="I7" s="5">
        <v>0.36099999999999999</v>
      </c>
      <c r="J7" s="5">
        <v>0.36099999999999999</v>
      </c>
      <c r="K7" s="4">
        <v>14</v>
      </c>
      <c r="L7" s="5">
        <v>0.30299999999999999</v>
      </c>
      <c r="M7" s="4">
        <v>10.3</v>
      </c>
      <c r="N7" s="4">
        <v>25.9</v>
      </c>
      <c r="O7" s="6">
        <f>456/32</f>
        <v>14.25</v>
      </c>
      <c r="P7" s="6">
        <f>304/32</f>
        <v>9.5</v>
      </c>
      <c r="Q7" s="6">
        <f>341/32</f>
        <v>10.65625</v>
      </c>
      <c r="R7" s="10">
        <f>Q7-P7</f>
        <v>1.15625</v>
      </c>
      <c r="S7" s="9">
        <f>P7/T7</f>
        <v>0.15780730897009965</v>
      </c>
      <c r="T7" s="10">
        <v>60.2</v>
      </c>
      <c r="U7" s="4">
        <v>65.5</v>
      </c>
      <c r="V7" s="10">
        <f>U7/T7</f>
        <v>1.0880398671096345</v>
      </c>
      <c r="W7" s="4">
        <v>1</v>
      </c>
      <c r="X7" s="5">
        <v>0.72299999999999998</v>
      </c>
      <c r="Y7" s="4">
        <v>17.600000000000001</v>
      </c>
      <c r="Z7" s="5">
        <f>Y7/H7</f>
        <v>0.34241245136186776</v>
      </c>
      <c r="AA7" s="13">
        <f>(0.5*(K7*L7) + (G7*H7))/H7</f>
        <v>0.50426459143968871</v>
      </c>
    </row>
    <row r="8" spans="1:27" x14ac:dyDescent="0.25">
      <c r="A8" s="4">
        <v>2</v>
      </c>
      <c r="B8" s="4" t="s">
        <v>35</v>
      </c>
      <c r="C8" s="4" t="s">
        <v>100</v>
      </c>
      <c r="D8" s="4">
        <v>2</v>
      </c>
      <c r="E8" s="4">
        <v>11</v>
      </c>
      <c r="F8" s="4">
        <v>3</v>
      </c>
      <c r="G8" s="5">
        <v>0.48899999999999999</v>
      </c>
      <c r="H8" s="4">
        <v>54.6</v>
      </c>
      <c r="I8" s="7">
        <v>0.39200000000000002</v>
      </c>
      <c r="J8" s="5">
        <v>0.36</v>
      </c>
      <c r="K8" s="4">
        <v>14.1</v>
      </c>
      <c r="L8" s="5">
        <v>0.32800000000000001</v>
      </c>
      <c r="M8" s="4">
        <v>10.8</v>
      </c>
      <c r="N8" s="4">
        <v>26.4</v>
      </c>
      <c r="O8" s="6">
        <f>609/34</f>
        <v>17.911764705882351</v>
      </c>
      <c r="P8" s="6">
        <f>381/34</f>
        <v>11.205882352941176</v>
      </c>
      <c r="Q8" s="6">
        <f>481/34</f>
        <v>14.147058823529411</v>
      </c>
      <c r="R8" s="10">
        <f>Q8-P8</f>
        <v>2.9411764705882355</v>
      </c>
      <c r="S8" s="9">
        <f>P8/T8</f>
        <v>0.1605427271195011</v>
      </c>
      <c r="T8" s="10">
        <v>69.8</v>
      </c>
      <c r="U8" s="4">
        <v>76.599999999999994</v>
      </c>
      <c r="V8" s="10">
        <f>U8/T8</f>
        <v>1.0974212034383954</v>
      </c>
      <c r="W8" s="4">
        <v>0.99</v>
      </c>
      <c r="X8" s="5">
        <v>0.69899999999999995</v>
      </c>
      <c r="Y8" s="4">
        <v>25.7</v>
      </c>
      <c r="Z8" s="5">
        <f>Y8/H8</f>
        <v>0.47069597069597069</v>
      </c>
      <c r="AA8" s="13">
        <f>(0.5*(K8*L8) + (G8*H8))/H8</f>
        <v>0.53135164835164839</v>
      </c>
    </row>
    <row r="9" spans="1:27" x14ac:dyDescent="0.25">
      <c r="A9" s="4">
        <v>2</v>
      </c>
      <c r="B9" s="4" t="s">
        <v>52</v>
      </c>
      <c r="C9" s="4" t="s">
        <v>91</v>
      </c>
      <c r="D9" s="4">
        <v>11</v>
      </c>
      <c r="E9" s="4">
        <v>37</v>
      </c>
      <c r="F9" s="4">
        <v>7</v>
      </c>
      <c r="G9" s="5">
        <v>0.44</v>
      </c>
      <c r="H9" s="4">
        <v>55</v>
      </c>
      <c r="I9" s="5">
        <v>0.39500000000000002</v>
      </c>
      <c r="J9" s="5">
        <v>0.375</v>
      </c>
      <c r="K9" s="4">
        <v>15.5</v>
      </c>
      <c r="L9" s="5">
        <v>0.309</v>
      </c>
      <c r="M9" s="4">
        <v>11.8</v>
      </c>
      <c r="N9" s="4">
        <v>26.1</v>
      </c>
      <c r="O9" s="6">
        <f>599/34</f>
        <v>17.617647058823529</v>
      </c>
      <c r="P9" s="6">
        <f>435/34</f>
        <v>12.794117647058824</v>
      </c>
      <c r="Q9" s="6">
        <f>398/34</f>
        <v>11.705882352941176</v>
      </c>
      <c r="R9" s="10">
        <f>Q9-P9</f>
        <v>-1.0882352941176485</v>
      </c>
      <c r="S9" s="9">
        <f>P9/T9</f>
        <v>0.18542199488491048</v>
      </c>
      <c r="T9" s="10">
        <v>69</v>
      </c>
      <c r="U9" s="4">
        <v>71.900000000000006</v>
      </c>
      <c r="V9" s="10">
        <f>U9/T9</f>
        <v>1.0420289855072464</v>
      </c>
      <c r="W9" s="4">
        <v>1.02</v>
      </c>
      <c r="X9" s="5">
        <v>0.72</v>
      </c>
      <c r="Y9" s="4">
        <v>23.6</v>
      </c>
      <c r="Z9" s="5">
        <f>Y9/H9</f>
        <v>0.42909090909090913</v>
      </c>
      <c r="AA9" s="13">
        <f>(0.5*(K9*L9) + (G9*H9))/H9</f>
        <v>0.48354090909090902</v>
      </c>
    </row>
    <row r="10" spans="1:27" x14ac:dyDescent="0.25">
      <c r="A10" s="4">
        <v>3</v>
      </c>
      <c r="B10" s="4" t="s">
        <v>53</v>
      </c>
      <c r="C10" s="4" t="s">
        <v>112</v>
      </c>
      <c r="D10" s="4">
        <v>10</v>
      </c>
      <c r="E10" s="4">
        <v>2</v>
      </c>
      <c r="F10" s="4">
        <v>112</v>
      </c>
      <c r="G10" s="5">
        <v>0.51</v>
      </c>
      <c r="H10" s="4">
        <v>54.5</v>
      </c>
      <c r="I10" s="5">
        <v>0.42699999999999999</v>
      </c>
      <c r="J10" s="5">
        <v>0.39200000000000002</v>
      </c>
      <c r="K10" s="4">
        <v>21.1</v>
      </c>
      <c r="L10" s="5">
        <v>0.32900000000000001</v>
      </c>
      <c r="M10" s="4">
        <v>8.3000000000000007</v>
      </c>
      <c r="N10" s="4">
        <v>24.4</v>
      </c>
      <c r="O10" s="6">
        <f>483/34</f>
        <v>14.205882352941176</v>
      </c>
      <c r="P10" s="6">
        <f>319/34</f>
        <v>9.382352941176471</v>
      </c>
      <c r="Q10" s="6">
        <f>384/34</f>
        <v>11.294117647058824</v>
      </c>
      <c r="R10" s="10">
        <f>Q10-P10</f>
        <v>1.9117647058823533</v>
      </c>
      <c r="S10" s="9">
        <f>P10/T10</f>
        <v>0.14024443858260793</v>
      </c>
      <c r="T10" s="10">
        <v>66.900000000000006</v>
      </c>
      <c r="U10" s="4">
        <v>78.900000000000006</v>
      </c>
      <c r="V10" s="10">
        <f>U10/T10</f>
        <v>1.1793721973094171</v>
      </c>
      <c r="W10" s="4">
        <v>0.81</v>
      </c>
      <c r="X10" s="5">
        <v>0.74</v>
      </c>
      <c r="Y10" s="4">
        <v>20.2</v>
      </c>
      <c r="Z10" s="5">
        <f>Y10/H10</f>
        <v>0.37064220183486235</v>
      </c>
      <c r="AA10" s="13">
        <f>(0.5*(K10*L10) + (G10*H10))/H10</f>
        <v>0.57368715596330278</v>
      </c>
    </row>
    <row r="11" spans="1:27" x14ac:dyDescent="0.25">
      <c r="A11" s="4">
        <v>3</v>
      </c>
      <c r="B11" s="4" t="s">
        <v>70</v>
      </c>
      <c r="C11" s="4" t="s">
        <v>90</v>
      </c>
      <c r="D11" s="4">
        <v>13</v>
      </c>
      <c r="E11" s="4">
        <v>7</v>
      </c>
      <c r="F11" s="4">
        <v>82</v>
      </c>
      <c r="G11" s="5">
        <v>0.48</v>
      </c>
      <c r="H11" s="4">
        <v>57.8</v>
      </c>
      <c r="I11" s="5">
        <v>0.41799999999999998</v>
      </c>
      <c r="J11" s="5">
        <v>0.36599999999999999</v>
      </c>
      <c r="K11" s="4">
        <v>21.3</v>
      </c>
      <c r="L11" s="5">
        <v>0.35199999999999998</v>
      </c>
      <c r="M11" s="4">
        <v>9.5</v>
      </c>
      <c r="N11" s="4">
        <v>26.4</v>
      </c>
      <c r="O11" s="6">
        <f>512/33</f>
        <v>15.515151515151516</v>
      </c>
      <c r="P11" s="6">
        <f>364/33</f>
        <v>11.030303030303031</v>
      </c>
      <c r="Q11" s="6">
        <f>427/33</f>
        <v>12.939393939393939</v>
      </c>
      <c r="R11" s="10">
        <f>Q11-P11</f>
        <v>1.9090909090909083</v>
      </c>
      <c r="S11" s="9">
        <f>P11/T11</f>
        <v>0.15214211076280043</v>
      </c>
      <c r="T11" s="10">
        <v>72.5</v>
      </c>
      <c r="U11" s="4">
        <v>79.3</v>
      </c>
      <c r="V11" s="10">
        <f>U11/T11</f>
        <v>1.0937931034482757</v>
      </c>
      <c r="W11" s="4">
        <v>0.77</v>
      </c>
      <c r="X11" s="5">
        <v>0.69599999999999995</v>
      </c>
      <c r="Y11" s="4">
        <v>21.6</v>
      </c>
      <c r="Z11" s="5">
        <f>Y11/H11</f>
        <v>0.37370242214532878</v>
      </c>
      <c r="AA11" s="13">
        <f>(0.5*(K11*L11) + (G11*H11))/H11</f>
        <v>0.5448581314878892</v>
      </c>
    </row>
    <row r="12" spans="1:27" x14ac:dyDescent="0.25">
      <c r="A12" s="4">
        <v>3</v>
      </c>
      <c r="B12" s="4" t="s">
        <v>19</v>
      </c>
      <c r="C12" s="4" t="s">
        <v>88</v>
      </c>
      <c r="D12" s="4">
        <v>9</v>
      </c>
      <c r="E12" s="4">
        <v>50</v>
      </c>
      <c r="F12" s="4">
        <v>5</v>
      </c>
      <c r="G12" s="5">
        <v>0.436</v>
      </c>
      <c r="H12" s="4">
        <v>58.6</v>
      </c>
      <c r="I12" s="5">
        <v>0.38500000000000001</v>
      </c>
      <c r="J12" s="5">
        <v>0.34300000000000003</v>
      </c>
      <c r="K12" s="4">
        <v>19.7</v>
      </c>
      <c r="L12" s="5">
        <v>0.309</v>
      </c>
      <c r="M12" s="4">
        <v>11</v>
      </c>
      <c r="N12" s="4">
        <v>27.1</v>
      </c>
      <c r="O12" s="6">
        <f>525/32</f>
        <v>16.40625</v>
      </c>
      <c r="P12" s="6">
        <f>388/32</f>
        <v>12.125</v>
      </c>
      <c r="Q12" s="6">
        <f>443/32</f>
        <v>13.84375</v>
      </c>
      <c r="R12" s="10">
        <f>Q12-P12</f>
        <v>1.71875</v>
      </c>
      <c r="S12" s="9">
        <f>P12/T12</f>
        <v>0.16770401106500693</v>
      </c>
      <c r="T12" s="10">
        <v>72.3</v>
      </c>
      <c r="U12" s="4">
        <v>72.400000000000006</v>
      </c>
      <c r="V12" s="10">
        <f>U12/T12</f>
        <v>1.0013831258644539</v>
      </c>
      <c r="W12" s="4">
        <v>0.91</v>
      </c>
      <c r="X12" s="5">
        <v>0.73499999999999999</v>
      </c>
      <c r="Y12" s="4">
        <v>19.100000000000001</v>
      </c>
      <c r="Z12" s="5">
        <f>Y12/H12</f>
        <v>0.32593856655290104</v>
      </c>
      <c r="AA12" s="13">
        <f>(0.5*(K12*L12) + (G12*H12))/H12</f>
        <v>0.48793941979522187</v>
      </c>
    </row>
    <row r="13" spans="1:27" x14ac:dyDescent="0.25">
      <c r="A13" s="4">
        <v>3</v>
      </c>
      <c r="B13" s="4" t="s">
        <v>36</v>
      </c>
      <c r="C13" s="4" t="s">
        <v>101</v>
      </c>
      <c r="D13" s="4">
        <v>15</v>
      </c>
      <c r="E13" s="4">
        <v>13</v>
      </c>
      <c r="F13" s="4">
        <v>33</v>
      </c>
      <c r="G13" s="5">
        <v>0.434</v>
      </c>
      <c r="H13" s="4">
        <v>55.5</v>
      </c>
      <c r="I13" s="7">
        <v>0.40200000000000002</v>
      </c>
      <c r="J13" s="5">
        <v>0.377</v>
      </c>
      <c r="K13" s="4">
        <v>18.399999999999999</v>
      </c>
      <c r="L13" s="5">
        <v>0.3</v>
      </c>
      <c r="M13" s="4">
        <v>14.7</v>
      </c>
      <c r="N13" s="4">
        <v>24.5</v>
      </c>
      <c r="O13" s="6">
        <f>552/33</f>
        <v>16.727272727272727</v>
      </c>
      <c r="P13" s="6">
        <f>413/33</f>
        <v>12.515151515151516</v>
      </c>
      <c r="Q13" s="6">
        <f>404/33</f>
        <v>12.242424242424242</v>
      </c>
      <c r="R13" s="10">
        <f>Q13-P13</f>
        <v>-0.27272727272727337</v>
      </c>
      <c r="S13" s="9">
        <f>P13/T13</f>
        <v>0.19077974870657799</v>
      </c>
      <c r="T13" s="10">
        <v>65.599999999999994</v>
      </c>
      <c r="U13" s="4">
        <v>69.7</v>
      </c>
      <c r="V13" s="10">
        <f>U13/T13</f>
        <v>1.0625000000000002</v>
      </c>
      <c r="W13" s="4">
        <v>1.17</v>
      </c>
      <c r="X13" s="5">
        <v>0.67</v>
      </c>
      <c r="Y13" s="4">
        <v>21.5</v>
      </c>
      <c r="Z13" s="5">
        <f>Y13/H13</f>
        <v>0.38738738738738737</v>
      </c>
      <c r="AA13" s="13">
        <f>(0.5*(K13*L13) + (G13*H13))/H13</f>
        <v>0.48372972972972977</v>
      </c>
    </row>
    <row r="14" spans="1:27" x14ac:dyDescent="0.25">
      <c r="A14" s="4">
        <v>4</v>
      </c>
      <c r="B14" s="4" t="s">
        <v>20</v>
      </c>
      <c r="C14" s="4" t="s">
        <v>89</v>
      </c>
      <c r="D14" s="4">
        <v>18</v>
      </c>
      <c r="E14" s="4">
        <v>95</v>
      </c>
      <c r="F14" s="4">
        <v>6</v>
      </c>
      <c r="G14" s="5">
        <v>0.42899999999999999</v>
      </c>
      <c r="H14" s="4">
        <v>57.1</v>
      </c>
      <c r="I14" s="5">
        <v>0.38900000000000001</v>
      </c>
      <c r="J14" s="5">
        <v>0.30399999999999999</v>
      </c>
      <c r="K14" s="4">
        <v>18.600000000000001</v>
      </c>
      <c r="L14" s="5">
        <v>0.29299999999999998</v>
      </c>
      <c r="M14" s="4">
        <v>12.9</v>
      </c>
      <c r="N14" s="4">
        <v>25.3</v>
      </c>
      <c r="O14" s="6">
        <f>567/32</f>
        <v>17.71875</v>
      </c>
      <c r="P14" s="6">
        <f>378/32</f>
        <v>11.8125</v>
      </c>
      <c r="Q14" s="6">
        <f>463/32</f>
        <v>14.46875</v>
      </c>
      <c r="R14" s="10">
        <f>Q14-P14</f>
        <v>2.65625</v>
      </c>
      <c r="S14" s="9">
        <f>P14/T14</f>
        <v>0.17144412191582001</v>
      </c>
      <c r="T14" s="10">
        <v>68.900000000000006</v>
      </c>
      <c r="U14" s="4">
        <v>69.5</v>
      </c>
      <c r="V14" s="10">
        <f>U14/T14</f>
        <v>1.0087082728592163</v>
      </c>
      <c r="W14" s="4">
        <v>0.99</v>
      </c>
      <c r="X14" s="5">
        <v>0.66</v>
      </c>
      <c r="Y14" s="4">
        <v>22.2</v>
      </c>
      <c r="Z14" s="5">
        <f>Y14/H14</f>
        <v>0.38879159369527144</v>
      </c>
      <c r="AA14" s="13">
        <f>(0.5*(K14*L14) + (G14*H14))/H14</f>
        <v>0.47672154115586685</v>
      </c>
    </row>
    <row r="15" spans="1:27" x14ac:dyDescent="0.25">
      <c r="A15" s="4">
        <v>4</v>
      </c>
      <c r="B15" s="4" t="s">
        <v>37</v>
      </c>
      <c r="C15" s="4" t="s">
        <v>102</v>
      </c>
      <c r="D15" s="4">
        <v>16</v>
      </c>
      <c r="E15" s="4">
        <v>12</v>
      </c>
      <c r="F15" s="4">
        <v>45</v>
      </c>
      <c r="G15" s="5">
        <v>0.47499999999999998</v>
      </c>
      <c r="H15" s="4">
        <v>61.3</v>
      </c>
      <c r="I15" s="7">
        <v>0.39800000000000002</v>
      </c>
      <c r="J15" s="5">
        <v>0.34499999999999997</v>
      </c>
      <c r="K15" s="4">
        <v>13.8</v>
      </c>
      <c r="L15" s="5">
        <v>0.29799999999999999</v>
      </c>
      <c r="M15" s="4">
        <v>13.9</v>
      </c>
      <c r="N15" s="4">
        <v>27.1</v>
      </c>
      <c r="O15" s="6">
        <f>675/35</f>
        <v>19.285714285714285</v>
      </c>
      <c r="P15" s="6">
        <f>444/35</f>
        <v>12.685714285714285</v>
      </c>
      <c r="Q15" s="6">
        <f>435/35</f>
        <v>12.428571428571429</v>
      </c>
      <c r="R15" s="10">
        <f>Q15-P15</f>
        <v>-0.25714285714285623</v>
      </c>
      <c r="S15" s="9">
        <f>P15/T15</f>
        <v>0.17497536945812808</v>
      </c>
      <c r="T15" s="10">
        <v>72.5</v>
      </c>
      <c r="U15" s="4">
        <v>78.2</v>
      </c>
      <c r="V15" s="10">
        <f>U15/T15</f>
        <v>1.0786206896551724</v>
      </c>
      <c r="W15" s="4">
        <v>1.19</v>
      </c>
      <c r="X15" s="5">
        <v>0.7</v>
      </c>
      <c r="Y15" s="4">
        <v>21.3</v>
      </c>
      <c r="Z15" s="5">
        <f>Y15/H15</f>
        <v>0.34747145187601958</v>
      </c>
      <c r="AA15" s="13">
        <f>(0.5*(K15*L15) + (G15*H15))/H15</f>
        <v>0.50854323001631319</v>
      </c>
    </row>
    <row r="16" spans="1:27" x14ac:dyDescent="0.25">
      <c r="A16" s="4">
        <v>4</v>
      </c>
      <c r="B16" s="4" t="s">
        <v>54</v>
      </c>
      <c r="C16" s="4" t="s">
        <v>113</v>
      </c>
      <c r="D16" s="4">
        <v>33</v>
      </c>
      <c r="E16" s="4">
        <v>56</v>
      </c>
      <c r="F16" s="4">
        <v>36</v>
      </c>
      <c r="G16" s="5">
        <v>0.438</v>
      </c>
      <c r="H16" s="4">
        <v>51.3</v>
      </c>
      <c r="I16" s="5">
        <v>0.39600000000000002</v>
      </c>
      <c r="J16" s="5">
        <v>0.372</v>
      </c>
      <c r="K16" s="4">
        <v>19.600000000000001</v>
      </c>
      <c r="L16" s="5">
        <v>0.313</v>
      </c>
      <c r="M16" s="4">
        <v>9.1999999999999993</v>
      </c>
      <c r="N16" s="4">
        <v>25.9</v>
      </c>
      <c r="O16" s="6">
        <f>546/33</f>
        <v>16.545454545454547</v>
      </c>
      <c r="P16" s="6">
        <f>397/33</f>
        <v>12.030303030303031</v>
      </c>
      <c r="Q16" s="6">
        <f>372/33</f>
        <v>11.272727272727273</v>
      </c>
      <c r="R16" s="10">
        <f>Q16-P16</f>
        <v>-0.75757575757575779</v>
      </c>
      <c r="S16" s="9">
        <f>P16/T16</f>
        <v>0.17902236652236653</v>
      </c>
      <c r="T16" s="10">
        <v>67.2</v>
      </c>
      <c r="U16" s="4">
        <v>69.7</v>
      </c>
      <c r="V16" s="10">
        <f>U16/T16</f>
        <v>1.0372023809523809</v>
      </c>
      <c r="W16" s="4">
        <v>0.84</v>
      </c>
      <c r="X16" s="5">
        <v>0.75700000000000001</v>
      </c>
      <c r="Y16" s="4">
        <v>22.8</v>
      </c>
      <c r="Z16" s="5">
        <f>Y16/H16</f>
        <v>0.44444444444444448</v>
      </c>
      <c r="AA16" s="13">
        <f>(0.5*(K16*L16) + (G16*H16))/H16</f>
        <v>0.49779337231968812</v>
      </c>
    </row>
    <row r="17" spans="1:27" x14ac:dyDescent="0.25">
      <c r="A17" s="4">
        <v>4</v>
      </c>
      <c r="B17" s="4" t="s">
        <v>71</v>
      </c>
      <c r="C17" s="4" t="s">
        <v>119</v>
      </c>
      <c r="D17" s="4">
        <v>22</v>
      </c>
      <c r="E17" s="4">
        <v>41</v>
      </c>
      <c r="F17" s="4">
        <v>25</v>
      </c>
      <c r="G17" s="5">
        <v>0.45500000000000002</v>
      </c>
      <c r="H17" s="4">
        <v>53.2</v>
      </c>
      <c r="I17" s="5">
        <v>0.40300000000000002</v>
      </c>
      <c r="J17" s="5">
        <v>0.34699999999999998</v>
      </c>
      <c r="K17" s="4">
        <v>16.8</v>
      </c>
      <c r="L17" s="5">
        <v>0.35899999999999999</v>
      </c>
      <c r="M17" s="4">
        <v>11.2</v>
      </c>
      <c r="N17" s="4">
        <v>23.9</v>
      </c>
      <c r="O17" s="6">
        <f>626/31</f>
        <v>20.193548387096776</v>
      </c>
      <c r="P17" s="6">
        <f>392/31</f>
        <v>12.64516129032258</v>
      </c>
      <c r="Q17" s="6">
        <f>420/31</f>
        <v>13.548387096774194</v>
      </c>
      <c r="R17" s="10">
        <f>Q17-P17</f>
        <v>0.90322580645161388</v>
      </c>
      <c r="S17" s="9">
        <f>P17/T17</f>
        <v>0.1840634831196882</v>
      </c>
      <c r="T17" s="10">
        <v>68.7</v>
      </c>
      <c r="U17" s="4">
        <v>71.3</v>
      </c>
      <c r="V17" s="10">
        <f>U17/T17</f>
        <v>1.0378457059679767</v>
      </c>
      <c r="W17" s="4">
        <v>0.97</v>
      </c>
      <c r="X17" s="5">
        <v>0.70199999999999996</v>
      </c>
      <c r="Y17" s="4">
        <v>23.5</v>
      </c>
      <c r="Z17" s="5">
        <f>Y17/H17</f>
        <v>0.44172932330827064</v>
      </c>
      <c r="AA17" s="13">
        <f>(0.5*(K17*L17) + (G17*H17))/H17</f>
        <v>0.51168421052631585</v>
      </c>
    </row>
    <row r="18" spans="1:27" x14ac:dyDescent="0.25">
      <c r="A18" s="4">
        <v>5</v>
      </c>
      <c r="B18" s="4" t="s">
        <v>38</v>
      </c>
      <c r="C18" s="4" t="s">
        <v>91</v>
      </c>
      <c r="D18" s="4">
        <v>29</v>
      </c>
      <c r="E18" s="4">
        <v>21</v>
      </c>
      <c r="F18" s="4">
        <v>81</v>
      </c>
      <c r="G18" s="5">
        <v>0.44700000000000001</v>
      </c>
      <c r="H18" s="4">
        <v>61.3</v>
      </c>
      <c r="I18" s="7">
        <v>0.43099999999999999</v>
      </c>
      <c r="J18" s="5">
        <v>0.35</v>
      </c>
      <c r="K18" s="4">
        <v>19.100000000000001</v>
      </c>
      <c r="L18" s="5">
        <v>0.35299999999999998</v>
      </c>
      <c r="M18" s="4">
        <v>13</v>
      </c>
      <c r="N18" s="4">
        <v>22.8</v>
      </c>
      <c r="O18" s="6">
        <f>645/34</f>
        <v>18.970588235294116</v>
      </c>
      <c r="P18" s="6">
        <f>399/34</f>
        <v>11.735294117647058</v>
      </c>
      <c r="Q18" s="6">
        <f>543/34</f>
        <v>15.970588235294118</v>
      </c>
      <c r="R18" s="10">
        <f>Q18-P18</f>
        <v>4.2352941176470598</v>
      </c>
      <c r="S18" s="9">
        <f>P18/T18</f>
        <v>0.16031822565091608</v>
      </c>
      <c r="T18" s="10">
        <v>73.2</v>
      </c>
      <c r="U18" s="4">
        <v>79</v>
      </c>
      <c r="V18" s="10">
        <f>U18/T18</f>
        <v>1.0792349726775956</v>
      </c>
      <c r="W18" s="4">
        <v>1</v>
      </c>
      <c r="X18" s="5">
        <v>0.72399999999999998</v>
      </c>
      <c r="Y18" s="4">
        <v>22.8</v>
      </c>
      <c r="Z18" s="5">
        <f>Y18/H18</f>
        <v>0.37194127243066888</v>
      </c>
      <c r="AA18" s="13">
        <f>(0.5*(K18*L18) + (G18*H18))/H18</f>
        <v>0.50199429037520393</v>
      </c>
    </row>
    <row r="19" spans="1:27" x14ac:dyDescent="0.25">
      <c r="A19" s="4">
        <v>5</v>
      </c>
      <c r="B19" s="4" t="s">
        <v>21</v>
      </c>
      <c r="C19" s="4" t="s">
        <v>92</v>
      </c>
      <c r="D19" s="4">
        <v>12</v>
      </c>
      <c r="E19" s="4">
        <v>15</v>
      </c>
      <c r="F19" s="4">
        <v>16</v>
      </c>
      <c r="G19" s="5">
        <v>0.48599999999999999</v>
      </c>
      <c r="H19" s="4">
        <v>46.2</v>
      </c>
      <c r="I19" s="5">
        <v>0.39100000000000001</v>
      </c>
      <c r="J19" s="5">
        <v>0.39700000000000002</v>
      </c>
      <c r="K19" s="4">
        <v>18.5</v>
      </c>
      <c r="L19" s="5">
        <v>0.315</v>
      </c>
      <c r="M19" s="4">
        <v>7.2</v>
      </c>
      <c r="N19" s="4">
        <v>23.6</v>
      </c>
      <c r="O19" s="6">
        <f>474/33</f>
        <v>14.363636363636363</v>
      </c>
      <c r="P19" s="6">
        <f>346/33</f>
        <v>10.484848484848484</v>
      </c>
      <c r="Q19" s="6">
        <f>372/33</f>
        <v>11.272727272727273</v>
      </c>
      <c r="R19" s="10">
        <f>Q19-P19</f>
        <v>0.78787878787878896</v>
      </c>
      <c r="S19" s="9">
        <f>P19/T19</f>
        <v>0.17416691835296486</v>
      </c>
      <c r="T19" s="10">
        <v>60.2</v>
      </c>
      <c r="U19" s="4">
        <v>65.400000000000006</v>
      </c>
      <c r="V19" s="10">
        <f>U19/T19</f>
        <v>1.0863787375415284</v>
      </c>
      <c r="W19" s="4">
        <v>0.77</v>
      </c>
      <c r="X19" s="5">
        <v>0.72599999999999998</v>
      </c>
      <c r="Y19" s="4">
        <v>18.600000000000001</v>
      </c>
      <c r="Z19" s="5">
        <f>Y19/H19</f>
        <v>0.40259740259740262</v>
      </c>
      <c r="AA19" s="13">
        <f>(0.5*(K19*L19) + (G19*H19))/H19</f>
        <v>0.54906818181818184</v>
      </c>
    </row>
    <row r="20" spans="1:27" x14ac:dyDescent="0.25">
      <c r="A20" s="4">
        <v>5</v>
      </c>
      <c r="B20" s="4" t="s">
        <v>72</v>
      </c>
      <c r="C20" s="4" t="s">
        <v>89</v>
      </c>
      <c r="D20" s="4">
        <v>8</v>
      </c>
      <c r="E20" s="4">
        <v>18</v>
      </c>
      <c r="F20" s="4">
        <v>8</v>
      </c>
      <c r="G20" s="5">
        <v>0.48499999999999999</v>
      </c>
      <c r="H20" s="4">
        <v>50.8</v>
      </c>
      <c r="I20" s="5">
        <v>0.38300000000000001</v>
      </c>
      <c r="J20" s="5">
        <v>0.40400000000000003</v>
      </c>
      <c r="K20" s="4">
        <v>19.100000000000001</v>
      </c>
      <c r="L20" s="5">
        <v>0.31900000000000001</v>
      </c>
      <c r="M20" s="4">
        <v>9.3000000000000007</v>
      </c>
      <c r="N20" s="4">
        <v>25.7</v>
      </c>
      <c r="O20" s="6">
        <f>534/32</f>
        <v>16.6875</v>
      </c>
      <c r="P20" s="6">
        <f>366/32</f>
        <v>11.4375</v>
      </c>
      <c r="Q20" s="6">
        <f>373/32</f>
        <v>11.65625</v>
      </c>
      <c r="R20" s="10">
        <f>Q20-P20</f>
        <v>0.21875</v>
      </c>
      <c r="S20" s="9">
        <f>P20/T20</f>
        <v>0.1751531393568147</v>
      </c>
      <c r="T20" s="10">
        <v>65.3</v>
      </c>
      <c r="U20" s="4">
        <v>72.099999999999994</v>
      </c>
      <c r="V20" s="10">
        <f>U20/T20</f>
        <v>1.1041347626339968</v>
      </c>
      <c r="W20" s="4">
        <v>0.93</v>
      </c>
      <c r="X20" s="5">
        <v>0.69899999999999995</v>
      </c>
      <c r="Y20" s="4">
        <v>21.6</v>
      </c>
      <c r="Z20" s="5">
        <f>Y20/H20</f>
        <v>0.42519685039370086</v>
      </c>
      <c r="AA20" s="13">
        <f>(0.5*(K20*L20) + (G20*H20))/H20</f>
        <v>0.54496948818897639</v>
      </c>
    </row>
    <row r="21" spans="1:27" x14ac:dyDescent="0.25">
      <c r="A21" s="4">
        <v>5</v>
      </c>
      <c r="B21" s="4" t="s">
        <v>55</v>
      </c>
      <c r="C21" s="4" t="s">
        <v>114</v>
      </c>
      <c r="D21" s="4">
        <v>25</v>
      </c>
      <c r="E21" s="4">
        <v>33</v>
      </c>
      <c r="F21" s="4">
        <v>47</v>
      </c>
      <c r="G21" s="5">
        <v>0.41199999999999998</v>
      </c>
      <c r="H21" s="4">
        <v>61.7</v>
      </c>
      <c r="I21" s="5">
        <v>0.46800000000000003</v>
      </c>
      <c r="J21" s="5">
        <v>0.318</v>
      </c>
      <c r="K21" s="4">
        <v>20.9</v>
      </c>
      <c r="L21" s="5">
        <v>0.36599999999999999</v>
      </c>
      <c r="M21" s="4">
        <v>16.8</v>
      </c>
      <c r="N21" s="4">
        <v>19.899999999999999</v>
      </c>
      <c r="O21" s="6">
        <f>747/32</f>
        <v>23.34375</v>
      </c>
      <c r="P21" s="6">
        <f>418/32</f>
        <v>13.0625</v>
      </c>
      <c r="Q21" s="6">
        <f>628/32</f>
        <v>19.625</v>
      </c>
      <c r="R21" s="10">
        <f>Q21-P21</f>
        <v>6.5625</v>
      </c>
      <c r="S21" s="9">
        <f>P21/T21</f>
        <v>0.17967675378266848</v>
      </c>
      <c r="T21" s="10">
        <v>72.7</v>
      </c>
      <c r="U21" s="4">
        <v>74.099999999999994</v>
      </c>
      <c r="V21" s="10">
        <f>U21/T21</f>
        <v>1.0192572214580466</v>
      </c>
      <c r="W21" s="4">
        <v>1.1499999999999999</v>
      </c>
      <c r="X21" s="5">
        <v>0.66</v>
      </c>
      <c r="Y21" s="4">
        <v>24.9</v>
      </c>
      <c r="Z21" s="5">
        <f>Y21/H21</f>
        <v>0.40356564019448943</v>
      </c>
      <c r="AA21" s="13">
        <f>(0.5*(K21*L21) + (G21*H21))/H21</f>
        <v>0.47398865478119934</v>
      </c>
    </row>
    <row r="22" spans="1:27" x14ac:dyDescent="0.25">
      <c r="A22" s="4">
        <v>6</v>
      </c>
      <c r="B22" s="4" t="s">
        <v>56</v>
      </c>
      <c r="C22" s="4" t="s">
        <v>88</v>
      </c>
      <c r="D22" s="4">
        <v>23</v>
      </c>
      <c r="E22" s="4">
        <v>67</v>
      </c>
      <c r="F22" s="4">
        <v>10</v>
      </c>
      <c r="G22" s="5">
        <v>0.439</v>
      </c>
      <c r="H22" s="4">
        <v>55.3</v>
      </c>
      <c r="I22" s="5">
        <v>0.41599999999999998</v>
      </c>
      <c r="J22" s="5">
        <v>0.35799999999999998</v>
      </c>
      <c r="K22" s="4">
        <v>16.100000000000001</v>
      </c>
      <c r="L22" s="5">
        <v>0.30599999999999999</v>
      </c>
      <c r="M22" s="4">
        <v>12.2</v>
      </c>
      <c r="N22" s="4">
        <v>24.5</v>
      </c>
      <c r="O22" s="6">
        <f>564/32</f>
        <v>17.625</v>
      </c>
      <c r="P22" s="6">
        <f>364/32</f>
        <v>11.375</v>
      </c>
      <c r="Q22" s="6">
        <f>403/32</f>
        <v>12.59375</v>
      </c>
      <c r="R22" s="10">
        <f>Q22-P22</f>
        <v>1.21875</v>
      </c>
      <c r="S22" s="9">
        <f>P22/T22</f>
        <v>0.16977611940298507</v>
      </c>
      <c r="T22" s="10">
        <v>67</v>
      </c>
      <c r="U22" s="4">
        <v>69.8</v>
      </c>
      <c r="V22" s="10">
        <f>U22/T22</f>
        <v>1.0417910447761194</v>
      </c>
      <c r="W22" s="4">
        <v>0.94</v>
      </c>
      <c r="X22" s="5">
        <v>0.68</v>
      </c>
      <c r="Y22" s="4">
        <v>22.4</v>
      </c>
      <c r="Z22" s="5">
        <f>Y22/H22</f>
        <v>0.4050632911392405</v>
      </c>
      <c r="AA22" s="13">
        <f>(0.5*(K22*L22) + (G22*H22))/H22</f>
        <v>0.48354430379746838</v>
      </c>
    </row>
    <row r="23" spans="1:27" x14ac:dyDescent="0.25">
      <c r="A23" s="4">
        <v>6</v>
      </c>
      <c r="B23" s="4" t="s">
        <v>22</v>
      </c>
      <c r="C23" s="4" t="s">
        <v>93</v>
      </c>
      <c r="D23" s="4">
        <v>28</v>
      </c>
      <c r="E23" s="4">
        <v>38</v>
      </c>
      <c r="F23" s="4">
        <v>48</v>
      </c>
      <c r="G23" s="5">
        <v>0.442</v>
      </c>
      <c r="H23" s="4">
        <v>55.5</v>
      </c>
      <c r="I23" s="5">
        <v>0.42099999999999999</v>
      </c>
      <c r="J23" s="5">
        <v>0.38200000000000001</v>
      </c>
      <c r="K23" s="4">
        <v>17.3</v>
      </c>
      <c r="L23" s="5">
        <v>0.33300000000000002</v>
      </c>
      <c r="M23" s="4">
        <v>12.1</v>
      </c>
      <c r="N23" s="4">
        <v>24</v>
      </c>
      <c r="O23" s="6">
        <f>607/33</f>
        <v>18.393939393939394</v>
      </c>
      <c r="P23" s="6">
        <f>391/33</f>
        <v>11.848484848484848</v>
      </c>
      <c r="Q23" s="6">
        <f>430/33</f>
        <v>13.030303030303031</v>
      </c>
      <c r="R23" s="10">
        <f>Q23-P23</f>
        <v>1.1818181818181834</v>
      </c>
      <c r="S23" s="9">
        <f>P23/T23</f>
        <v>0.17297058172970581</v>
      </c>
      <c r="T23" s="10">
        <v>68.5</v>
      </c>
      <c r="U23" s="4">
        <v>70.400000000000006</v>
      </c>
      <c r="V23" s="10">
        <f>U23/T23</f>
        <v>1.0277372262773723</v>
      </c>
      <c r="W23" s="4">
        <v>0.95</v>
      </c>
      <c r="X23" s="5">
        <v>0.71599999999999997</v>
      </c>
      <c r="Y23" s="4">
        <v>20.3</v>
      </c>
      <c r="Z23" s="5">
        <f>Y23/H23</f>
        <v>0.3657657657657658</v>
      </c>
      <c r="AA23" s="13">
        <f>(0.5*(K23*L23) + (G23*H23))/H23</f>
        <v>0.49389999999999995</v>
      </c>
    </row>
    <row r="24" spans="1:27" x14ac:dyDescent="0.25">
      <c r="A24" s="4">
        <v>6</v>
      </c>
      <c r="B24" s="4" t="s">
        <v>39</v>
      </c>
      <c r="C24" s="4" t="s">
        <v>103</v>
      </c>
      <c r="D24" s="4">
        <v>26</v>
      </c>
      <c r="E24" s="4">
        <v>28</v>
      </c>
      <c r="F24" s="4">
        <v>55</v>
      </c>
      <c r="G24" s="5">
        <v>0.47299999999999998</v>
      </c>
      <c r="H24" s="4">
        <v>55</v>
      </c>
      <c r="I24" s="7">
        <v>0.437</v>
      </c>
      <c r="J24" s="5">
        <v>0.34899999999999998</v>
      </c>
      <c r="K24" s="4">
        <v>18</v>
      </c>
      <c r="L24" s="5">
        <v>0.34899999999999998</v>
      </c>
      <c r="M24" s="4">
        <v>10</v>
      </c>
      <c r="N24" s="4">
        <v>24.8</v>
      </c>
      <c r="O24" s="6">
        <f>614/34</f>
        <v>18.058823529411764</v>
      </c>
      <c r="P24" s="6">
        <f>411/34</f>
        <v>12.088235294117647</v>
      </c>
      <c r="Q24" s="6">
        <f>440/34</f>
        <v>12.941176470588236</v>
      </c>
      <c r="R24" s="10">
        <f>Q24-P24</f>
        <v>0.85294117647058876</v>
      </c>
      <c r="S24" s="9">
        <f>P24/T24</f>
        <v>0.17393144308082945</v>
      </c>
      <c r="T24" s="10">
        <v>69.5</v>
      </c>
      <c r="U24" s="4">
        <v>74.7</v>
      </c>
      <c r="V24" s="10">
        <f>U24/T24</f>
        <v>1.0748201438848921</v>
      </c>
      <c r="W24" s="4">
        <v>0.87</v>
      </c>
      <c r="X24" s="5">
        <v>0.72499999999999998</v>
      </c>
      <c r="Y24" s="4">
        <v>21</v>
      </c>
      <c r="Z24" s="5">
        <f>Y24/H24</f>
        <v>0.38181818181818183</v>
      </c>
      <c r="AA24" s="13">
        <f>(0.5*(K24*L24) + (G24*H24))/H24</f>
        <v>0.53010909090909086</v>
      </c>
    </row>
    <row r="25" spans="1:27" x14ac:dyDescent="0.25">
      <c r="A25" s="4">
        <v>6</v>
      </c>
      <c r="B25" s="4" t="s">
        <v>73</v>
      </c>
      <c r="C25" s="4" t="s">
        <v>113</v>
      </c>
      <c r="D25" s="4">
        <v>19</v>
      </c>
      <c r="E25" s="4">
        <v>24</v>
      </c>
      <c r="F25" s="4">
        <v>43</v>
      </c>
      <c r="G25" s="5">
        <v>0.47899999999999998</v>
      </c>
      <c r="H25" s="4">
        <v>51.4</v>
      </c>
      <c r="I25" s="5">
        <v>0.38</v>
      </c>
      <c r="J25" s="5">
        <v>0.35899999999999999</v>
      </c>
      <c r="K25" s="4">
        <v>11.6</v>
      </c>
      <c r="L25" s="5">
        <v>0.32100000000000001</v>
      </c>
      <c r="M25" s="4">
        <v>11.5</v>
      </c>
      <c r="N25" s="4">
        <v>25.2</v>
      </c>
      <c r="O25" s="6">
        <f>537/33</f>
        <v>16.272727272727273</v>
      </c>
      <c r="P25" s="6">
        <f>417/33</f>
        <v>12.636363636363637</v>
      </c>
      <c r="Q25" s="6">
        <f>423/33</f>
        <v>12.818181818181818</v>
      </c>
      <c r="R25" s="10">
        <f>Q25-P25</f>
        <v>0.18181818181818166</v>
      </c>
      <c r="S25" s="9">
        <f>P25/T25</f>
        <v>0.19233430192334303</v>
      </c>
      <c r="T25" s="10">
        <v>65.7</v>
      </c>
      <c r="U25" s="4">
        <v>69.5</v>
      </c>
      <c r="V25" s="10">
        <f>U25/T25</f>
        <v>1.0578386605783865</v>
      </c>
      <c r="W25" s="4">
        <v>1.02</v>
      </c>
      <c r="X25" s="5">
        <v>0.70499999999999996</v>
      </c>
      <c r="Y25" s="4">
        <v>22.7</v>
      </c>
      <c r="Z25" s="5">
        <f>Y25/H25</f>
        <v>0.44163424124513617</v>
      </c>
      <c r="AA25" s="13">
        <f>(0.5*(K25*L25) + (G25*H25))/H25</f>
        <v>0.5152217898832685</v>
      </c>
    </row>
    <row r="26" spans="1:27" x14ac:dyDescent="0.25">
      <c r="A26" s="4">
        <v>7</v>
      </c>
      <c r="B26" s="4" t="s">
        <v>57</v>
      </c>
      <c r="C26" s="4" t="s">
        <v>115</v>
      </c>
      <c r="D26" s="4">
        <v>14</v>
      </c>
      <c r="E26" s="4">
        <v>20</v>
      </c>
      <c r="F26" s="4">
        <v>15</v>
      </c>
      <c r="G26" s="5">
        <v>0.44600000000000001</v>
      </c>
      <c r="H26" s="4">
        <v>54.9</v>
      </c>
      <c r="I26" s="5">
        <v>0.39800000000000002</v>
      </c>
      <c r="J26" s="5">
        <v>0.36199999999999999</v>
      </c>
      <c r="K26" s="4">
        <v>19.3</v>
      </c>
      <c r="L26" s="5">
        <v>0.34300000000000003</v>
      </c>
      <c r="M26" s="4">
        <v>11.9</v>
      </c>
      <c r="N26" s="4">
        <v>23.7</v>
      </c>
      <c r="O26" s="6">
        <f>534/32</f>
        <v>16.6875</v>
      </c>
      <c r="P26" s="6">
        <f>301/32</f>
        <v>9.40625</v>
      </c>
      <c r="Q26" s="6">
        <f>426/32</f>
        <v>13.3125</v>
      </c>
      <c r="R26" s="10">
        <f>Q26-P26</f>
        <v>3.90625</v>
      </c>
      <c r="S26" s="9">
        <f>P26/T26</f>
        <v>0.14720266040688576</v>
      </c>
      <c r="T26" s="10">
        <v>63.9</v>
      </c>
      <c r="U26" s="4">
        <v>69.7</v>
      </c>
      <c r="V26" s="10">
        <f>U26/T26</f>
        <v>1.0907668231611893</v>
      </c>
      <c r="W26" s="4">
        <v>1.03</v>
      </c>
      <c r="X26" s="5">
        <v>0.68799999999999994</v>
      </c>
      <c r="Y26" s="4">
        <v>19.899999999999999</v>
      </c>
      <c r="Z26" s="5">
        <f>Y26/H26</f>
        <v>0.36247723132969034</v>
      </c>
      <c r="AA26" s="13">
        <f>(0.5*(K26*L26) + (G26*H26))/H26</f>
        <v>0.50629052823315113</v>
      </c>
    </row>
    <row r="27" spans="1:27" x14ac:dyDescent="0.25">
      <c r="A27" s="4">
        <v>7</v>
      </c>
      <c r="B27" s="4" t="s">
        <v>40</v>
      </c>
      <c r="C27" s="4" t="s">
        <v>104</v>
      </c>
      <c r="D27" s="4">
        <v>30</v>
      </c>
      <c r="E27" s="4">
        <v>61</v>
      </c>
      <c r="F27" s="4">
        <v>23</v>
      </c>
      <c r="G27" s="5">
        <v>0.42</v>
      </c>
      <c r="H27" s="4">
        <v>59.3</v>
      </c>
      <c r="I27" s="7">
        <v>0.433</v>
      </c>
      <c r="J27" s="5">
        <v>0.34200000000000003</v>
      </c>
      <c r="K27" s="4">
        <v>23.7</v>
      </c>
      <c r="L27" s="5">
        <v>0.34399999999999997</v>
      </c>
      <c r="M27" s="4">
        <v>12.3</v>
      </c>
      <c r="N27" s="4">
        <v>23.1</v>
      </c>
      <c r="O27" s="6">
        <f>673/35</f>
        <v>19.228571428571428</v>
      </c>
      <c r="P27" s="6">
        <f>373/35</f>
        <v>10.657142857142857</v>
      </c>
      <c r="Q27" s="6">
        <f>566/35</f>
        <v>16.171428571428571</v>
      </c>
      <c r="R27" s="10">
        <f>Q27-P27</f>
        <v>5.5142857142857142</v>
      </c>
      <c r="S27" s="9">
        <f>P27/T27</f>
        <v>0.15031231110215593</v>
      </c>
      <c r="T27" s="10">
        <v>70.900000000000006</v>
      </c>
      <c r="U27" s="4">
        <v>72.3</v>
      </c>
      <c r="V27" s="10">
        <f>U27/T27</f>
        <v>1.0197461212976022</v>
      </c>
      <c r="W27" s="4">
        <v>0.89</v>
      </c>
      <c r="X27" s="5">
        <v>0.65600000000000003</v>
      </c>
      <c r="Y27" s="4">
        <v>22.2</v>
      </c>
      <c r="Z27" s="5">
        <f>Y27/H27</f>
        <v>0.37436762225969644</v>
      </c>
      <c r="AA27" s="13">
        <f>(0.5*(K27*L27) + (G27*H27))/H27</f>
        <v>0.48874198988195616</v>
      </c>
    </row>
    <row r="28" spans="1:27" x14ac:dyDescent="0.25">
      <c r="A28" s="4">
        <v>7</v>
      </c>
      <c r="B28" s="4" t="s">
        <v>74</v>
      </c>
      <c r="C28" s="4" t="s">
        <v>96</v>
      </c>
      <c r="D28" s="4">
        <v>24</v>
      </c>
      <c r="E28" s="4">
        <v>35</v>
      </c>
      <c r="F28" s="4">
        <v>42</v>
      </c>
      <c r="G28" s="5">
        <v>0.42699999999999999</v>
      </c>
      <c r="H28" s="4">
        <v>55.5</v>
      </c>
      <c r="I28" s="5">
        <v>0.39200000000000002</v>
      </c>
      <c r="J28" s="5">
        <v>0.33200000000000002</v>
      </c>
      <c r="K28" s="4">
        <v>17</v>
      </c>
      <c r="L28" s="5">
        <v>0.32400000000000001</v>
      </c>
      <c r="M28" s="4">
        <v>12.5</v>
      </c>
      <c r="N28" s="4">
        <v>25.2</v>
      </c>
      <c r="O28" s="6">
        <f>508/32</f>
        <v>15.875</v>
      </c>
      <c r="P28" s="6">
        <f>361/32</f>
        <v>11.28125</v>
      </c>
      <c r="Q28" s="6">
        <f>400/32</f>
        <v>12.5</v>
      </c>
      <c r="R28" s="10">
        <f>Q28-P28</f>
        <v>1.21875</v>
      </c>
      <c r="S28" s="9">
        <f>P28/T28</f>
        <v>0.16938813813813816</v>
      </c>
      <c r="T28" s="10">
        <v>66.599999999999994</v>
      </c>
      <c r="U28" s="4">
        <v>69.8</v>
      </c>
      <c r="V28" s="10">
        <f>U28/T28</f>
        <v>1.0480480480480481</v>
      </c>
      <c r="W28" s="4">
        <v>1.06</v>
      </c>
      <c r="X28" s="5">
        <v>0.745</v>
      </c>
      <c r="Y28" s="4">
        <v>22</v>
      </c>
      <c r="Z28" s="5">
        <f>Y28/H28</f>
        <v>0.3963963963963964</v>
      </c>
      <c r="AA28" s="13">
        <f>(0.5*(K28*L28) + (G28*H28))/H28</f>
        <v>0.47662162162162164</v>
      </c>
    </row>
    <row r="29" spans="1:27" x14ac:dyDescent="0.25">
      <c r="A29" s="4">
        <v>7</v>
      </c>
      <c r="B29" s="4" t="s">
        <v>23</v>
      </c>
      <c r="C29" s="4" t="s">
        <v>94</v>
      </c>
      <c r="D29" s="4">
        <v>17</v>
      </c>
      <c r="E29" s="4">
        <v>14</v>
      </c>
      <c r="F29" s="4">
        <v>53</v>
      </c>
      <c r="G29" s="5">
        <v>0.47099999999999997</v>
      </c>
      <c r="H29" s="4">
        <v>56.2</v>
      </c>
      <c r="I29" s="5">
        <v>0.4</v>
      </c>
      <c r="J29" s="5">
        <v>0.38600000000000001</v>
      </c>
      <c r="K29" s="4">
        <v>19.5</v>
      </c>
      <c r="L29" s="5">
        <v>0.32300000000000001</v>
      </c>
      <c r="M29" s="4">
        <v>11.5</v>
      </c>
      <c r="N29" s="4">
        <v>26.2</v>
      </c>
      <c r="O29" s="6">
        <f>631/34</f>
        <v>18.558823529411764</v>
      </c>
      <c r="P29" s="6">
        <f>395/34</f>
        <v>11.617647058823529</v>
      </c>
      <c r="Q29" s="6">
        <f>376/34</f>
        <v>11.058823529411764</v>
      </c>
      <c r="R29" s="10">
        <f>Q29-P29</f>
        <v>-0.5588235294117645</v>
      </c>
      <c r="S29" s="9">
        <f>P29/T29</f>
        <v>0.17211328976034856</v>
      </c>
      <c r="T29" s="10">
        <v>67.5</v>
      </c>
      <c r="U29" s="4">
        <v>72.2</v>
      </c>
      <c r="V29" s="10">
        <f>U29/T29</f>
        <v>1.0696296296296297</v>
      </c>
      <c r="W29" s="4">
        <v>0.94</v>
      </c>
      <c r="X29" s="5">
        <v>0.63300000000000001</v>
      </c>
      <c r="Y29" s="4">
        <v>17.899999999999999</v>
      </c>
      <c r="Z29" s="5">
        <f>Y29/H29</f>
        <v>0.31850533807829179</v>
      </c>
      <c r="AA29" s="13">
        <f>(0.5*(K29*L29) + (G29*H29))/H29</f>
        <v>0.52703647686832733</v>
      </c>
    </row>
    <row r="30" spans="1:27" x14ac:dyDescent="0.25">
      <c r="A30" s="4">
        <v>8</v>
      </c>
      <c r="B30" s="4" t="s">
        <v>24</v>
      </c>
      <c r="C30" s="4" t="s">
        <v>95</v>
      </c>
      <c r="D30" s="4">
        <v>38</v>
      </c>
      <c r="E30" s="4">
        <v>30</v>
      </c>
      <c r="F30" s="4">
        <v>89</v>
      </c>
      <c r="G30" s="5">
        <v>0.437</v>
      </c>
      <c r="H30" s="4">
        <v>56.8</v>
      </c>
      <c r="I30" s="5">
        <v>0.40300000000000002</v>
      </c>
      <c r="J30" s="5">
        <v>0.36099999999999999</v>
      </c>
      <c r="K30" s="4">
        <v>18.399999999999999</v>
      </c>
      <c r="L30" s="5">
        <v>0.33200000000000002</v>
      </c>
      <c r="M30" s="4">
        <v>12.1</v>
      </c>
      <c r="N30" s="4">
        <v>25.7</v>
      </c>
      <c r="O30" s="6">
        <f>582/33</f>
        <v>17.636363636363637</v>
      </c>
      <c r="P30" s="6">
        <f>347/33</f>
        <v>10.515151515151516</v>
      </c>
      <c r="Q30" s="6">
        <f>331/33</f>
        <v>10.030303030303031</v>
      </c>
      <c r="R30" s="10">
        <f>Q30-P30</f>
        <v>-0.48484848484848442</v>
      </c>
      <c r="S30" s="9">
        <f>P30/T30</f>
        <v>0.15578002244668912</v>
      </c>
      <c r="T30" s="10">
        <v>67.5</v>
      </c>
      <c r="U30" s="4">
        <v>70.599999999999994</v>
      </c>
      <c r="V30" s="10">
        <f>U30/T30</f>
        <v>1.0459259259259259</v>
      </c>
      <c r="W30" s="4">
        <v>1.02</v>
      </c>
      <c r="X30" s="5">
        <v>0.68300000000000005</v>
      </c>
      <c r="Y30" s="4">
        <v>20.6</v>
      </c>
      <c r="Z30" s="5">
        <f>Y30/H30</f>
        <v>0.36267605633802819</v>
      </c>
      <c r="AA30" s="13">
        <f>(0.5*(K30*L30) + (G30*H30))/H30</f>
        <v>0.490774647887324</v>
      </c>
    </row>
    <row r="31" spans="1:27" x14ac:dyDescent="0.25">
      <c r="A31" s="4">
        <v>8</v>
      </c>
      <c r="B31" s="4" t="s">
        <v>41</v>
      </c>
      <c r="C31" s="4" t="s">
        <v>97</v>
      </c>
      <c r="D31" s="4">
        <v>46</v>
      </c>
      <c r="E31" s="4">
        <v>16</v>
      </c>
      <c r="F31" s="4">
        <v>134</v>
      </c>
      <c r="G31" s="5">
        <v>0.46100000000000002</v>
      </c>
      <c r="H31" s="4">
        <v>59.7</v>
      </c>
      <c r="I31" s="7">
        <v>0.42099999999999999</v>
      </c>
      <c r="J31" s="5">
        <v>0.36</v>
      </c>
      <c r="K31" s="4">
        <v>20.2</v>
      </c>
      <c r="L31" s="5">
        <v>0.33</v>
      </c>
      <c r="M31" s="4">
        <v>10.6</v>
      </c>
      <c r="N31" s="4">
        <v>25.8</v>
      </c>
      <c r="O31" s="6">
        <f>623/34</f>
        <v>18.323529411764707</v>
      </c>
      <c r="P31" s="6">
        <f>401/34</f>
        <v>11.794117647058824</v>
      </c>
      <c r="Q31" s="6">
        <f>395/34</f>
        <v>11.617647058823529</v>
      </c>
      <c r="R31" s="10">
        <f>Q31-P31</f>
        <v>-0.17647058823529527</v>
      </c>
      <c r="S31" s="9">
        <f>P31/T31</f>
        <v>0.16611433305716655</v>
      </c>
      <c r="T31" s="10">
        <v>71</v>
      </c>
      <c r="U31" s="4">
        <v>76</v>
      </c>
      <c r="V31" s="10">
        <f>U31/T31</f>
        <v>1.0704225352112675</v>
      </c>
      <c r="W31" s="4">
        <v>0.97</v>
      </c>
      <c r="X31" s="5">
        <v>0.76</v>
      </c>
      <c r="Y31" s="4">
        <v>17.3</v>
      </c>
      <c r="Z31" s="5">
        <f>Y31/H31</f>
        <v>0.2897822445561139</v>
      </c>
      <c r="AA31" s="13">
        <f>(0.5*(K31*L31) + (G31*H31))/H31</f>
        <v>0.51682914572864325</v>
      </c>
    </row>
    <row r="32" spans="1:27" x14ac:dyDescent="0.25">
      <c r="A32" s="4">
        <v>8</v>
      </c>
      <c r="B32" s="4" t="s">
        <v>75</v>
      </c>
      <c r="C32" s="4" t="s">
        <v>91</v>
      </c>
      <c r="D32" s="4">
        <v>27</v>
      </c>
      <c r="E32" s="4">
        <v>161</v>
      </c>
      <c r="F32" s="4">
        <v>4</v>
      </c>
      <c r="G32" s="5">
        <v>0.41899999999999998</v>
      </c>
      <c r="H32" s="4">
        <v>53.1</v>
      </c>
      <c r="I32" s="5">
        <v>0.377</v>
      </c>
      <c r="J32" s="5">
        <v>0.32</v>
      </c>
      <c r="K32" s="4">
        <v>16.399999999999999</v>
      </c>
      <c r="L32" s="5">
        <v>0.30299999999999999</v>
      </c>
      <c r="M32" s="4">
        <v>12.1</v>
      </c>
      <c r="N32" s="4">
        <v>23.1</v>
      </c>
      <c r="O32" s="6">
        <f>486/34</f>
        <v>14.294117647058824</v>
      </c>
      <c r="P32" s="6">
        <f>386/34</f>
        <v>11.352941176470589</v>
      </c>
      <c r="Q32" s="6">
        <f>451/34</f>
        <v>13.264705882352942</v>
      </c>
      <c r="R32" s="10">
        <f>Q32-P32</f>
        <v>1.9117647058823533</v>
      </c>
      <c r="S32" s="9">
        <f>P32/T32</f>
        <v>0.1782251362083295</v>
      </c>
      <c r="T32" s="10">
        <v>63.7</v>
      </c>
      <c r="U32" s="4">
        <v>62.4</v>
      </c>
      <c r="V32" s="10">
        <f>U32/T32</f>
        <v>0.97959183673469385</v>
      </c>
      <c r="W32" s="4">
        <v>1.06</v>
      </c>
      <c r="X32" s="5">
        <v>0.629</v>
      </c>
      <c r="Y32" s="4">
        <v>19.2</v>
      </c>
      <c r="Z32" s="5">
        <f>Y32/H32</f>
        <v>0.3615819209039548</v>
      </c>
      <c r="AA32" s="13">
        <f>(0.5*(K32*L32) + (G32*H32))/H32</f>
        <v>0.46579096045197738</v>
      </c>
    </row>
    <row r="33" spans="1:27" x14ac:dyDescent="0.25">
      <c r="A33" s="4">
        <v>8</v>
      </c>
      <c r="B33" s="4" t="s">
        <v>58</v>
      </c>
      <c r="C33" s="4" t="s">
        <v>88</v>
      </c>
      <c r="D33" s="4">
        <v>34</v>
      </c>
      <c r="E33" s="4">
        <v>76</v>
      </c>
      <c r="F33" s="4">
        <v>18</v>
      </c>
      <c r="G33" s="5">
        <v>0.45300000000000001</v>
      </c>
      <c r="H33" s="4">
        <v>49.4</v>
      </c>
      <c r="I33" s="5">
        <v>0.39</v>
      </c>
      <c r="J33" s="5">
        <v>0.33300000000000002</v>
      </c>
      <c r="K33" s="4">
        <v>15.1</v>
      </c>
      <c r="L33" s="5">
        <v>0.32900000000000001</v>
      </c>
      <c r="M33" s="4">
        <v>11</v>
      </c>
      <c r="N33" s="4">
        <v>23.3</v>
      </c>
      <c r="O33" s="6">
        <f>469/32</f>
        <v>14.65625</v>
      </c>
      <c r="P33" s="6">
        <f>409/32</f>
        <v>12.78125</v>
      </c>
      <c r="Q33" s="6">
        <f>390/32</f>
        <v>12.1875</v>
      </c>
      <c r="R33" s="10">
        <f>Q33-P33</f>
        <v>-0.59375</v>
      </c>
      <c r="S33" s="9">
        <f>P33/T33</f>
        <v>0.20581723027375201</v>
      </c>
      <c r="T33" s="10">
        <v>62.1</v>
      </c>
      <c r="U33" s="4">
        <v>62.6</v>
      </c>
      <c r="V33" s="10">
        <f>U33/T33</f>
        <v>1.0080515297906603</v>
      </c>
      <c r="W33" s="4">
        <v>1.03</v>
      </c>
      <c r="X33" s="5">
        <v>0.67400000000000004</v>
      </c>
      <c r="Y33" s="4">
        <v>18.7</v>
      </c>
      <c r="Z33" s="5">
        <f>Y33/H33</f>
        <v>0.37854251012145751</v>
      </c>
      <c r="AA33" s="13">
        <f>(0.5*(K33*L33) + (G33*H33))/H33</f>
        <v>0.50328238866396757</v>
      </c>
    </row>
    <row r="34" spans="1:27" x14ac:dyDescent="0.25">
      <c r="A34" s="4">
        <v>9</v>
      </c>
      <c r="B34" s="4" t="s">
        <v>76</v>
      </c>
      <c r="C34" s="4" t="s">
        <v>96</v>
      </c>
      <c r="D34" s="4">
        <v>42</v>
      </c>
      <c r="E34" s="4">
        <v>62</v>
      </c>
      <c r="F34" s="4">
        <v>51</v>
      </c>
      <c r="G34" s="5">
        <v>0.441</v>
      </c>
      <c r="H34" s="4">
        <v>57.2</v>
      </c>
      <c r="I34" s="5">
        <v>0.40500000000000003</v>
      </c>
      <c r="J34" s="5">
        <v>0.35299999999999998</v>
      </c>
      <c r="K34" s="4">
        <v>17.3</v>
      </c>
      <c r="L34" s="5">
        <v>0.32700000000000001</v>
      </c>
      <c r="M34" s="4">
        <v>10.3</v>
      </c>
      <c r="N34" s="4">
        <v>25.1</v>
      </c>
      <c r="O34" s="6">
        <f>566/32</f>
        <v>17.6875</v>
      </c>
      <c r="P34" s="6">
        <f>342/32</f>
        <v>10.6875</v>
      </c>
      <c r="Q34" s="6">
        <f>423/32</f>
        <v>13.21875</v>
      </c>
      <c r="R34" s="10">
        <f>Q34-P34</f>
        <v>2.53125</v>
      </c>
      <c r="S34" s="9">
        <f>P34/T34</f>
        <v>0.15267857142857144</v>
      </c>
      <c r="T34" s="10">
        <v>70</v>
      </c>
      <c r="U34" s="4">
        <v>71.7</v>
      </c>
      <c r="V34" s="10">
        <f>U34/T34</f>
        <v>1.0242857142857142</v>
      </c>
      <c r="W34" s="4">
        <v>0.82</v>
      </c>
      <c r="X34" s="5">
        <v>0.69199999999999995</v>
      </c>
      <c r="Y34" s="4">
        <v>21.1</v>
      </c>
      <c r="Z34" s="5">
        <f>Y34/H34</f>
        <v>0.36888111888111891</v>
      </c>
      <c r="AA34" s="13">
        <f>(0.5*(K34*L34) + (G34*H34))/H34</f>
        <v>0.49045017482517483</v>
      </c>
    </row>
    <row r="35" spans="1:27" x14ac:dyDescent="0.25">
      <c r="A35" s="4">
        <v>9</v>
      </c>
      <c r="B35" s="4" t="s">
        <v>42</v>
      </c>
      <c r="C35" s="4" t="s">
        <v>105</v>
      </c>
      <c r="D35" s="4">
        <v>37</v>
      </c>
      <c r="E35" s="4">
        <v>49</v>
      </c>
      <c r="F35" s="4">
        <v>58</v>
      </c>
      <c r="G35" s="5">
        <v>0.439</v>
      </c>
      <c r="H35" s="4">
        <v>51.8</v>
      </c>
      <c r="I35" s="7">
        <v>0.39900000000000002</v>
      </c>
      <c r="J35" s="5">
        <v>0.35</v>
      </c>
      <c r="K35" s="4">
        <v>19.899999999999999</v>
      </c>
      <c r="L35" s="5">
        <v>0.33900000000000002</v>
      </c>
      <c r="M35" s="4">
        <v>9</v>
      </c>
      <c r="N35" s="4">
        <v>23.5</v>
      </c>
      <c r="O35" s="6">
        <f>597/31</f>
        <v>19.258064516129032</v>
      </c>
      <c r="P35" s="6">
        <f>380/31</f>
        <v>12.258064516129032</v>
      </c>
      <c r="Q35" s="6">
        <f>426/31</f>
        <v>13.741935483870968</v>
      </c>
      <c r="R35" s="10">
        <f>Q35-P35</f>
        <v>1.4838709677419359</v>
      </c>
      <c r="S35" s="9">
        <f>P35/T35</f>
        <v>0.18322966391822168</v>
      </c>
      <c r="T35" s="10">
        <v>66.900000000000006</v>
      </c>
      <c r="U35" s="4">
        <v>67.900000000000006</v>
      </c>
      <c r="V35" s="10">
        <f>U35/T35</f>
        <v>1.014947683109118</v>
      </c>
      <c r="W35" s="4">
        <v>0.82</v>
      </c>
      <c r="X35" s="5">
        <v>0.72599999999999998</v>
      </c>
      <c r="Y35" s="4">
        <v>20.399999999999999</v>
      </c>
      <c r="Z35" s="5">
        <f>Y35/H35</f>
        <v>0.39382239382239381</v>
      </c>
      <c r="AA35" s="13">
        <f>(0.5*(K35*L35) + (G35*H35))/H35</f>
        <v>0.50411679536679532</v>
      </c>
    </row>
    <row r="36" spans="1:27" x14ac:dyDescent="0.25">
      <c r="A36" s="4">
        <v>9</v>
      </c>
      <c r="B36" s="4" t="s">
        <v>59</v>
      </c>
      <c r="C36" s="4" t="s">
        <v>98</v>
      </c>
      <c r="D36" s="4">
        <v>49</v>
      </c>
      <c r="E36" s="4">
        <v>57</v>
      </c>
      <c r="F36" s="4">
        <v>69</v>
      </c>
      <c r="G36" s="5">
        <v>0.45300000000000001</v>
      </c>
      <c r="H36" s="4">
        <v>53.6</v>
      </c>
      <c r="I36" s="5">
        <v>0.40100000000000002</v>
      </c>
      <c r="J36" s="5">
        <v>0.33500000000000002</v>
      </c>
      <c r="K36" s="4">
        <v>17.3</v>
      </c>
      <c r="L36" s="5">
        <v>0.35</v>
      </c>
      <c r="M36" s="4">
        <v>11.8</v>
      </c>
      <c r="N36" s="4">
        <v>24.5</v>
      </c>
      <c r="O36" s="6">
        <f>624/33</f>
        <v>18.90909090909091</v>
      </c>
      <c r="P36" s="6">
        <f>432/33</f>
        <v>13.090909090909092</v>
      </c>
      <c r="Q36" s="11">
        <f>385/33</f>
        <v>11.666666666666666</v>
      </c>
      <c r="R36" s="10">
        <f>Q36-P36</f>
        <v>-1.4242424242424256</v>
      </c>
      <c r="S36" s="9">
        <f>P36/T36</f>
        <v>0.19110816191108163</v>
      </c>
      <c r="T36" s="10">
        <v>68.5</v>
      </c>
      <c r="U36" s="4">
        <v>70.8</v>
      </c>
      <c r="V36" s="10">
        <f>U36/T36</f>
        <v>1.0335766423357664</v>
      </c>
      <c r="W36" s="4">
        <v>1</v>
      </c>
      <c r="X36" s="5">
        <v>0.68500000000000005</v>
      </c>
      <c r="Y36" s="4">
        <v>22.8</v>
      </c>
      <c r="Z36" s="5">
        <f>Y36/H36</f>
        <v>0.42537313432835822</v>
      </c>
      <c r="AA36" s="13">
        <f>(0.5*(K36*L36) + (G36*H36))/H36</f>
        <v>0.50948320895522392</v>
      </c>
    </row>
    <row r="37" spans="1:27" x14ac:dyDescent="0.25">
      <c r="A37" s="4">
        <v>9</v>
      </c>
      <c r="B37" s="4" t="s">
        <v>25</v>
      </c>
      <c r="C37" s="4" t="s">
        <v>88</v>
      </c>
      <c r="D37" s="4">
        <v>43</v>
      </c>
      <c r="E37" s="4">
        <v>75</v>
      </c>
      <c r="F37" s="4">
        <v>37</v>
      </c>
      <c r="G37" s="5">
        <v>0.45600000000000002</v>
      </c>
      <c r="H37" s="4">
        <v>59.4</v>
      </c>
      <c r="I37" s="5">
        <v>0.40100000000000002</v>
      </c>
      <c r="J37" s="5">
        <v>0.33900000000000002</v>
      </c>
      <c r="K37" s="4">
        <v>17</v>
      </c>
      <c r="L37" s="5">
        <v>0.313</v>
      </c>
      <c r="M37" s="4">
        <v>12.1</v>
      </c>
      <c r="N37" s="4">
        <v>27.1</v>
      </c>
      <c r="O37" s="6">
        <f>506/32</f>
        <v>15.8125</v>
      </c>
      <c r="P37" s="6">
        <f>468/32</f>
        <v>14.625</v>
      </c>
      <c r="Q37" s="6">
        <f>439/32</f>
        <v>13.71875</v>
      </c>
      <c r="R37" s="10">
        <f>Q37-P37</f>
        <v>-0.90625</v>
      </c>
      <c r="S37" s="9">
        <f>P37/T37</f>
        <v>0.1997950819672131</v>
      </c>
      <c r="T37" s="10">
        <v>73.2</v>
      </c>
      <c r="U37" s="4">
        <v>73.8</v>
      </c>
      <c r="V37" s="10">
        <f>U37/T37</f>
        <v>1.0081967213114753</v>
      </c>
      <c r="W37" s="4">
        <v>0.94</v>
      </c>
      <c r="X37" s="5">
        <v>0.68899999999999995</v>
      </c>
      <c r="Y37" s="4">
        <v>19.899999999999999</v>
      </c>
      <c r="Z37" s="5">
        <f>Y37/H37</f>
        <v>0.33501683501683499</v>
      </c>
      <c r="AA37" s="13">
        <f>(0.5*(K37*L37) + (G37*H37))/H37</f>
        <v>0.50078956228956228</v>
      </c>
    </row>
    <row r="38" spans="1:27" x14ac:dyDescent="0.25">
      <c r="A38" s="4">
        <v>10</v>
      </c>
      <c r="B38" s="4" t="s">
        <v>77</v>
      </c>
      <c r="C38" s="4" t="s">
        <v>120</v>
      </c>
      <c r="D38" s="4">
        <v>32</v>
      </c>
      <c r="E38" s="4">
        <v>8</v>
      </c>
      <c r="F38" s="4">
        <v>181</v>
      </c>
      <c r="G38" s="5">
        <v>0.47099999999999997</v>
      </c>
      <c r="H38" s="4">
        <v>60</v>
      </c>
      <c r="I38" s="5">
        <v>0.44</v>
      </c>
      <c r="J38" s="5">
        <v>0.39700000000000002</v>
      </c>
      <c r="K38" s="4">
        <v>27.4</v>
      </c>
      <c r="L38" s="5">
        <v>0.30099999999999999</v>
      </c>
      <c r="M38" s="4">
        <v>10.5</v>
      </c>
      <c r="N38" s="4">
        <v>25.5</v>
      </c>
      <c r="O38" s="6">
        <f>586/31</f>
        <v>18.903225806451612</v>
      </c>
      <c r="P38" s="6">
        <f>297/31</f>
        <v>9.5806451612903221</v>
      </c>
      <c r="Q38" s="6">
        <f>365/31</f>
        <v>11.774193548387096</v>
      </c>
      <c r="R38" s="10">
        <f>Q38-P38</f>
        <v>2.193548387096774</v>
      </c>
      <c r="S38" s="9">
        <f>P38/T38</f>
        <v>0.13745545425093719</v>
      </c>
      <c r="T38" s="10">
        <v>69.7</v>
      </c>
      <c r="U38" s="4">
        <v>80.599999999999994</v>
      </c>
      <c r="V38" s="10">
        <f>U38/T38</f>
        <v>1.1563845050215207</v>
      </c>
      <c r="W38" s="4">
        <v>0.86</v>
      </c>
      <c r="X38" s="5">
        <v>0.71099999999999997</v>
      </c>
      <c r="Y38" s="4">
        <v>17.5</v>
      </c>
      <c r="Z38" s="5">
        <f>Y38/H38</f>
        <v>0.29166666666666669</v>
      </c>
      <c r="AA38" s="13">
        <f>(0.5*(K38*L38) + (G38*H38))/H38</f>
        <v>0.53972833333333325</v>
      </c>
    </row>
    <row r="39" spans="1:27" x14ac:dyDescent="0.25">
      <c r="A39" s="4">
        <v>10</v>
      </c>
      <c r="B39" s="4" t="s">
        <v>43</v>
      </c>
      <c r="C39" s="4" t="s">
        <v>106</v>
      </c>
      <c r="D39" s="4">
        <v>21</v>
      </c>
      <c r="E39" s="4">
        <v>29</v>
      </c>
      <c r="F39" s="4">
        <v>40</v>
      </c>
      <c r="G39" s="5">
        <v>0.48599999999999999</v>
      </c>
      <c r="H39" s="4">
        <v>57.2</v>
      </c>
      <c r="I39" s="7">
        <v>0.40500000000000003</v>
      </c>
      <c r="J39" s="5">
        <v>0.372</v>
      </c>
      <c r="K39" s="4">
        <v>18.3</v>
      </c>
      <c r="L39" s="5">
        <v>0.318</v>
      </c>
      <c r="M39" s="4">
        <v>11.3</v>
      </c>
      <c r="N39" s="4">
        <v>24.6</v>
      </c>
      <c r="O39" s="6">
        <f>529/33</f>
        <v>16.030303030303031</v>
      </c>
      <c r="P39" s="6">
        <f>373/33</f>
        <v>11.303030303030303</v>
      </c>
      <c r="Q39" s="6">
        <f>484/33</f>
        <v>14.666666666666666</v>
      </c>
      <c r="R39" s="10">
        <f>Q39-P39</f>
        <v>3.3636363636363633</v>
      </c>
      <c r="S39" s="9">
        <f>P39/T39</f>
        <v>0.16500774165007742</v>
      </c>
      <c r="T39" s="10">
        <v>68.5</v>
      </c>
      <c r="U39" s="4">
        <v>76</v>
      </c>
      <c r="V39" s="10">
        <f>U39/T39</f>
        <v>1.1094890510948905</v>
      </c>
      <c r="W39" s="4">
        <v>0.99</v>
      </c>
      <c r="X39" s="5">
        <v>0.67800000000000005</v>
      </c>
      <c r="Y39" s="4">
        <v>19.899999999999999</v>
      </c>
      <c r="Z39" s="5">
        <f>Y39/H39</f>
        <v>0.34790209790209786</v>
      </c>
      <c r="AA39" s="13">
        <f>(0.5*(K39*L39) + (G39*H39))/H39</f>
        <v>0.53686888111888109</v>
      </c>
    </row>
    <row r="40" spans="1:27" x14ac:dyDescent="0.25">
      <c r="A40" s="4">
        <v>10</v>
      </c>
      <c r="B40" s="4" t="s">
        <v>60</v>
      </c>
      <c r="C40" s="4" t="s">
        <v>95</v>
      </c>
      <c r="D40" s="4">
        <v>49</v>
      </c>
      <c r="E40" s="4">
        <v>10</v>
      </c>
      <c r="F40" s="4">
        <v>216</v>
      </c>
      <c r="G40" s="5">
        <v>0.46600000000000003</v>
      </c>
      <c r="H40" s="4">
        <v>58.5</v>
      </c>
      <c r="I40" s="5">
        <v>0.45500000000000002</v>
      </c>
      <c r="J40" s="5">
        <v>0.40300000000000002</v>
      </c>
      <c r="K40" s="4">
        <v>23.2</v>
      </c>
      <c r="L40" s="5">
        <v>0.32800000000000001</v>
      </c>
      <c r="M40" s="4">
        <v>12</v>
      </c>
      <c r="N40" s="4">
        <v>24</v>
      </c>
      <c r="O40" s="6">
        <f>580/33</f>
        <v>17.575757575757574</v>
      </c>
      <c r="P40" s="6">
        <f>379/33</f>
        <v>11.484848484848484</v>
      </c>
      <c r="Q40" s="6">
        <f>357/33</f>
        <v>10.818181818181818</v>
      </c>
      <c r="R40" s="10">
        <f>Q40-P40</f>
        <v>-0.66666666666666607</v>
      </c>
      <c r="S40" s="9">
        <f>P40/T40</f>
        <v>0.16548773032922887</v>
      </c>
      <c r="T40" s="10">
        <v>69.400000000000006</v>
      </c>
      <c r="U40" s="4">
        <v>78</v>
      </c>
      <c r="V40" s="10">
        <f>U40/T40</f>
        <v>1.1239193083573487</v>
      </c>
      <c r="W40" s="4">
        <v>0.98</v>
      </c>
      <c r="X40" s="5">
        <v>0.71499999999999997</v>
      </c>
      <c r="Y40" s="4">
        <v>19.100000000000001</v>
      </c>
      <c r="Z40" s="5">
        <f>Y40/H40</f>
        <v>0.3264957264957265</v>
      </c>
      <c r="AA40" s="13">
        <f>(0.5*(K40*L40) + (G40*H40))/H40</f>
        <v>0.53103931623931633</v>
      </c>
    </row>
    <row r="41" spans="1:27" x14ac:dyDescent="0.25">
      <c r="A41" s="4">
        <v>10</v>
      </c>
      <c r="B41" s="4" t="s">
        <v>26</v>
      </c>
      <c r="C41" s="4" t="s">
        <v>96</v>
      </c>
      <c r="D41" s="4">
        <v>36</v>
      </c>
      <c r="E41" s="4">
        <v>74</v>
      </c>
      <c r="F41" s="4">
        <v>28</v>
      </c>
      <c r="G41" s="5">
        <v>0.435</v>
      </c>
      <c r="H41" s="4">
        <v>52.3</v>
      </c>
      <c r="I41" s="5">
        <v>0.38700000000000001</v>
      </c>
      <c r="J41" s="5">
        <v>0.34399999999999997</v>
      </c>
      <c r="K41" s="4">
        <v>16.399999999999999</v>
      </c>
      <c r="L41" s="5">
        <v>0.309</v>
      </c>
      <c r="M41" s="4">
        <v>10.9</v>
      </c>
      <c r="N41" s="4">
        <v>27.1</v>
      </c>
      <c r="O41" s="6">
        <f>589/32</f>
        <v>18.40625</v>
      </c>
      <c r="P41" s="6">
        <f>408/32</f>
        <v>12.75</v>
      </c>
      <c r="Q41" s="6">
        <f>355/32</f>
        <v>11.09375</v>
      </c>
      <c r="R41" s="10">
        <f>Q41-P41</f>
        <v>-1.65625</v>
      </c>
      <c r="S41" s="9">
        <f>P41/T41</f>
        <v>0.18371757925072044</v>
      </c>
      <c r="T41" s="10">
        <v>69.400000000000006</v>
      </c>
      <c r="U41" s="4">
        <v>68.8</v>
      </c>
      <c r="V41" s="10">
        <f>U41/T41</f>
        <v>0.99135446685878947</v>
      </c>
      <c r="W41" s="4">
        <v>0.87</v>
      </c>
      <c r="X41" s="5">
        <v>0.68899999999999995</v>
      </c>
      <c r="Y41" s="4">
        <v>25</v>
      </c>
      <c r="Z41" s="5">
        <f>Y41/H41</f>
        <v>0.47801147227533464</v>
      </c>
      <c r="AA41" s="13">
        <f>(0.5*(K41*L41) + (G41*H41))/H41</f>
        <v>0.48344741873804969</v>
      </c>
    </row>
    <row r="42" spans="1:27" x14ac:dyDescent="0.25">
      <c r="A42" s="4">
        <v>11</v>
      </c>
      <c r="B42" s="4" t="s">
        <v>27</v>
      </c>
      <c r="C42" s="4" t="s">
        <v>90</v>
      </c>
      <c r="D42" s="4">
        <v>39</v>
      </c>
      <c r="E42" s="4">
        <v>48</v>
      </c>
      <c r="F42" s="4">
        <v>64</v>
      </c>
      <c r="G42" s="5">
        <v>0.45800000000000002</v>
      </c>
      <c r="H42" s="4">
        <v>53.6</v>
      </c>
      <c r="I42" s="5">
        <v>0.41499999999999998</v>
      </c>
      <c r="J42" s="5">
        <v>0.39400000000000002</v>
      </c>
      <c r="K42" s="4">
        <v>22.4</v>
      </c>
      <c r="L42" s="5">
        <v>0.308</v>
      </c>
      <c r="M42" s="4">
        <v>8.6999999999999993</v>
      </c>
      <c r="N42" s="4">
        <v>24.2</v>
      </c>
      <c r="O42" s="6">
        <f>564/33</f>
        <v>17.09090909090909</v>
      </c>
      <c r="P42" s="6">
        <f>339/33</f>
        <v>10.272727272727273</v>
      </c>
      <c r="Q42" s="6">
        <f>419/33</f>
        <v>12.696969696969697</v>
      </c>
      <c r="R42" s="10">
        <f>Q42-P42</f>
        <v>2.4242424242424239</v>
      </c>
      <c r="S42" s="9">
        <f>P42/T42</f>
        <v>0.1577991900572546</v>
      </c>
      <c r="T42" s="10">
        <v>65.099999999999994</v>
      </c>
      <c r="U42" s="4">
        <v>70.599999999999994</v>
      </c>
      <c r="V42" s="10">
        <f>U42/T42</f>
        <v>1.0844854070660523</v>
      </c>
      <c r="W42" s="4">
        <v>0.81</v>
      </c>
      <c r="X42" s="5">
        <v>0.73299999999999998</v>
      </c>
      <c r="Y42" s="4">
        <v>17.600000000000001</v>
      </c>
      <c r="Z42" s="5">
        <f>Y42/H42</f>
        <v>0.32835820895522388</v>
      </c>
      <c r="AA42" s="13">
        <f>(0.5*(K42*L42) + (G42*H42))/H42</f>
        <v>0.52235820895522389</v>
      </c>
    </row>
    <row r="43" spans="1:27" x14ac:dyDescent="0.25">
      <c r="A43" s="4">
        <v>11</v>
      </c>
      <c r="B43" s="4" t="s">
        <v>44</v>
      </c>
      <c r="C43" s="4" t="s">
        <v>97</v>
      </c>
      <c r="D43" s="4">
        <v>31</v>
      </c>
      <c r="E43" s="4">
        <v>9</v>
      </c>
      <c r="F43" s="4">
        <v>139</v>
      </c>
      <c r="G43" s="5">
        <v>0.46700000000000003</v>
      </c>
      <c r="H43" s="4">
        <v>64.099999999999994</v>
      </c>
      <c r="I43" s="7">
        <v>0.435</v>
      </c>
      <c r="J43" s="5">
        <v>0.35499999999999998</v>
      </c>
      <c r="K43" s="4">
        <v>22.8</v>
      </c>
      <c r="L43" s="5">
        <v>0.32800000000000001</v>
      </c>
      <c r="M43" s="4">
        <v>12.2</v>
      </c>
      <c r="N43" s="4">
        <v>26.3</v>
      </c>
      <c r="O43" s="6">
        <f>698/34</f>
        <v>20.529411764705884</v>
      </c>
      <c r="P43" s="6">
        <f>402/34</f>
        <v>11.823529411764707</v>
      </c>
      <c r="Q43" s="6">
        <f>456/35</f>
        <v>13.028571428571428</v>
      </c>
      <c r="R43" s="10">
        <f>Q43-P43</f>
        <v>1.205042016806722</v>
      </c>
      <c r="S43" s="9">
        <f>P43/T43</f>
        <v>0.16444408083121984</v>
      </c>
      <c r="T43" s="10">
        <v>71.900000000000006</v>
      </c>
      <c r="U43" s="4">
        <v>83.8</v>
      </c>
      <c r="V43" s="10">
        <f>U43/T43</f>
        <v>1.1655076495132126</v>
      </c>
      <c r="W43" s="4">
        <v>0.99</v>
      </c>
      <c r="X43" s="5">
        <v>0.76800000000000002</v>
      </c>
      <c r="Y43" s="4">
        <v>22.5</v>
      </c>
      <c r="Z43" s="5">
        <f>Y43/H43</f>
        <v>0.3510140405616225</v>
      </c>
      <c r="AA43" s="13">
        <f>(0.5*(K43*L43) + (G43*H43))/H43</f>
        <v>0.52533385335413429</v>
      </c>
    </row>
    <row r="44" spans="1:27" x14ac:dyDescent="0.25">
      <c r="A44" s="4">
        <v>11</v>
      </c>
      <c r="B44" s="4" t="s">
        <v>45</v>
      </c>
      <c r="C44" s="4" t="s">
        <v>99</v>
      </c>
      <c r="D44" s="4">
        <v>44</v>
      </c>
      <c r="E44" s="4">
        <v>22</v>
      </c>
      <c r="F44" s="4">
        <v>125</v>
      </c>
      <c r="G44" s="5">
        <v>0.42599999999999999</v>
      </c>
      <c r="H44" s="4">
        <v>57.8</v>
      </c>
      <c r="I44" s="7">
        <v>0.4</v>
      </c>
      <c r="J44" s="5">
        <v>0.33800000000000002</v>
      </c>
      <c r="K44" s="4">
        <v>19.100000000000001</v>
      </c>
      <c r="L44" s="5">
        <v>0.34899999999999998</v>
      </c>
      <c r="M44" s="4">
        <v>12.4</v>
      </c>
      <c r="N44" s="4">
        <v>25.2</v>
      </c>
      <c r="O44" s="6">
        <f>626/32</f>
        <v>19.5625</v>
      </c>
      <c r="P44" s="6">
        <f>363/32</f>
        <v>11.34375</v>
      </c>
      <c r="Q44" s="6">
        <f>420/33</f>
        <v>12.727272727272727</v>
      </c>
      <c r="R44" s="10">
        <f>Q44-P44</f>
        <v>1.3835227272727266</v>
      </c>
      <c r="S44" s="9">
        <f>P44/T44</f>
        <v>0.16512008733624453</v>
      </c>
      <c r="T44" s="10">
        <v>68.7</v>
      </c>
      <c r="U44" s="4">
        <v>73.099999999999994</v>
      </c>
      <c r="V44" s="10">
        <f>U44/T44</f>
        <v>1.0640465793304219</v>
      </c>
      <c r="W44" s="4">
        <v>1.03</v>
      </c>
      <c r="X44" s="5">
        <v>0.77800000000000002</v>
      </c>
      <c r="Y44" s="4">
        <v>21.7</v>
      </c>
      <c r="Z44" s="5">
        <f>Y44/H44</f>
        <v>0.37543252595155707</v>
      </c>
      <c r="AA44" s="13">
        <f>(0.5*(K44*L44) + (G44*H44))/H44</f>
        <v>0.48366349480968857</v>
      </c>
    </row>
    <row r="45" spans="1:27" x14ac:dyDescent="0.25">
      <c r="A45" s="4">
        <v>11</v>
      </c>
      <c r="B45" s="4" t="s">
        <v>78</v>
      </c>
      <c r="C45" s="4" t="s">
        <v>95</v>
      </c>
      <c r="D45" s="4">
        <v>41</v>
      </c>
      <c r="E45" s="4">
        <v>45</v>
      </c>
      <c r="F45" s="4">
        <v>76</v>
      </c>
      <c r="G45" s="5">
        <v>0.441</v>
      </c>
      <c r="H45" s="4">
        <v>58.4</v>
      </c>
      <c r="I45" s="5">
        <v>0.41699999999999998</v>
      </c>
      <c r="J45" s="5">
        <v>0.36299999999999999</v>
      </c>
      <c r="K45" s="4">
        <v>17.100000000000001</v>
      </c>
      <c r="L45" s="5">
        <v>0.35499999999999998</v>
      </c>
      <c r="M45" s="4">
        <v>12.3</v>
      </c>
      <c r="N45" s="4">
        <v>25.7</v>
      </c>
      <c r="O45" s="6">
        <f>590/33</f>
        <v>17.878787878787879</v>
      </c>
      <c r="P45" s="6">
        <f>392/33</f>
        <v>11.878787878787879</v>
      </c>
      <c r="Q45" s="6">
        <f>416/33</f>
        <v>12.606060606060606</v>
      </c>
      <c r="R45" s="10">
        <f>Q45-P45</f>
        <v>0.72727272727272663</v>
      </c>
      <c r="S45" s="9">
        <f>P45/T45</f>
        <v>0.16921350254683587</v>
      </c>
      <c r="T45" s="10">
        <v>70.2</v>
      </c>
      <c r="U45" s="4">
        <v>71.5</v>
      </c>
      <c r="V45" s="10">
        <f>U45/T45</f>
        <v>1.0185185185185184</v>
      </c>
      <c r="W45" s="4">
        <v>1.02</v>
      </c>
      <c r="X45" s="5">
        <v>0.67600000000000005</v>
      </c>
      <c r="Y45" s="4">
        <v>17.5</v>
      </c>
      <c r="Z45" s="5">
        <f>Y45/H45</f>
        <v>0.29965753424657537</v>
      </c>
      <c r="AA45" s="13">
        <f>(0.5*(K45*L45) + (G45*H45))/H45</f>
        <v>0.49297345890410965</v>
      </c>
    </row>
    <row r="46" spans="1:27" x14ac:dyDescent="0.25">
      <c r="A46" s="4">
        <v>11</v>
      </c>
      <c r="B46" s="4" t="s">
        <v>28</v>
      </c>
      <c r="C46" s="4" t="s">
        <v>90</v>
      </c>
      <c r="D46" s="4">
        <v>40</v>
      </c>
      <c r="E46" s="4">
        <v>73</v>
      </c>
      <c r="F46" s="4">
        <v>48</v>
      </c>
      <c r="G46" s="5">
        <v>0.46300000000000002</v>
      </c>
      <c r="H46" s="4">
        <v>49.1</v>
      </c>
      <c r="I46" s="5">
        <v>0.42099999999999999</v>
      </c>
      <c r="J46" s="5">
        <v>0.35199999999999998</v>
      </c>
      <c r="K46" s="4">
        <v>18.3</v>
      </c>
      <c r="L46" s="5">
        <v>0.317</v>
      </c>
      <c r="M46" s="4">
        <v>7.4</v>
      </c>
      <c r="N46" s="4">
        <v>24.1</v>
      </c>
      <c r="O46" s="6">
        <f>525/33</f>
        <v>15.909090909090908</v>
      </c>
      <c r="P46" s="6">
        <f>379/33</f>
        <v>11.484848484848484</v>
      </c>
      <c r="Q46" s="6">
        <f>449/33</f>
        <v>13.606060606060606</v>
      </c>
      <c r="R46" s="10">
        <f>Q46-P46</f>
        <v>2.1212121212121211</v>
      </c>
      <c r="S46" s="9">
        <f>P46/T46</f>
        <v>0.17090548340548339</v>
      </c>
      <c r="T46" s="10">
        <v>67.2</v>
      </c>
      <c r="U46" s="4">
        <v>68.5</v>
      </c>
      <c r="V46" s="10">
        <f>U46/T46</f>
        <v>1.0193452380952381</v>
      </c>
      <c r="W46" s="4">
        <v>0.67</v>
      </c>
      <c r="X46" s="5">
        <v>0.68200000000000005</v>
      </c>
      <c r="Y46" s="4">
        <v>23.9</v>
      </c>
      <c r="Z46" s="5">
        <f>Y46/H46</f>
        <v>0.48676171079429731</v>
      </c>
      <c r="AA46" s="13">
        <f>(0.5*(K46*L46) + (G46*H46))/H46</f>
        <v>0.52207433808553971</v>
      </c>
    </row>
    <row r="47" spans="1:27" x14ac:dyDescent="0.25">
      <c r="A47" s="4">
        <v>11</v>
      </c>
      <c r="B47" s="4" t="s">
        <v>61</v>
      </c>
      <c r="C47" s="4" t="s">
        <v>95</v>
      </c>
      <c r="D47" s="4">
        <v>20</v>
      </c>
      <c r="E47" s="4">
        <v>42</v>
      </c>
      <c r="F47" s="4">
        <v>19</v>
      </c>
      <c r="G47" s="5">
        <v>0.436</v>
      </c>
      <c r="H47" s="4">
        <v>54.2</v>
      </c>
      <c r="I47" s="5">
        <v>0.36799999999999999</v>
      </c>
      <c r="J47" s="5">
        <v>0.33900000000000002</v>
      </c>
      <c r="K47" s="4">
        <v>18.399999999999999</v>
      </c>
      <c r="L47" s="5">
        <v>0.34799999999999998</v>
      </c>
      <c r="M47" s="4">
        <v>12.4</v>
      </c>
      <c r="N47" s="4">
        <v>27.3</v>
      </c>
      <c r="O47" s="6">
        <f>533/33</f>
        <v>16.151515151515152</v>
      </c>
      <c r="P47" s="6">
        <f>420/33</f>
        <v>12.727272727272727</v>
      </c>
      <c r="Q47" s="6">
        <f>298/33</f>
        <v>9.0303030303030312</v>
      </c>
      <c r="R47" s="10">
        <f>Q47-P47</f>
        <v>-3.6969696969696955</v>
      </c>
      <c r="S47" s="9">
        <f>P47/T47</f>
        <v>0.19371800193718</v>
      </c>
      <c r="T47" s="10">
        <v>65.7</v>
      </c>
      <c r="U47" s="4">
        <v>68.099999999999994</v>
      </c>
      <c r="V47" s="10">
        <f>U47/T47</f>
        <v>1.0365296803652966</v>
      </c>
      <c r="W47" s="4">
        <v>1.07</v>
      </c>
      <c r="X47" s="5">
        <v>0.72499999999999998</v>
      </c>
      <c r="Y47" s="4">
        <v>20</v>
      </c>
      <c r="Z47" s="5">
        <f>Y47/H47</f>
        <v>0.36900369003690037</v>
      </c>
      <c r="AA47" s="13">
        <f>(0.5*(K47*L47) + (G47*H47))/H47</f>
        <v>0.49507011070110696</v>
      </c>
    </row>
    <row r="48" spans="1:27" x14ac:dyDescent="0.25">
      <c r="A48" s="4">
        <v>12</v>
      </c>
      <c r="B48" s="4" t="s">
        <v>62</v>
      </c>
      <c r="C48" s="4" t="s">
        <v>114</v>
      </c>
      <c r="D48" s="4">
        <v>54</v>
      </c>
      <c r="E48" s="4">
        <v>47</v>
      </c>
      <c r="F48" s="4">
        <v>94</v>
      </c>
      <c r="G48" s="5">
        <v>0.435</v>
      </c>
      <c r="H48" s="4">
        <v>58.7</v>
      </c>
      <c r="I48" s="5">
        <v>0.42199999999999999</v>
      </c>
      <c r="J48" s="5">
        <v>0.34</v>
      </c>
      <c r="K48" s="4">
        <v>17.7</v>
      </c>
      <c r="L48" s="5">
        <v>0.33</v>
      </c>
      <c r="M48" s="4">
        <v>12.9</v>
      </c>
      <c r="N48" s="4">
        <v>25.6</v>
      </c>
      <c r="O48" s="6">
        <f>589/32</f>
        <v>18.40625</v>
      </c>
      <c r="P48" s="6">
        <f>361/32</f>
        <v>11.28125</v>
      </c>
      <c r="Q48" s="6">
        <f>436/32</f>
        <v>13.625</v>
      </c>
      <c r="R48" s="10">
        <f>Q48-P48</f>
        <v>2.34375</v>
      </c>
      <c r="S48" s="9">
        <f>P48/T48</f>
        <v>0.1584445224719101</v>
      </c>
      <c r="T48" s="10">
        <v>71.2</v>
      </c>
      <c r="U48" s="4">
        <v>74.8</v>
      </c>
      <c r="V48" s="10">
        <f>U48/T48</f>
        <v>1.050561797752809</v>
      </c>
      <c r="W48" s="4">
        <v>0.98</v>
      </c>
      <c r="X48" s="5">
        <v>0.72199999999999998</v>
      </c>
      <c r="Y48" s="4">
        <v>24.8</v>
      </c>
      <c r="Z48" s="5">
        <f>Y48/H48</f>
        <v>0.42248722316865417</v>
      </c>
      <c r="AA48" s="13">
        <f>(0.5*(K48*L48) + (G48*H48))/H48</f>
        <v>0.48475298126064736</v>
      </c>
    </row>
    <row r="49" spans="1:27" x14ac:dyDescent="0.25">
      <c r="A49" s="4">
        <v>12</v>
      </c>
      <c r="B49" s="4" t="s">
        <v>46</v>
      </c>
      <c r="C49" s="4" t="s">
        <v>108</v>
      </c>
      <c r="D49" s="4">
        <v>90</v>
      </c>
      <c r="E49" s="4">
        <v>143</v>
      </c>
      <c r="F49" s="4">
        <v>78</v>
      </c>
      <c r="G49" s="5">
        <v>0.45800000000000002</v>
      </c>
      <c r="H49" s="4">
        <v>51.3</v>
      </c>
      <c r="I49" s="7">
        <v>0.41699999999999998</v>
      </c>
      <c r="J49" s="5">
        <v>0.376</v>
      </c>
      <c r="K49" s="4">
        <v>16.8</v>
      </c>
      <c r="L49" s="5">
        <v>0.309</v>
      </c>
      <c r="M49" s="4">
        <v>9.1</v>
      </c>
      <c r="N49" s="4">
        <v>23.3</v>
      </c>
      <c r="O49" s="6">
        <f>574/32</f>
        <v>17.9375</v>
      </c>
      <c r="P49" s="6">
        <f>371/34</f>
        <v>10.911764705882353</v>
      </c>
      <c r="Q49" s="6">
        <f>435/34</f>
        <v>12.794117647058824</v>
      </c>
      <c r="R49" s="10">
        <f>Q49-P49</f>
        <v>1.882352941176471</v>
      </c>
      <c r="S49" s="9">
        <f>P49/T49</f>
        <v>0.16787330316742083</v>
      </c>
      <c r="T49" s="10">
        <v>65</v>
      </c>
      <c r="U49" s="4">
        <v>67</v>
      </c>
      <c r="V49" s="10">
        <f>U49/T49</f>
        <v>1.0307692307692307</v>
      </c>
      <c r="W49" s="4">
        <v>0.78</v>
      </c>
      <c r="X49" s="5">
        <v>0.68899999999999995</v>
      </c>
      <c r="Y49" s="4">
        <v>19.8</v>
      </c>
      <c r="Z49" s="5">
        <f>Y49/H49</f>
        <v>0.38596491228070179</v>
      </c>
      <c r="AA49" s="13">
        <f>(0.5*(K49*L49) + (G49*H49))/H49</f>
        <v>0.50859649122807027</v>
      </c>
    </row>
    <row r="50" spans="1:27" x14ac:dyDescent="0.25">
      <c r="A50" s="4">
        <v>12</v>
      </c>
      <c r="B50" s="4" t="s">
        <v>29</v>
      </c>
      <c r="C50" s="4" t="s">
        <v>97</v>
      </c>
      <c r="D50" s="4">
        <v>102</v>
      </c>
      <c r="E50" s="4">
        <v>175</v>
      </c>
      <c r="F50" s="4">
        <v>67</v>
      </c>
      <c r="G50" s="5">
        <v>0.46200000000000002</v>
      </c>
      <c r="H50" s="4">
        <v>46.3</v>
      </c>
      <c r="I50" s="5">
        <v>0.40100000000000002</v>
      </c>
      <c r="J50" s="5">
        <v>0.32300000000000001</v>
      </c>
      <c r="K50" s="4">
        <v>18.2</v>
      </c>
      <c r="L50" s="5">
        <v>0.34300000000000003</v>
      </c>
      <c r="M50" s="4">
        <v>6.2</v>
      </c>
      <c r="N50" s="4">
        <v>23.9</v>
      </c>
      <c r="O50" s="6">
        <f>464/34</f>
        <v>13.647058823529411</v>
      </c>
      <c r="P50" s="6">
        <f>380/34</f>
        <v>11.176470588235293</v>
      </c>
      <c r="Q50" s="6">
        <f>370/34</f>
        <v>10.882352941176471</v>
      </c>
      <c r="R50" s="10">
        <f>Q50-P50</f>
        <v>-0.29411764705882248</v>
      </c>
      <c r="S50" s="9">
        <f>P50/T50</f>
        <v>0.18658548561327704</v>
      </c>
      <c r="T50" s="10">
        <v>59.9</v>
      </c>
      <c r="U50" s="4">
        <v>61.7</v>
      </c>
      <c r="V50" s="10">
        <f>U50/T50</f>
        <v>1.0300500834724542</v>
      </c>
      <c r="W50" s="4">
        <v>0.63</v>
      </c>
      <c r="X50" s="5">
        <v>0.70699999999999996</v>
      </c>
      <c r="Y50" s="4">
        <v>18.5</v>
      </c>
      <c r="Z50" s="5">
        <f>Y50/H50</f>
        <v>0.39956803455723544</v>
      </c>
      <c r="AA50" s="13">
        <f>(0.5*(K50*L50) + (G50*H50))/H50</f>
        <v>0.52941468682505399</v>
      </c>
    </row>
    <row r="51" spans="1:27" x14ac:dyDescent="0.25">
      <c r="A51" s="4">
        <v>12</v>
      </c>
      <c r="B51" s="4" t="s">
        <v>79</v>
      </c>
      <c r="C51" s="4" t="s">
        <v>118</v>
      </c>
      <c r="D51" s="4">
        <v>35</v>
      </c>
      <c r="E51" s="4">
        <v>19</v>
      </c>
      <c r="F51" s="4">
        <v>104</v>
      </c>
      <c r="G51" s="5">
        <v>0.49099999999999999</v>
      </c>
      <c r="H51" s="4">
        <v>55.1</v>
      </c>
      <c r="I51" s="5">
        <v>0.438</v>
      </c>
      <c r="J51" s="5">
        <v>0.38600000000000001</v>
      </c>
      <c r="K51" s="4">
        <v>20.3</v>
      </c>
      <c r="L51" s="5">
        <v>0.33300000000000002</v>
      </c>
      <c r="M51" s="4">
        <v>12.2</v>
      </c>
      <c r="N51" s="4">
        <v>22.6</v>
      </c>
      <c r="O51" s="6">
        <f>716/33</f>
        <v>21.696969696969695</v>
      </c>
      <c r="P51" s="6">
        <f>465/33</f>
        <v>14.090909090909092</v>
      </c>
      <c r="Q51" s="6">
        <f>570/33</f>
        <v>17.272727272727273</v>
      </c>
      <c r="R51" s="10">
        <f>Q51-P51</f>
        <v>3.1818181818181817</v>
      </c>
      <c r="S51" s="9">
        <f>P51/T51</f>
        <v>0.19902413970210583</v>
      </c>
      <c r="T51" s="10">
        <v>70.8</v>
      </c>
      <c r="U51" s="4">
        <v>79</v>
      </c>
      <c r="V51" s="10">
        <f>U51/T51</f>
        <v>1.115819209039548</v>
      </c>
      <c r="W51" s="4">
        <v>1.04</v>
      </c>
      <c r="X51" s="5">
        <v>0.73399999999999999</v>
      </c>
      <c r="Y51" s="4">
        <v>23.8</v>
      </c>
      <c r="Z51" s="5">
        <f>Y51/H51</f>
        <v>0.43194192377495461</v>
      </c>
      <c r="AA51" s="13">
        <f>(0.5*(K51*L51) + (G51*H51))/H51</f>
        <v>0.55234210526315797</v>
      </c>
    </row>
    <row r="52" spans="1:27" x14ac:dyDescent="0.25">
      <c r="A52" s="4">
        <v>13</v>
      </c>
      <c r="B52" s="4" t="s">
        <v>80</v>
      </c>
      <c r="C52" s="4" t="s">
        <v>91</v>
      </c>
      <c r="D52" s="4">
        <v>136</v>
      </c>
      <c r="E52" s="4">
        <v>46</v>
      </c>
      <c r="F52" s="4">
        <v>279</v>
      </c>
      <c r="G52" s="5">
        <v>0.48</v>
      </c>
      <c r="H52" s="4">
        <v>58.3</v>
      </c>
      <c r="I52" s="5">
        <v>0.44900000000000001</v>
      </c>
      <c r="J52" s="5">
        <v>0.40300000000000002</v>
      </c>
      <c r="K52" s="4">
        <v>24.5</v>
      </c>
      <c r="L52" s="5">
        <v>0.38500000000000001</v>
      </c>
      <c r="M52" s="4">
        <v>10</v>
      </c>
      <c r="N52" s="4">
        <v>23.9</v>
      </c>
      <c r="O52" s="6">
        <f>603/34</f>
        <v>17.735294117647058</v>
      </c>
      <c r="P52" s="6">
        <f>367/34</f>
        <v>10.794117647058824</v>
      </c>
      <c r="Q52" s="6">
        <f>417/34</f>
        <v>12.264705882352942</v>
      </c>
      <c r="R52" s="10">
        <f>Q52-P52</f>
        <v>1.4705882352941178</v>
      </c>
      <c r="S52" s="9">
        <f>P52/T52</f>
        <v>0.15289118480253294</v>
      </c>
      <c r="T52" s="10">
        <v>70.599999999999994</v>
      </c>
      <c r="U52" s="4">
        <v>80.5</v>
      </c>
      <c r="V52" s="10">
        <f>U52/T52</f>
        <v>1.1402266288951843</v>
      </c>
      <c r="W52" s="4">
        <v>0.89</v>
      </c>
      <c r="X52" s="5">
        <v>0.72299999999999998</v>
      </c>
      <c r="Y52" s="4">
        <v>20.7</v>
      </c>
      <c r="Z52" s="5">
        <f>Y52/H52</f>
        <v>0.35506003430531735</v>
      </c>
      <c r="AA52" s="13">
        <f>(0.5*(K52*L52) + (G52*H52))/H52</f>
        <v>0.56089622641509429</v>
      </c>
    </row>
    <row r="53" spans="1:27" x14ac:dyDescent="0.25">
      <c r="A53" s="4">
        <v>13</v>
      </c>
      <c r="B53" s="4" t="s">
        <v>30</v>
      </c>
      <c r="C53" s="4" t="s">
        <v>98</v>
      </c>
      <c r="D53" s="4">
        <v>94</v>
      </c>
      <c r="E53" s="4">
        <v>123</v>
      </c>
      <c r="F53" s="4">
        <v>92</v>
      </c>
      <c r="G53" s="5">
        <v>0.46100000000000002</v>
      </c>
      <c r="H53" s="4">
        <v>54.5</v>
      </c>
      <c r="I53" s="5">
        <v>0.39300000000000002</v>
      </c>
      <c r="J53" s="5">
        <v>0.39</v>
      </c>
      <c r="K53" s="4">
        <v>16.5</v>
      </c>
      <c r="L53" s="5">
        <v>0.34</v>
      </c>
      <c r="M53" s="4">
        <v>9.6999999999999993</v>
      </c>
      <c r="N53" s="4">
        <v>25.7</v>
      </c>
      <c r="O53" s="6">
        <f>568/33</f>
        <v>17.212121212121211</v>
      </c>
      <c r="P53" s="6">
        <f>382/33</f>
        <v>11.575757575757576</v>
      </c>
      <c r="Q53" s="6">
        <f>375/33</f>
        <v>11.363636363636363</v>
      </c>
      <c r="R53" s="10">
        <f>Q53-P53</f>
        <v>-0.21212121212121282</v>
      </c>
      <c r="S53" s="9">
        <f>P53/T53</f>
        <v>0.17486038634074888</v>
      </c>
      <c r="T53" s="10">
        <v>66.2</v>
      </c>
      <c r="U53" s="4">
        <v>67.900000000000006</v>
      </c>
      <c r="V53" s="10">
        <f>U53/T53</f>
        <v>1.0256797583081572</v>
      </c>
      <c r="W53" s="4">
        <v>0.88</v>
      </c>
      <c r="X53" s="5">
        <v>0.68300000000000005</v>
      </c>
      <c r="Y53" s="4">
        <v>16.3</v>
      </c>
      <c r="Z53" s="5">
        <f>Y53/H53</f>
        <v>0.29908256880733947</v>
      </c>
      <c r="AA53" s="13">
        <f>(0.5*(K53*L53) + (G53*H53))/H53</f>
        <v>0.51246788990825687</v>
      </c>
    </row>
    <row r="54" spans="1:27" x14ac:dyDescent="0.25">
      <c r="A54" s="4">
        <v>13</v>
      </c>
      <c r="B54" s="4" t="s">
        <v>47</v>
      </c>
      <c r="C54" s="4" t="s">
        <v>107</v>
      </c>
      <c r="D54" s="4">
        <v>78</v>
      </c>
      <c r="E54" s="4">
        <v>170</v>
      </c>
      <c r="F54" s="4">
        <v>34</v>
      </c>
      <c r="G54" s="5">
        <v>0.435</v>
      </c>
      <c r="H54" s="4">
        <v>51.5</v>
      </c>
      <c r="I54" s="7">
        <v>0.39900000000000002</v>
      </c>
      <c r="J54" s="5">
        <v>0.35299999999999998</v>
      </c>
      <c r="K54" s="4">
        <v>13.8</v>
      </c>
      <c r="L54" s="5">
        <v>0.32700000000000001</v>
      </c>
      <c r="M54" s="4">
        <v>10.5</v>
      </c>
      <c r="N54" s="4">
        <v>24</v>
      </c>
      <c r="O54" s="6">
        <f>456/29</f>
        <v>15.724137931034482</v>
      </c>
      <c r="P54" s="6">
        <f>342/29</f>
        <v>11.793103448275861</v>
      </c>
      <c r="Q54" s="6">
        <f>368/29</f>
        <v>12.689655172413794</v>
      </c>
      <c r="R54" s="10">
        <f>Q54-P54</f>
        <v>0.89655172413793238</v>
      </c>
      <c r="S54" s="9">
        <f>P54/T54</f>
        <v>0.18227362362095612</v>
      </c>
      <c r="T54" s="10">
        <v>64.7</v>
      </c>
      <c r="U54" s="4">
        <v>64.599999999999994</v>
      </c>
      <c r="V54" s="10">
        <f>U54/T54</f>
        <v>0.99845440494590409</v>
      </c>
      <c r="W54" s="4">
        <v>1.02</v>
      </c>
      <c r="X54" s="5">
        <v>0.71299999999999997</v>
      </c>
      <c r="Y54" s="4">
        <v>20.3</v>
      </c>
      <c r="Z54" s="5">
        <f>Y54/H54</f>
        <v>0.39417475728155343</v>
      </c>
      <c r="AA54" s="13">
        <f>(0.5*(K54*L54) + (G54*H54))/H54</f>
        <v>0.47881165048543689</v>
      </c>
    </row>
    <row r="55" spans="1:27" x14ac:dyDescent="0.25">
      <c r="A55" s="4">
        <v>13</v>
      </c>
      <c r="B55" s="4" t="s">
        <v>63</v>
      </c>
      <c r="C55" s="4" t="s">
        <v>116</v>
      </c>
      <c r="D55" s="4">
        <v>63</v>
      </c>
      <c r="E55" s="4">
        <v>129</v>
      </c>
      <c r="F55" s="4">
        <v>31</v>
      </c>
      <c r="G55" s="5">
        <v>0.45900000000000002</v>
      </c>
      <c r="H55" s="4">
        <v>53.9</v>
      </c>
      <c r="I55" s="5">
        <v>0.38</v>
      </c>
      <c r="J55" s="5">
        <v>0.378</v>
      </c>
      <c r="K55" s="4">
        <v>18</v>
      </c>
      <c r="L55" s="5">
        <v>0.32800000000000001</v>
      </c>
      <c r="M55" s="4">
        <v>11.7</v>
      </c>
      <c r="N55" s="4">
        <v>26</v>
      </c>
      <c r="O55" s="6">
        <f>544/33</f>
        <v>16.484848484848484</v>
      </c>
      <c r="P55" s="6">
        <f>413/33</f>
        <v>12.515151515151516</v>
      </c>
      <c r="Q55" s="6">
        <f>404/33</f>
        <v>12.242424242424242</v>
      </c>
      <c r="R55" s="10">
        <f>Q55-P55</f>
        <v>-0.27272727272727337</v>
      </c>
      <c r="S55" s="9">
        <f>P55/T55</f>
        <v>0.18819776714513559</v>
      </c>
      <c r="T55" s="10">
        <v>66.5</v>
      </c>
      <c r="U55" s="4">
        <v>70.3</v>
      </c>
      <c r="V55" s="10">
        <f>U55/T55</f>
        <v>1.0571428571428572</v>
      </c>
      <c r="W55" s="4">
        <v>1</v>
      </c>
      <c r="X55" s="5">
        <v>0.67800000000000005</v>
      </c>
      <c r="Y55" s="4">
        <v>19.899999999999999</v>
      </c>
      <c r="Z55" s="5">
        <f>Y55/H55</f>
        <v>0.36920222634508348</v>
      </c>
      <c r="AA55" s="13">
        <f>(0.5*(K55*L55) + (G55*H55))/H55</f>
        <v>0.51376808905380345</v>
      </c>
    </row>
    <row r="56" spans="1:27" x14ac:dyDescent="0.25">
      <c r="A56" s="4">
        <v>14</v>
      </c>
      <c r="B56" s="4" t="s">
        <v>48</v>
      </c>
      <c r="C56" s="4" t="s">
        <v>101</v>
      </c>
      <c r="D56" s="4">
        <v>71</v>
      </c>
      <c r="E56" s="4">
        <v>58</v>
      </c>
      <c r="F56" s="4">
        <v>106</v>
      </c>
      <c r="G56" s="5">
        <v>0.48</v>
      </c>
      <c r="H56" s="4">
        <v>53.9</v>
      </c>
      <c r="I56" s="7">
        <v>0.38100000000000001</v>
      </c>
      <c r="J56" s="5">
        <v>0.33100000000000002</v>
      </c>
      <c r="K56" s="4">
        <v>14.9</v>
      </c>
      <c r="L56" s="5">
        <v>0.32200000000000001</v>
      </c>
      <c r="M56" s="4">
        <v>9.4</v>
      </c>
      <c r="N56" s="4">
        <v>23.4</v>
      </c>
      <c r="O56" s="6">
        <f>607/33</f>
        <v>18.393939393939394</v>
      </c>
      <c r="P56" s="6">
        <f>352/33</f>
        <v>10.666666666666666</v>
      </c>
      <c r="Q56" s="6">
        <f>500/33</f>
        <v>15.151515151515152</v>
      </c>
      <c r="R56" s="10">
        <f>Q56-P56</f>
        <v>4.4848484848484862</v>
      </c>
      <c r="S56" s="9">
        <f>P56/T56</f>
        <v>0.15503875968992248</v>
      </c>
      <c r="T56" s="10">
        <v>68.8</v>
      </c>
      <c r="U56" s="4">
        <v>72.7</v>
      </c>
      <c r="V56" s="10">
        <f>U56/T56</f>
        <v>1.0566860465116279</v>
      </c>
      <c r="W56" s="4">
        <v>0.92</v>
      </c>
      <c r="X56" s="5">
        <v>0.72699999999999998</v>
      </c>
      <c r="Y56" s="4">
        <v>21</v>
      </c>
      <c r="Z56" s="5">
        <f>Y56/H56</f>
        <v>0.38961038961038963</v>
      </c>
      <c r="AA56" s="13">
        <f>(0.5*(K56*L56) + (G56*H56))/H56</f>
        <v>0.52450649350649359</v>
      </c>
    </row>
    <row r="57" spans="1:27" x14ac:dyDescent="0.25">
      <c r="A57" s="4">
        <v>14</v>
      </c>
      <c r="B57" s="4" t="s">
        <v>31</v>
      </c>
      <c r="C57" s="4" t="s">
        <v>89</v>
      </c>
      <c r="D57" s="4">
        <v>131</v>
      </c>
      <c r="E57" s="4">
        <v>117</v>
      </c>
      <c r="F57" s="4">
        <v>155</v>
      </c>
      <c r="G57" s="5">
        <v>0.44</v>
      </c>
      <c r="H57" s="4">
        <v>50.2</v>
      </c>
      <c r="I57" s="5">
        <v>0.42</v>
      </c>
      <c r="J57" s="5">
        <v>0.36</v>
      </c>
      <c r="K57" s="4">
        <v>17.100000000000001</v>
      </c>
      <c r="L57" s="5">
        <v>0.36499999999999999</v>
      </c>
      <c r="M57" s="4">
        <v>10</v>
      </c>
      <c r="N57" s="4">
        <v>23.6</v>
      </c>
      <c r="O57" s="6">
        <f>528/32</f>
        <v>16.5</v>
      </c>
      <c r="P57" s="6">
        <f>374/32</f>
        <v>11.6875</v>
      </c>
      <c r="Q57" s="6">
        <f>399/32</f>
        <v>12.46875</v>
      </c>
      <c r="R57" s="10">
        <f>Q57-P57</f>
        <v>0.78125</v>
      </c>
      <c r="S57" s="9">
        <f>P57/T57</f>
        <v>0.18405511811023623</v>
      </c>
      <c r="T57" s="10">
        <v>63.5</v>
      </c>
      <c r="U57" s="4">
        <v>66</v>
      </c>
      <c r="V57" s="10">
        <f>U57/T57</f>
        <v>1.0393700787401574</v>
      </c>
      <c r="W57" s="4">
        <v>0.98</v>
      </c>
      <c r="X57" s="5">
        <v>0.76100000000000001</v>
      </c>
      <c r="Y57" s="4">
        <v>20</v>
      </c>
      <c r="Z57" s="5">
        <f>Y57/H57</f>
        <v>0.39840637450199201</v>
      </c>
      <c r="AA57" s="13">
        <f>(0.5*(K57*L57) + (G57*H57))/H57</f>
        <v>0.50216633466135463</v>
      </c>
    </row>
    <row r="58" spans="1:27" x14ac:dyDescent="0.25">
      <c r="A58" s="4">
        <v>14</v>
      </c>
      <c r="B58" s="4" t="s">
        <v>81</v>
      </c>
      <c r="C58" s="4" t="s">
        <v>121</v>
      </c>
      <c r="D58" s="4">
        <v>121</v>
      </c>
      <c r="E58" s="4">
        <v>130</v>
      </c>
      <c r="F58" s="4">
        <v>129</v>
      </c>
      <c r="G58" s="5">
        <v>0.43</v>
      </c>
      <c r="H58" s="4">
        <v>56.1</v>
      </c>
      <c r="I58" s="5">
        <v>0.42</v>
      </c>
      <c r="J58" s="5">
        <v>0.33200000000000002</v>
      </c>
      <c r="K58" s="4">
        <v>16.600000000000001</v>
      </c>
      <c r="L58" s="5">
        <v>0.32400000000000001</v>
      </c>
      <c r="M58" s="4">
        <v>11.9</v>
      </c>
      <c r="N58" s="4">
        <v>24.7</v>
      </c>
      <c r="O58" s="6">
        <f>599/34</f>
        <v>17.617647058823529</v>
      </c>
      <c r="P58" s="6">
        <f>461/34</f>
        <v>13.558823529411764</v>
      </c>
      <c r="Q58" s="6">
        <f>452/34</f>
        <v>13.294117647058824</v>
      </c>
      <c r="R58" s="10">
        <f>Q58-P58</f>
        <v>-0.26470588235294024</v>
      </c>
      <c r="S58" s="9">
        <f>P58/T58</f>
        <v>0.19342116304439039</v>
      </c>
      <c r="T58" s="10">
        <v>70.099999999999994</v>
      </c>
      <c r="U58" s="4">
        <v>69.099999999999994</v>
      </c>
      <c r="V58" s="10">
        <f>U58/T58</f>
        <v>0.98573466476462202</v>
      </c>
      <c r="W58" s="4">
        <v>1</v>
      </c>
      <c r="X58" s="5">
        <v>0.74099999999999999</v>
      </c>
      <c r="Y58" s="4">
        <v>20.399999999999999</v>
      </c>
      <c r="Z58" s="5">
        <f>Y58/H58</f>
        <v>0.36363636363636359</v>
      </c>
      <c r="AA58" s="13">
        <f>(0.5*(K58*L58) + (G58*H58))/H58</f>
        <v>0.47793582887700536</v>
      </c>
    </row>
    <row r="59" spans="1:27" x14ac:dyDescent="0.25">
      <c r="A59" s="4">
        <v>14</v>
      </c>
      <c r="B59" s="4" t="s">
        <v>64</v>
      </c>
      <c r="C59" s="4" t="s">
        <v>94</v>
      </c>
      <c r="D59" s="4">
        <v>120</v>
      </c>
      <c r="E59" s="4">
        <v>90</v>
      </c>
      <c r="F59" s="4">
        <v>171</v>
      </c>
      <c r="G59" s="5">
        <v>0.48599999999999999</v>
      </c>
      <c r="H59" s="4">
        <v>49.1</v>
      </c>
      <c r="I59" s="5">
        <v>0.44500000000000001</v>
      </c>
      <c r="J59" s="5">
        <v>0.38800000000000001</v>
      </c>
      <c r="K59" s="4">
        <v>15.1</v>
      </c>
      <c r="L59" s="5">
        <v>0.34399999999999997</v>
      </c>
      <c r="M59" s="4">
        <v>8.4</v>
      </c>
      <c r="N59" s="4">
        <v>24.8</v>
      </c>
      <c r="O59" s="6">
        <f>484/33</f>
        <v>14.666666666666666</v>
      </c>
      <c r="P59" s="6">
        <f>467/34</f>
        <v>13.735294117647058</v>
      </c>
      <c r="Q59" s="6">
        <f>342/34</f>
        <v>10.058823529411764</v>
      </c>
      <c r="R59" s="10">
        <f>Q59-P59</f>
        <v>-3.6764705882352935</v>
      </c>
      <c r="S59" s="9">
        <f>P59/T59</f>
        <v>0.20748178425448727</v>
      </c>
      <c r="T59" s="10">
        <v>66.2</v>
      </c>
      <c r="U59" s="4">
        <v>68.5</v>
      </c>
      <c r="V59" s="10">
        <f>U59/T59</f>
        <v>1.0347432024169183</v>
      </c>
      <c r="W59" s="4">
        <v>0.83</v>
      </c>
      <c r="X59" s="5">
        <v>0.72499999999999998</v>
      </c>
      <c r="Y59" s="4">
        <v>20.7</v>
      </c>
      <c r="Z59" s="5">
        <f>Y59/H59</f>
        <v>0.42158859470468429</v>
      </c>
      <c r="AA59" s="13">
        <f>(0.5*(K59*L59) + (G59*H59))/H59</f>
        <v>0.53889613034623218</v>
      </c>
    </row>
    <row r="60" spans="1:27" x14ac:dyDescent="0.25">
      <c r="A60" s="4">
        <v>15</v>
      </c>
      <c r="B60" s="4" t="s">
        <v>82</v>
      </c>
      <c r="C60" s="4" t="s">
        <v>114</v>
      </c>
      <c r="D60" s="4">
        <v>151</v>
      </c>
      <c r="E60" s="4">
        <v>194</v>
      </c>
      <c r="F60" s="4">
        <v>124</v>
      </c>
      <c r="G60" s="5">
        <v>0.43</v>
      </c>
      <c r="H60" s="4">
        <v>51.8</v>
      </c>
      <c r="I60" s="5">
        <v>0.41799999999999998</v>
      </c>
      <c r="J60" s="5">
        <v>0.38</v>
      </c>
      <c r="K60" s="4">
        <v>18.100000000000001</v>
      </c>
      <c r="L60" s="5">
        <v>0.371</v>
      </c>
      <c r="M60" s="4">
        <v>8.5</v>
      </c>
      <c r="N60" s="4">
        <v>25.1</v>
      </c>
      <c r="O60" s="6">
        <f>482/34</f>
        <v>14.176470588235293</v>
      </c>
      <c r="P60" s="6">
        <f>312/32</f>
        <v>9.75</v>
      </c>
      <c r="Q60" s="6">
        <f>338/32</f>
        <v>10.5625</v>
      </c>
      <c r="R60" s="10">
        <f>Q60-P60</f>
        <v>0.8125</v>
      </c>
      <c r="S60" s="9">
        <f>P60/T60</f>
        <v>0.1516329704510109</v>
      </c>
      <c r="T60" s="10">
        <v>64.3</v>
      </c>
      <c r="U60" s="4">
        <v>64.900000000000006</v>
      </c>
      <c r="V60" s="10">
        <f>U60/T60</f>
        <v>1.0093312597200623</v>
      </c>
      <c r="W60" s="4">
        <v>0.76</v>
      </c>
      <c r="X60" s="5">
        <v>0.69299999999999995</v>
      </c>
      <c r="Y60" s="4">
        <v>18.8</v>
      </c>
      <c r="Z60" s="5">
        <f>Y60/H60</f>
        <v>0.36293436293436299</v>
      </c>
      <c r="AA60" s="13">
        <f>(0.5*(K60*L60) + (G60*H60))/H60</f>
        <v>0.49481756756756756</v>
      </c>
    </row>
    <row r="61" spans="1:27" x14ac:dyDescent="0.25">
      <c r="A61" s="4">
        <v>15</v>
      </c>
      <c r="B61" s="4" t="s">
        <v>49</v>
      </c>
      <c r="C61" s="4" t="s">
        <v>109</v>
      </c>
      <c r="D61" s="4">
        <v>207</v>
      </c>
      <c r="E61" s="4">
        <v>177</v>
      </c>
      <c r="F61" s="4">
        <v>220</v>
      </c>
      <c r="G61" s="5">
        <v>0.44</v>
      </c>
      <c r="H61" s="4">
        <v>52.6</v>
      </c>
      <c r="I61" s="7">
        <v>0.44</v>
      </c>
      <c r="J61" s="5">
        <v>0.32</v>
      </c>
      <c r="K61" s="4">
        <v>16.5</v>
      </c>
      <c r="L61" s="5">
        <v>0.34200000000000003</v>
      </c>
      <c r="M61" s="4">
        <v>11.4</v>
      </c>
      <c r="N61" s="4">
        <v>23.2</v>
      </c>
      <c r="O61" s="6">
        <f>590/34</f>
        <v>17.352941176470587</v>
      </c>
      <c r="P61" s="6">
        <f>445/34</f>
        <v>13.088235294117647</v>
      </c>
      <c r="Q61" s="6">
        <f>419/34</f>
        <v>12.323529411764707</v>
      </c>
      <c r="R61" s="10">
        <f>Q61-P61</f>
        <v>-0.76470588235294024</v>
      </c>
      <c r="S61" s="9">
        <f>P61/T61</f>
        <v>0.19247404844290658</v>
      </c>
      <c r="T61" s="10">
        <v>68</v>
      </c>
      <c r="U61" s="4">
        <v>66.8</v>
      </c>
      <c r="V61" s="10">
        <f>U61/T61</f>
        <v>0.98235294117647054</v>
      </c>
      <c r="W61" s="4">
        <v>0.8</v>
      </c>
      <c r="X61" s="5">
        <v>0.66200000000000003</v>
      </c>
      <c r="Y61" s="4">
        <v>24.4</v>
      </c>
      <c r="Z61" s="5">
        <f>Y61/H61</f>
        <v>0.46387832699619769</v>
      </c>
      <c r="AA61" s="13">
        <f>(0.5*(K61*L61) + (G61*H61))/H61</f>
        <v>0.4936406844106464</v>
      </c>
    </row>
    <row r="62" spans="1:27" x14ac:dyDescent="0.25">
      <c r="A62" s="4">
        <v>15</v>
      </c>
      <c r="B62" s="4" t="s">
        <v>32</v>
      </c>
      <c r="C62" s="4" t="s">
        <v>88</v>
      </c>
      <c r="D62" s="4">
        <v>149</v>
      </c>
      <c r="E62" s="4">
        <v>64</v>
      </c>
      <c r="F62" s="4">
        <v>258</v>
      </c>
      <c r="G62" s="5">
        <v>0.47599999999999998</v>
      </c>
      <c r="H62" s="4">
        <v>54.6</v>
      </c>
      <c r="I62" s="5">
        <v>0.45200000000000001</v>
      </c>
      <c r="J62" s="5">
        <v>0.38200000000000001</v>
      </c>
      <c r="K62" s="4">
        <v>26.3</v>
      </c>
      <c r="L62" s="5">
        <v>0.34399999999999997</v>
      </c>
      <c r="M62" s="4">
        <v>9.4</v>
      </c>
      <c r="N62" s="4">
        <v>23.8</v>
      </c>
      <c r="O62" s="6">
        <f>527/32</f>
        <v>16.46875</v>
      </c>
      <c r="P62" s="6">
        <f>439/32</f>
        <v>13.71875</v>
      </c>
      <c r="Q62" s="6">
        <f>411/32</f>
        <v>12.84375</v>
      </c>
      <c r="R62" s="10">
        <f>Q62-P62</f>
        <v>-0.875</v>
      </c>
      <c r="S62" s="9">
        <f>P62/T62</f>
        <v>0.19767651296829969</v>
      </c>
      <c r="T62" s="10">
        <v>69.400000000000006</v>
      </c>
      <c r="U62" s="4">
        <v>74.5</v>
      </c>
      <c r="V62" s="10">
        <f>U62/T62</f>
        <v>1.073487031700288</v>
      </c>
      <c r="W62" s="4">
        <v>0.85</v>
      </c>
      <c r="X62" s="5">
        <v>0.69099999999999995</v>
      </c>
      <c r="Y62" s="4">
        <v>18.100000000000001</v>
      </c>
      <c r="Z62" s="5">
        <f>Y62/H62</f>
        <v>0.33150183150183155</v>
      </c>
      <c r="AA62" s="13">
        <f>(0.5*(K62*L62) + (G62*H62))/H62</f>
        <v>0.55884981684981683</v>
      </c>
    </row>
    <row r="63" spans="1:27" x14ac:dyDescent="0.25">
      <c r="A63" s="4">
        <v>15</v>
      </c>
      <c r="B63" s="4" t="s">
        <v>65</v>
      </c>
      <c r="C63" s="4" t="s">
        <v>106</v>
      </c>
      <c r="D63" s="4">
        <v>88</v>
      </c>
      <c r="E63" s="4">
        <v>120</v>
      </c>
      <c r="F63" s="4">
        <v>87</v>
      </c>
      <c r="G63" s="5">
        <v>0.46600000000000003</v>
      </c>
      <c r="H63" s="4">
        <v>51.3</v>
      </c>
      <c r="I63" s="5">
        <v>0.42099999999999999</v>
      </c>
      <c r="J63" s="5">
        <v>0.36799999999999999</v>
      </c>
      <c r="K63" s="4">
        <v>13.2</v>
      </c>
      <c r="L63" s="5">
        <v>0.29299999999999998</v>
      </c>
      <c r="M63" s="4">
        <v>12.5</v>
      </c>
      <c r="N63" s="4">
        <v>22.9</v>
      </c>
      <c r="O63" s="6">
        <f>526/33</f>
        <v>15.939393939393939</v>
      </c>
      <c r="P63" s="6">
        <f>459/33</f>
        <v>13.909090909090908</v>
      </c>
      <c r="Q63" s="6">
        <f>434/33</f>
        <v>13.151515151515152</v>
      </c>
      <c r="R63" s="10">
        <f>Q63-P63</f>
        <v>-0.75757575757575601</v>
      </c>
      <c r="S63" s="9">
        <f>P63/T63</f>
        <v>0.21074380165289255</v>
      </c>
      <c r="T63" s="10">
        <v>66</v>
      </c>
      <c r="U63" s="4">
        <v>68.5</v>
      </c>
      <c r="V63" s="10">
        <f>U63/T63</f>
        <v>1.0378787878787878</v>
      </c>
      <c r="W63" s="4">
        <v>1.1100000000000001</v>
      </c>
      <c r="X63" s="5">
        <v>0.69399999999999995</v>
      </c>
      <c r="Y63" s="4">
        <v>22.9</v>
      </c>
      <c r="Z63" s="5">
        <f>Y63/H63</f>
        <v>0.44639376218323584</v>
      </c>
      <c r="AA63" s="13">
        <f>(0.5*(K63*L63) + (G63*H63))/H63</f>
        <v>0.50369590643274853</v>
      </c>
    </row>
    <row r="64" spans="1:27" x14ac:dyDescent="0.25">
      <c r="A64" s="4">
        <v>16</v>
      </c>
      <c r="B64" s="4" t="s">
        <v>33</v>
      </c>
      <c r="C64" s="4" t="s">
        <v>99</v>
      </c>
      <c r="D64" s="4">
        <v>195</v>
      </c>
      <c r="E64" s="4">
        <v>40</v>
      </c>
      <c r="F64" s="4">
        <v>338</v>
      </c>
      <c r="G64" s="5">
        <v>0.48799999999999999</v>
      </c>
      <c r="H64" s="4">
        <v>54.5</v>
      </c>
      <c r="I64" s="5">
        <v>0.42299999999999999</v>
      </c>
      <c r="J64" s="5">
        <v>0.41299999999999998</v>
      </c>
      <c r="K64" s="4">
        <v>19.399999999999999</v>
      </c>
      <c r="L64" s="5">
        <v>0.318</v>
      </c>
      <c r="M64" s="4">
        <v>8.5</v>
      </c>
      <c r="N64" s="4">
        <v>22.5</v>
      </c>
      <c r="O64" s="6">
        <f>504/32</f>
        <v>15.75</v>
      </c>
      <c r="P64" s="6">
        <f>351/32</f>
        <v>10.96875</v>
      </c>
      <c r="Q64" s="6">
        <f>354/32</f>
        <v>11.0625</v>
      </c>
      <c r="R64" s="10">
        <f>Q64-P64</f>
        <v>9.375E-2</v>
      </c>
      <c r="S64" s="9">
        <f>P64/T64</f>
        <v>0.16420284431137724</v>
      </c>
      <c r="T64" s="10">
        <v>66.8</v>
      </c>
      <c r="U64" s="4">
        <v>74.5</v>
      </c>
      <c r="V64" s="10">
        <f>U64/T64</f>
        <v>1.1152694610778444</v>
      </c>
      <c r="W64" s="4">
        <v>0.82</v>
      </c>
      <c r="X64" s="5">
        <v>0.76600000000000001</v>
      </c>
      <c r="Y64" s="4">
        <v>16.899999999999999</v>
      </c>
      <c r="Z64" s="5">
        <f>Y64/H64</f>
        <v>0.31009174311926602</v>
      </c>
      <c r="AA64" s="13">
        <f>(0.5*(K64*L64) + (G64*H64))/H64</f>
        <v>0.54459816513761461</v>
      </c>
    </row>
    <row r="65" spans="1:27" x14ac:dyDescent="0.25">
      <c r="A65" s="4">
        <v>16</v>
      </c>
      <c r="B65" s="4" t="s">
        <v>83</v>
      </c>
      <c r="C65" s="4" t="s">
        <v>94</v>
      </c>
      <c r="D65" s="4">
        <v>127</v>
      </c>
      <c r="E65" s="4">
        <v>98</v>
      </c>
      <c r="F65" s="4">
        <v>178</v>
      </c>
      <c r="G65" s="5">
        <v>0.46899999999999997</v>
      </c>
      <c r="H65" s="4">
        <v>54.6</v>
      </c>
      <c r="I65" s="5">
        <v>0.432</v>
      </c>
      <c r="J65" s="5">
        <v>0.39100000000000001</v>
      </c>
      <c r="K65" s="4">
        <v>23.2</v>
      </c>
      <c r="L65" s="5">
        <v>0.313</v>
      </c>
      <c r="M65" s="4">
        <v>9.6</v>
      </c>
      <c r="N65" s="4">
        <v>25</v>
      </c>
      <c r="O65" s="6">
        <f>545/34</f>
        <v>16.029411764705884</v>
      </c>
      <c r="P65" s="6">
        <f>417/34</f>
        <v>12.264705882352942</v>
      </c>
      <c r="Q65" s="6">
        <f>420/34</f>
        <v>12.352941176470589</v>
      </c>
      <c r="R65" s="10">
        <f>Q65-P65</f>
        <v>8.8235294117646745E-2</v>
      </c>
      <c r="S65" s="9">
        <f>P65/T65</f>
        <v>0.17571211865835162</v>
      </c>
      <c r="T65" s="10">
        <v>69.8</v>
      </c>
      <c r="U65" s="4">
        <v>75.7</v>
      </c>
      <c r="V65" s="10">
        <f>U65/T65</f>
        <v>1.0845272206303727</v>
      </c>
      <c r="W65" s="4">
        <v>0.8</v>
      </c>
      <c r="X65" s="5">
        <v>0.72399999999999998</v>
      </c>
      <c r="Y65" s="4">
        <v>21.2</v>
      </c>
      <c r="Z65" s="5">
        <f>Y65/H65</f>
        <v>0.38827838827838823</v>
      </c>
      <c r="AA65" s="13">
        <f>(0.5*(K65*L65) + (G65*H65))/H65</f>
        <v>0.53549816849816845</v>
      </c>
    </row>
    <row r="66" spans="1:27" x14ac:dyDescent="0.25">
      <c r="A66" s="4">
        <v>16</v>
      </c>
      <c r="B66" s="4" t="s">
        <v>50</v>
      </c>
      <c r="C66" s="4" t="s">
        <v>101</v>
      </c>
      <c r="D66" s="4">
        <v>148</v>
      </c>
      <c r="E66" s="4">
        <v>136</v>
      </c>
      <c r="F66" s="4">
        <v>164</v>
      </c>
      <c r="G66" s="5">
        <v>0.439</v>
      </c>
      <c r="H66" s="4">
        <v>55.8</v>
      </c>
      <c r="I66" s="7">
        <v>0.39100000000000001</v>
      </c>
      <c r="J66" s="5">
        <v>0.35599999999999998</v>
      </c>
      <c r="K66" s="4">
        <v>18.8</v>
      </c>
      <c r="L66" s="5">
        <v>0.32200000000000001</v>
      </c>
      <c r="M66" s="4">
        <v>13.3</v>
      </c>
      <c r="N66" s="4">
        <v>26.5</v>
      </c>
      <c r="O66" s="6">
        <f>545/33</f>
        <v>16.515151515151516</v>
      </c>
      <c r="P66" s="6">
        <f>393/33</f>
        <v>11.909090909090908</v>
      </c>
      <c r="Q66" s="6">
        <f>394/33</f>
        <v>11.939393939393939</v>
      </c>
      <c r="R66" s="10">
        <f>Q66-P66</f>
        <v>3.0303030303031164E-2</v>
      </c>
      <c r="S66" s="9">
        <f>P66/T66</f>
        <v>0.17590976232039746</v>
      </c>
      <c r="T66" s="10">
        <v>67.7</v>
      </c>
      <c r="U66" s="4">
        <v>71.7</v>
      </c>
      <c r="V66" s="10">
        <f>U66/T66</f>
        <v>1.0590841949778433</v>
      </c>
      <c r="W66" s="4">
        <v>1.01</v>
      </c>
      <c r="X66" s="5">
        <v>0.68799999999999994</v>
      </c>
      <c r="Y66" s="4">
        <v>23.2</v>
      </c>
      <c r="Z66" s="5">
        <f>Y66/H66</f>
        <v>0.4157706093189964</v>
      </c>
      <c r="AA66" s="13">
        <f>(0.5*(K66*L66) + (G66*H66))/H66</f>
        <v>0.49324372759856633</v>
      </c>
    </row>
    <row r="67" spans="1:27" x14ac:dyDescent="0.25">
      <c r="A67" s="4">
        <v>16</v>
      </c>
      <c r="B67" s="4" t="s">
        <v>66</v>
      </c>
      <c r="C67" s="4" t="s">
        <v>117</v>
      </c>
      <c r="D67" s="4">
        <v>250</v>
      </c>
      <c r="E67" s="4">
        <v>301</v>
      </c>
      <c r="F67" s="4">
        <v>169</v>
      </c>
      <c r="G67" s="5">
        <v>0.40799999999999997</v>
      </c>
      <c r="H67" s="4">
        <v>56</v>
      </c>
      <c r="I67" s="5">
        <v>0.41299999999999998</v>
      </c>
      <c r="J67" s="5">
        <v>0.30399999999999999</v>
      </c>
      <c r="K67" s="4">
        <v>18.600000000000001</v>
      </c>
      <c r="L67" s="5">
        <v>0.34399999999999997</v>
      </c>
      <c r="M67" s="4">
        <v>12.2</v>
      </c>
      <c r="N67" s="4">
        <v>24.8</v>
      </c>
      <c r="O67" s="6">
        <f>711/33</f>
        <v>21.545454545454547</v>
      </c>
      <c r="P67" s="6">
        <f>469/33</f>
        <v>14.212121212121213</v>
      </c>
      <c r="Q67" s="6">
        <f>478/34</f>
        <v>14.058823529411764</v>
      </c>
      <c r="R67" s="10">
        <f>Q67-P67</f>
        <v>-0.15329768270944832</v>
      </c>
      <c r="S67" s="9">
        <f>P67/T67</f>
        <v>0.19821647436710199</v>
      </c>
      <c r="T67" s="10">
        <v>71.7</v>
      </c>
      <c r="U67" s="4">
        <v>65.2</v>
      </c>
      <c r="V67" s="10">
        <f>U67/T67</f>
        <v>0.90934449093444913</v>
      </c>
      <c r="W67" s="4">
        <v>0.84</v>
      </c>
      <c r="X67" s="5">
        <v>0.65200000000000002</v>
      </c>
      <c r="Y67" s="4">
        <v>24.3</v>
      </c>
      <c r="Z67" s="5">
        <f>Y67/H67</f>
        <v>0.43392857142857144</v>
      </c>
      <c r="AA67" s="13">
        <f>(0.5*(K67*L67) + (G67*H67))/H67</f>
        <v>0.46512857142857145</v>
      </c>
    </row>
    <row r="68" spans="1:27" x14ac:dyDescent="0.25">
      <c r="A68" s="4">
        <v>16</v>
      </c>
      <c r="B68" s="4" t="s">
        <v>84</v>
      </c>
      <c r="C68" s="4" t="s">
        <v>122</v>
      </c>
      <c r="D68" s="4">
        <v>173</v>
      </c>
      <c r="E68" s="4">
        <v>191</v>
      </c>
      <c r="F68" s="4">
        <v>170</v>
      </c>
      <c r="G68" s="5">
        <v>0.42599999999999999</v>
      </c>
      <c r="H68" s="4">
        <v>54.5</v>
      </c>
      <c r="I68" s="5">
        <v>0.42399999999999999</v>
      </c>
      <c r="J68" s="5">
        <v>0.38</v>
      </c>
      <c r="K68" s="4">
        <v>16.8</v>
      </c>
      <c r="L68" s="5">
        <v>0.33400000000000002</v>
      </c>
      <c r="M68" s="4">
        <v>10.4</v>
      </c>
      <c r="N68" s="4">
        <v>23</v>
      </c>
      <c r="O68" s="6">
        <f>612/33</f>
        <v>18.545454545454547</v>
      </c>
      <c r="P68" s="6">
        <f>454/33</f>
        <v>13.757575757575758</v>
      </c>
      <c r="Q68" s="6">
        <f>482/33</f>
        <v>14.606060606060606</v>
      </c>
      <c r="R68" s="10">
        <f>Q68-P68</f>
        <v>0.84848484848484773</v>
      </c>
      <c r="S68" s="9">
        <f>P68/T68</f>
        <v>0.1985220167038349</v>
      </c>
      <c r="T68" s="10">
        <v>69.3</v>
      </c>
      <c r="U68" s="4">
        <v>69.099999999999994</v>
      </c>
      <c r="V68" s="10">
        <f>U68/T68</f>
        <v>0.99711399711399706</v>
      </c>
      <c r="W68" s="4">
        <v>0.84</v>
      </c>
      <c r="X68" s="5">
        <v>0.71399999999999997</v>
      </c>
      <c r="Y68" s="4">
        <v>19.600000000000001</v>
      </c>
      <c r="Z68" s="5">
        <f>Y68/H68</f>
        <v>0.3596330275229358</v>
      </c>
      <c r="AA68" s="13">
        <f>(0.5*(K68*L68) + (G68*H68))/H68</f>
        <v>0.47747889908256874</v>
      </c>
    </row>
    <row r="69" spans="1:27" x14ac:dyDescent="0.25">
      <c r="A69" s="4">
        <v>16</v>
      </c>
      <c r="B69" s="4" t="s">
        <v>67</v>
      </c>
      <c r="C69" s="4" t="s">
        <v>110</v>
      </c>
      <c r="D69" s="4">
        <v>145</v>
      </c>
      <c r="E69" s="4">
        <v>196</v>
      </c>
      <c r="F69" s="4">
        <v>109</v>
      </c>
      <c r="G69" s="5">
        <v>0.435</v>
      </c>
      <c r="H69" s="4">
        <v>52.7</v>
      </c>
      <c r="I69" s="5">
        <v>0.436</v>
      </c>
      <c r="J69" s="5">
        <v>0.34</v>
      </c>
      <c r="K69" s="4">
        <v>19.2</v>
      </c>
      <c r="L69" s="5">
        <v>0.32200000000000001</v>
      </c>
      <c r="M69" s="4">
        <v>10.4</v>
      </c>
      <c r="N69" s="4">
        <v>21.6</v>
      </c>
      <c r="O69" s="6">
        <f>733/32</f>
        <v>22.90625</v>
      </c>
      <c r="P69" s="6">
        <f>464/32</f>
        <v>14.5</v>
      </c>
      <c r="Q69" s="6">
        <f>545/33</f>
        <v>16.515151515151516</v>
      </c>
      <c r="R69" s="10">
        <f>Q69-P69</f>
        <v>2.0151515151515156</v>
      </c>
      <c r="S69" s="9">
        <f>P69/T69</f>
        <v>0.20308123249299717</v>
      </c>
      <c r="T69" s="10">
        <v>71.400000000000006</v>
      </c>
      <c r="U69" s="4">
        <v>69.599999999999994</v>
      </c>
      <c r="V69" s="10">
        <f>U69/T69</f>
        <v>0.97478991596638642</v>
      </c>
      <c r="W69" s="4">
        <v>0.79</v>
      </c>
      <c r="X69" s="5">
        <v>0.69399999999999995</v>
      </c>
      <c r="Y69" s="4">
        <v>25.3</v>
      </c>
      <c r="Z69" s="5">
        <f>Y69/H69</f>
        <v>0.48007590132827321</v>
      </c>
      <c r="AA69" s="13">
        <f>(0.5*(K69*L69) + (G69*H69))/H69</f>
        <v>0.49365654648956359</v>
      </c>
    </row>
  </sheetData>
  <sortState ref="A2:AA69">
    <sortCondition ref="A1"/>
  </sortState>
  <conditionalFormatting sqref="D2:D18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8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8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8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8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8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T18 R3:T69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18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:N3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D35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35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F3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G3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:H3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:I3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:J3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K3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:L3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3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:O3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:T35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:X3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Y3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D5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E5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:F5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6:G5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5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I5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6:J5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K5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L5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6:M5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:N5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6:O5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7:T52 P3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6:X5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6:Y5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:D6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3:E6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:F6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3:G6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3:H6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3:I6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3:J6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K6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3:L6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:M6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3:N6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3:O6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3:T6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3:X6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3:Y6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6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6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A6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7:T69 Q2:T35 R3:T69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T6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T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6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S6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6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6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V6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6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" sqref="A2:R18"/>
    </sheetView>
  </sheetViews>
  <sheetFormatPr defaultRowHeight="15" x14ac:dyDescent="0.25"/>
  <cols>
    <col min="1" max="1" width="6.5703125" customWidth="1"/>
    <col min="2" max="2" width="16.5703125" customWidth="1"/>
    <col min="3" max="3" width="7.28515625" customWidth="1"/>
    <col min="4" max="4" width="8.7109375" customWidth="1"/>
    <col min="5" max="5" width="6.7109375" customWidth="1"/>
    <col min="6" max="6" width="6.5703125" customWidth="1"/>
    <col min="7" max="7" width="7.85546875" customWidth="1"/>
    <col min="11" max="11" width="11.7109375" customWidth="1"/>
  </cols>
  <sheetData>
    <row r="1" spans="1:18" x14ac:dyDescent="0.25">
      <c r="A1" t="s">
        <v>1</v>
      </c>
      <c r="B1" t="s">
        <v>0</v>
      </c>
      <c r="C1" t="s">
        <v>85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86</v>
      </c>
      <c r="D2">
        <v>5</v>
      </c>
      <c r="E2">
        <v>4</v>
      </c>
      <c r="F2">
        <v>13</v>
      </c>
      <c r="G2" s="1">
        <v>0.47</v>
      </c>
      <c r="H2">
        <v>53.9</v>
      </c>
      <c r="I2" s="1">
        <v>0.40500000000000003</v>
      </c>
      <c r="J2" s="1">
        <v>0.38900000000000001</v>
      </c>
      <c r="K2">
        <v>23.1</v>
      </c>
      <c r="L2" s="1">
        <v>0.308</v>
      </c>
      <c r="M2">
        <v>10.3</v>
      </c>
      <c r="N2">
        <v>24.1</v>
      </c>
      <c r="O2" s="3">
        <f>564/34</f>
        <v>16.588235294117649</v>
      </c>
      <c r="P2" s="3">
        <f>369/34</f>
        <v>10.852941176470589</v>
      </c>
      <c r="Q2" s="1">
        <v>0.72699999999999998</v>
      </c>
      <c r="R2">
        <v>22.9</v>
      </c>
    </row>
    <row r="3" spans="1:18" x14ac:dyDescent="0.25">
      <c r="A3">
        <v>2</v>
      </c>
      <c r="B3" t="s">
        <v>18</v>
      </c>
      <c r="C3" t="s">
        <v>87</v>
      </c>
      <c r="D3">
        <v>4</v>
      </c>
      <c r="E3">
        <v>27</v>
      </c>
      <c r="F3">
        <v>1</v>
      </c>
      <c r="G3" s="1">
        <v>0.46300000000000002</v>
      </c>
      <c r="H3">
        <v>51.4</v>
      </c>
      <c r="I3" s="1">
        <v>0.36099999999999999</v>
      </c>
      <c r="J3" s="1">
        <v>0.36099999999999999</v>
      </c>
      <c r="K3">
        <v>14</v>
      </c>
      <c r="L3" s="1">
        <v>0.30299999999999999</v>
      </c>
      <c r="M3">
        <v>10.3</v>
      </c>
      <c r="N3">
        <v>25.9</v>
      </c>
      <c r="O3" s="3">
        <f>456/32</f>
        <v>14.25</v>
      </c>
      <c r="P3" s="3">
        <f>304/32</f>
        <v>9.5</v>
      </c>
      <c r="Q3" s="1">
        <v>0.72299999999999998</v>
      </c>
      <c r="R3">
        <v>17.600000000000001</v>
      </c>
    </row>
    <row r="4" spans="1:18" x14ac:dyDescent="0.25">
      <c r="A4">
        <v>3</v>
      </c>
      <c r="B4" t="s">
        <v>19</v>
      </c>
      <c r="C4" t="s">
        <v>88</v>
      </c>
      <c r="D4">
        <v>9</v>
      </c>
      <c r="E4">
        <v>50</v>
      </c>
      <c r="F4">
        <v>5</v>
      </c>
      <c r="G4" s="1">
        <v>0.436</v>
      </c>
      <c r="H4">
        <v>58.6</v>
      </c>
      <c r="I4" s="1">
        <v>0.38500000000000001</v>
      </c>
      <c r="J4" s="1">
        <v>0.34300000000000003</v>
      </c>
      <c r="K4">
        <v>19.7</v>
      </c>
      <c r="L4" s="1">
        <v>0.309</v>
      </c>
      <c r="M4">
        <v>11</v>
      </c>
      <c r="N4">
        <v>27.1</v>
      </c>
      <c r="O4" s="3">
        <f>525/32</f>
        <v>16.40625</v>
      </c>
      <c r="P4" s="3">
        <f>388/32</f>
        <v>12.125</v>
      </c>
      <c r="Q4" s="1">
        <v>0.73499999999999999</v>
      </c>
      <c r="R4">
        <v>19.100000000000001</v>
      </c>
    </row>
    <row r="5" spans="1:18" x14ac:dyDescent="0.25">
      <c r="A5">
        <v>4</v>
      </c>
      <c r="B5" t="s">
        <v>20</v>
      </c>
      <c r="C5" t="s">
        <v>89</v>
      </c>
      <c r="D5">
        <v>18</v>
      </c>
      <c r="E5">
        <v>95</v>
      </c>
      <c r="F5">
        <v>6</v>
      </c>
      <c r="G5" s="1">
        <v>0.42899999999999999</v>
      </c>
      <c r="H5">
        <v>57.1</v>
      </c>
      <c r="I5" s="1">
        <v>0.38900000000000001</v>
      </c>
      <c r="J5" s="1">
        <v>0.30399999999999999</v>
      </c>
      <c r="K5">
        <v>18.600000000000001</v>
      </c>
      <c r="L5" s="1">
        <v>0.29299999999999998</v>
      </c>
      <c r="M5">
        <v>12.9</v>
      </c>
      <c r="N5">
        <v>25.3</v>
      </c>
      <c r="O5" s="3">
        <f>567/32</f>
        <v>17.71875</v>
      </c>
      <c r="P5" s="3">
        <f>378/32</f>
        <v>11.8125</v>
      </c>
      <c r="Q5" s="1">
        <v>0.66</v>
      </c>
      <c r="R5">
        <v>22.2</v>
      </c>
    </row>
    <row r="6" spans="1:18" x14ac:dyDescent="0.25">
      <c r="A6">
        <v>5</v>
      </c>
      <c r="B6" t="s">
        <v>21</v>
      </c>
      <c r="C6" t="s">
        <v>92</v>
      </c>
      <c r="D6">
        <v>12</v>
      </c>
      <c r="E6">
        <v>15</v>
      </c>
      <c r="F6">
        <v>16</v>
      </c>
      <c r="G6" s="1">
        <v>0.48599999999999999</v>
      </c>
      <c r="H6">
        <v>46.2</v>
      </c>
      <c r="I6" s="1">
        <v>0.39100000000000001</v>
      </c>
      <c r="J6" s="1">
        <v>0.39700000000000002</v>
      </c>
      <c r="K6">
        <v>18.5</v>
      </c>
      <c r="L6" s="1">
        <v>0.315</v>
      </c>
      <c r="M6">
        <v>7.2</v>
      </c>
      <c r="N6">
        <v>23.6</v>
      </c>
      <c r="O6" s="3">
        <f>474/33</f>
        <v>14.363636363636363</v>
      </c>
      <c r="P6" s="3">
        <f>346/33</f>
        <v>10.484848484848484</v>
      </c>
      <c r="Q6" s="1">
        <v>0.72599999999999998</v>
      </c>
      <c r="R6">
        <v>18.600000000000001</v>
      </c>
    </row>
    <row r="7" spans="1:18" x14ac:dyDescent="0.25">
      <c r="A7">
        <v>6</v>
      </c>
      <c r="B7" t="s">
        <v>22</v>
      </c>
      <c r="C7" t="s">
        <v>93</v>
      </c>
      <c r="D7">
        <v>28</v>
      </c>
      <c r="E7">
        <v>38</v>
      </c>
      <c r="F7">
        <v>48</v>
      </c>
      <c r="G7" s="1">
        <v>0.442</v>
      </c>
      <c r="H7">
        <v>55.5</v>
      </c>
      <c r="I7" s="1">
        <v>0.42099999999999999</v>
      </c>
      <c r="J7" s="1">
        <v>0.38200000000000001</v>
      </c>
      <c r="K7">
        <v>17.3</v>
      </c>
      <c r="L7" s="1">
        <v>0.33300000000000002</v>
      </c>
      <c r="M7">
        <v>12.1</v>
      </c>
      <c r="N7">
        <v>24</v>
      </c>
      <c r="O7" s="3">
        <f>607/33</f>
        <v>18.393939393939394</v>
      </c>
      <c r="P7" s="3">
        <f>391/33</f>
        <v>11.848484848484848</v>
      </c>
      <c r="Q7" s="1">
        <v>0.71599999999999997</v>
      </c>
      <c r="R7">
        <v>20.3</v>
      </c>
    </row>
    <row r="8" spans="1:18" x14ac:dyDescent="0.25">
      <c r="A8">
        <v>7</v>
      </c>
      <c r="B8" t="s">
        <v>23</v>
      </c>
      <c r="C8" t="s">
        <v>94</v>
      </c>
      <c r="D8">
        <v>17</v>
      </c>
      <c r="E8">
        <v>14</v>
      </c>
      <c r="F8">
        <v>53</v>
      </c>
      <c r="G8" s="1">
        <v>0.47099999999999997</v>
      </c>
      <c r="H8">
        <v>56.2</v>
      </c>
      <c r="I8" s="1">
        <v>0.4</v>
      </c>
      <c r="J8" s="1">
        <v>0.38600000000000001</v>
      </c>
      <c r="K8">
        <v>19.5</v>
      </c>
      <c r="L8" s="1">
        <v>0.32300000000000001</v>
      </c>
      <c r="M8">
        <v>11.5</v>
      </c>
      <c r="N8">
        <v>26.2</v>
      </c>
      <c r="O8" s="3">
        <f>631/34</f>
        <v>18.558823529411764</v>
      </c>
      <c r="P8" s="3">
        <f>395/34</f>
        <v>11.617647058823529</v>
      </c>
      <c r="Q8" s="1">
        <v>0.63300000000000001</v>
      </c>
      <c r="R8">
        <v>17.899999999999999</v>
      </c>
    </row>
    <row r="9" spans="1:18" x14ac:dyDescent="0.25">
      <c r="A9">
        <v>8</v>
      </c>
      <c r="B9" t="s">
        <v>24</v>
      </c>
      <c r="C9" t="s">
        <v>95</v>
      </c>
      <c r="D9">
        <v>38</v>
      </c>
      <c r="E9">
        <v>30</v>
      </c>
      <c r="F9">
        <v>89</v>
      </c>
      <c r="G9" s="1">
        <v>0.437</v>
      </c>
      <c r="H9">
        <v>56.8</v>
      </c>
      <c r="I9" s="1">
        <v>0.40300000000000002</v>
      </c>
      <c r="J9" s="1">
        <v>0.36099999999999999</v>
      </c>
      <c r="K9">
        <v>18.399999999999999</v>
      </c>
      <c r="L9" s="1">
        <v>0.33200000000000002</v>
      </c>
      <c r="M9">
        <v>12.1</v>
      </c>
      <c r="N9">
        <v>25.7</v>
      </c>
      <c r="O9" s="3">
        <f>582/33</f>
        <v>17.636363636363637</v>
      </c>
      <c r="P9" s="3">
        <f>347/33</f>
        <v>10.515151515151516</v>
      </c>
      <c r="Q9" s="1">
        <v>0.68300000000000005</v>
      </c>
      <c r="R9">
        <v>20.6</v>
      </c>
    </row>
    <row r="10" spans="1:18" x14ac:dyDescent="0.25">
      <c r="A10">
        <v>9</v>
      </c>
      <c r="B10" t="s">
        <v>25</v>
      </c>
      <c r="C10" t="s">
        <v>88</v>
      </c>
      <c r="D10">
        <v>43</v>
      </c>
      <c r="E10">
        <v>75</v>
      </c>
      <c r="F10">
        <v>37</v>
      </c>
      <c r="G10" s="1">
        <v>0.45600000000000002</v>
      </c>
      <c r="H10">
        <v>59.4</v>
      </c>
      <c r="I10" s="1">
        <v>0.40100000000000002</v>
      </c>
      <c r="J10" s="1">
        <v>0.33900000000000002</v>
      </c>
      <c r="K10">
        <v>17</v>
      </c>
      <c r="L10" s="1">
        <v>0.313</v>
      </c>
      <c r="M10">
        <v>12.1</v>
      </c>
      <c r="N10">
        <v>27.1</v>
      </c>
      <c r="O10" s="3">
        <f>506/32</f>
        <v>15.8125</v>
      </c>
      <c r="P10" s="3">
        <f>468/32</f>
        <v>14.625</v>
      </c>
      <c r="Q10" s="1">
        <v>0.68899999999999995</v>
      </c>
      <c r="R10">
        <v>19.899999999999999</v>
      </c>
    </row>
    <row r="11" spans="1:18" x14ac:dyDescent="0.25">
      <c r="A11">
        <v>10</v>
      </c>
      <c r="B11" t="s">
        <v>26</v>
      </c>
      <c r="C11" t="s">
        <v>96</v>
      </c>
      <c r="D11">
        <v>36</v>
      </c>
      <c r="E11">
        <v>74</v>
      </c>
      <c r="F11">
        <v>28</v>
      </c>
      <c r="G11" s="1">
        <v>0.435</v>
      </c>
      <c r="H11">
        <v>52.3</v>
      </c>
      <c r="I11" s="1">
        <v>0.38700000000000001</v>
      </c>
      <c r="J11" s="1">
        <v>0.34399999999999997</v>
      </c>
      <c r="K11">
        <v>16.399999999999999</v>
      </c>
      <c r="L11" s="1">
        <v>0.309</v>
      </c>
      <c r="M11">
        <v>10.9</v>
      </c>
      <c r="N11">
        <v>27.1</v>
      </c>
      <c r="O11" s="3">
        <f>589/32</f>
        <v>18.40625</v>
      </c>
      <c r="P11" s="3">
        <f>408/32</f>
        <v>12.75</v>
      </c>
      <c r="Q11" s="1">
        <v>0.68899999999999995</v>
      </c>
      <c r="R11">
        <v>25</v>
      </c>
    </row>
    <row r="12" spans="1:18" x14ac:dyDescent="0.25">
      <c r="A12">
        <v>11</v>
      </c>
      <c r="B12" t="s">
        <v>27</v>
      </c>
      <c r="C12" t="s">
        <v>90</v>
      </c>
      <c r="D12">
        <v>39</v>
      </c>
      <c r="E12">
        <v>48</v>
      </c>
      <c r="F12">
        <v>64</v>
      </c>
      <c r="G12" s="1">
        <v>0.45800000000000002</v>
      </c>
      <c r="H12">
        <v>53.6</v>
      </c>
      <c r="I12" s="1">
        <v>0.41499999999999998</v>
      </c>
      <c r="J12" s="1">
        <v>0.39400000000000002</v>
      </c>
      <c r="K12">
        <v>22.4</v>
      </c>
      <c r="L12" s="1">
        <v>0.308</v>
      </c>
      <c r="M12">
        <v>8.6999999999999993</v>
      </c>
      <c r="N12">
        <v>24.2</v>
      </c>
      <c r="O12" s="3">
        <f>564/33</f>
        <v>17.09090909090909</v>
      </c>
      <c r="P12" s="3">
        <f>339/33</f>
        <v>10.272727272727273</v>
      </c>
      <c r="Q12" s="1">
        <v>0.73299999999999998</v>
      </c>
      <c r="R12">
        <v>17.600000000000001</v>
      </c>
    </row>
    <row r="13" spans="1:18" x14ac:dyDescent="0.25">
      <c r="A13">
        <v>11</v>
      </c>
      <c r="B13" t="s">
        <v>28</v>
      </c>
      <c r="C13" t="s">
        <v>90</v>
      </c>
      <c r="D13">
        <v>40</v>
      </c>
      <c r="E13">
        <v>73</v>
      </c>
      <c r="F13">
        <v>48</v>
      </c>
      <c r="G13" s="1">
        <v>0.46300000000000002</v>
      </c>
      <c r="H13">
        <v>49.1</v>
      </c>
      <c r="I13" s="1">
        <v>0.42099999999999999</v>
      </c>
      <c r="J13" s="1">
        <v>0.35199999999999998</v>
      </c>
      <c r="K13">
        <v>18.3</v>
      </c>
      <c r="L13" s="1">
        <v>0.317</v>
      </c>
      <c r="M13">
        <v>7.4</v>
      </c>
      <c r="N13">
        <v>24.1</v>
      </c>
      <c r="O13" s="3">
        <f>525/33</f>
        <v>15.909090909090908</v>
      </c>
      <c r="P13" s="3">
        <f>379/33</f>
        <v>11.484848484848484</v>
      </c>
      <c r="Q13" s="1">
        <v>0.68200000000000005</v>
      </c>
      <c r="R13">
        <v>23.9</v>
      </c>
    </row>
    <row r="14" spans="1:18" x14ac:dyDescent="0.25">
      <c r="A14">
        <v>12</v>
      </c>
      <c r="B14" t="s">
        <v>29</v>
      </c>
      <c r="C14" t="s">
        <v>97</v>
      </c>
      <c r="D14">
        <v>102</v>
      </c>
      <c r="E14">
        <v>175</v>
      </c>
      <c r="F14">
        <v>67</v>
      </c>
      <c r="G14" s="1">
        <v>0.46200000000000002</v>
      </c>
      <c r="H14">
        <v>46.3</v>
      </c>
      <c r="I14" s="1">
        <v>0.40100000000000002</v>
      </c>
      <c r="J14" s="1">
        <v>0.32300000000000001</v>
      </c>
      <c r="K14">
        <v>18.2</v>
      </c>
      <c r="L14" s="1">
        <v>0.34300000000000003</v>
      </c>
      <c r="M14">
        <v>6.2</v>
      </c>
      <c r="N14">
        <v>23.9</v>
      </c>
      <c r="O14" s="3">
        <f>464/34</f>
        <v>13.647058823529411</v>
      </c>
      <c r="P14" s="3">
        <f>380/34</f>
        <v>11.176470588235293</v>
      </c>
      <c r="Q14" s="1">
        <v>0.70699999999999996</v>
      </c>
      <c r="R14">
        <v>18.5</v>
      </c>
    </row>
    <row r="15" spans="1:18" x14ac:dyDescent="0.25">
      <c r="A15">
        <v>13</v>
      </c>
      <c r="B15" t="s">
        <v>30</v>
      </c>
      <c r="C15" t="s">
        <v>98</v>
      </c>
      <c r="D15">
        <v>94</v>
      </c>
      <c r="E15">
        <v>123</v>
      </c>
      <c r="F15">
        <v>92</v>
      </c>
      <c r="G15" s="1">
        <v>0.46100000000000002</v>
      </c>
      <c r="H15">
        <v>54.5</v>
      </c>
      <c r="I15" s="1">
        <v>0.39300000000000002</v>
      </c>
      <c r="J15" s="1">
        <v>0.39</v>
      </c>
      <c r="K15">
        <v>16.5</v>
      </c>
      <c r="L15" s="1">
        <v>0.34</v>
      </c>
      <c r="M15">
        <v>9.6999999999999993</v>
      </c>
      <c r="N15">
        <v>25.7</v>
      </c>
      <c r="O15" s="3">
        <f>568/33</f>
        <v>17.212121212121211</v>
      </c>
      <c r="P15" s="3">
        <f>382/33</f>
        <v>11.575757575757576</v>
      </c>
      <c r="Q15" s="1">
        <v>0.68300000000000005</v>
      </c>
      <c r="R15">
        <v>16.3</v>
      </c>
    </row>
    <row r="16" spans="1:18" x14ac:dyDescent="0.25">
      <c r="A16">
        <v>14</v>
      </c>
      <c r="B16" t="s">
        <v>31</v>
      </c>
      <c r="C16" t="s">
        <v>89</v>
      </c>
      <c r="D16">
        <v>131</v>
      </c>
      <c r="E16">
        <v>117</v>
      </c>
      <c r="F16">
        <v>155</v>
      </c>
      <c r="G16" s="1">
        <v>0.44</v>
      </c>
      <c r="H16">
        <v>50.2</v>
      </c>
      <c r="I16" s="1">
        <v>0.42</v>
      </c>
      <c r="J16" s="1">
        <v>0.36</v>
      </c>
      <c r="K16">
        <v>17.100000000000001</v>
      </c>
      <c r="L16" s="1">
        <v>0.36499999999999999</v>
      </c>
      <c r="M16">
        <v>10</v>
      </c>
      <c r="N16">
        <v>23.6</v>
      </c>
      <c r="O16" s="3">
        <f>528/32</f>
        <v>16.5</v>
      </c>
      <c r="P16" s="3">
        <f>374/32</f>
        <v>11.6875</v>
      </c>
      <c r="Q16" s="1">
        <v>0.76100000000000001</v>
      </c>
      <c r="R16">
        <v>20</v>
      </c>
    </row>
    <row r="17" spans="1:18" x14ac:dyDescent="0.25">
      <c r="A17">
        <v>15</v>
      </c>
      <c r="B17" t="s">
        <v>32</v>
      </c>
      <c r="C17" t="s">
        <v>88</v>
      </c>
      <c r="D17">
        <v>149</v>
      </c>
      <c r="E17">
        <v>64</v>
      </c>
      <c r="F17">
        <v>258</v>
      </c>
      <c r="G17" s="1">
        <v>0.47599999999999998</v>
      </c>
      <c r="H17">
        <v>54.6</v>
      </c>
      <c r="I17" s="1">
        <v>0.45200000000000001</v>
      </c>
      <c r="J17" s="1">
        <v>0.38200000000000001</v>
      </c>
      <c r="K17">
        <v>26.3</v>
      </c>
      <c r="L17" s="1">
        <v>0.34399999999999997</v>
      </c>
      <c r="M17">
        <v>9.4</v>
      </c>
      <c r="N17">
        <v>23.8</v>
      </c>
      <c r="O17" s="3">
        <f>527/32</f>
        <v>16.46875</v>
      </c>
      <c r="P17" s="3">
        <f>439/32</f>
        <v>13.71875</v>
      </c>
      <c r="Q17" s="1">
        <v>0.69099999999999995</v>
      </c>
      <c r="R17">
        <v>18.100000000000001</v>
      </c>
    </row>
    <row r="18" spans="1:18" x14ac:dyDescent="0.25">
      <c r="A18">
        <v>16</v>
      </c>
      <c r="B18" t="s">
        <v>33</v>
      </c>
      <c r="C18" t="s">
        <v>99</v>
      </c>
      <c r="D18">
        <v>195</v>
      </c>
      <c r="E18">
        <v>40</v>
      </c>
      <c r="F18">
        <v>338</v>
      </c>
      <c r="G18" s="1">
        <v>0.48799999999999999</v>
      </c>
      <c r="H18">
        <v>54.5</v>
      </c>
      <c r="I18" s="1">
        <v>0.42299999999999999</v>
      </c>
      <c r="J18" s="1">
        <v>0.41299999999999998</v>
      </c>
      <c r="K18">
        <v>19.399999999999999</v>
      </c>
      <c r="L18" s="1">
        <v>0.318</v>
      </c>
      <c r="M18">
        <v>8.5</v>
      </c>
      <c r="N18">
        <v>22.5</v>
      </c>
      <c r="O18" s="3">
        <f>504/32</f>
        <v>15.75</v>
      </c>
      <c r="P18" s="3">
        <f>351/32</f>
        <v>10.96875</v>
      </c>
      <c r="Q18" s="1">
        <v>0.76600000000000001</v>
      </c>
      <c r="R18">
        <v>16.899999999999999</v>
      </c>
    </row>
  </sheetData>
  <conditionalFormatting sqref="D2:D1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" sqref="A2:R18"/>
    </sheetView>
  </sheetViews>
  <sheetFormatPr defaultRowHeight="15" x14ac:dyDescent="0.25"/>
  <cols>
    <col min="1" max="1" width="6.85546875" customWidth="1"/>
    <col min="2" max="2" width="19.42578125" customWidth="1"/>
    <col min="3" max="3" width="7.85546875" customWidth="1"/>
    <col min="5" max="5" width="7.42578125" customWidth="1"/>
    <col min="6" max="6" width="6.42578125" customWidth="1"/>
  </cols>
  <sheetData>
    <row r="1" spans="1:18" x14ac:dyDescent="0.25">
      <c r="A1" t="s">
        <v>1</v>
      </c>
      <c r="B1" t="s">
        <v>0</v>
      </c>
      <c r="C1" t="s">
        <v>85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123</v>
      </c>
      <c r="P1" t="s">
        <v>11</v>
      </c>
      <c r="Q1" t="s">
        <v>15</v>
      </c>
      <c r="R1" t="s">
        <v>16</v>
      </c>
    </row>
    <row r="2" spans="1:18" x14ac:dyDescent="0.25">
      <c r="A2">
        <v>1</v>
      </c>
      <c r="B2" t="s">
        <v>34</v>
      </c>
      <c r="C2" t="s">
        <v>100</v>
      </c>
      <c r="D2">
        <v>3</v>
      </c>
      <c r="E2">
        <v>1</v>
      </c>
      <c r="F2">
        <v>30</v>
      </c>
      <c r="G2" s="1">
        <v>0.48</v>
      </c>
      <c r="H2">
        <v>52.7</v>
      </c>
      <c r="I2" s="2">
        <v>0.41899999999999998</v>
      </c>
      <c r="J2" s="1">
        <v>0.35699999999999998</v>
      </c>
      <c r="K2">
        <v>19.5</v>
      </c>
      <c r="L2" s="1">
        <v>0.36</v>
      </c>
      <c r="M2">
        <v>9.5</v>
      </c>
      <c r="N2">
        <v>24.2</v>
      </c>
      <c r="O2" s="3">
        <f>409/34</f>
        <v>12.029411764705882</v>
      </c>
      <c r="P2" s="3">
        <f>252/34</f>
        <v>7.4117647058823533</v>
      </c>
      <c r="Q2" s="1">
        <v>0.76300000000000001</v>
      </c>
      <c r="R2">
        <v>18.8</v>
      </c>
    </row>
    <row r="3" spans="1:18" x14ac:dyDescent="0.25">
      <c r="A3">
        <v>2</v>
      </c>
      <c r="B3" t="s">
        <v>35</v>
      </c>
      <c r="C3" t="s">
        <v>100</v>
      </c>
      <c r="D3">
        <v>2</v>
      </c>
      <c r="E3">
        <v>11</v>
      </c>
      <c r="F3">
        <v>3</v>
      </c>
      <c r="G3" s="1">
        <v>0.48899999999999999</v>
      </c>
      <c r="H3">
        <v>54.6</v>
      </c>
      <c r="I3" s="2">
        <v>0.39200000000000002</v>
      </c>
      <c r="J3" s="1">
        <v>0.36</v>
      </c>
      <c r="K3">
        <v>14.1</v>
      </c>
      <c r="L3" s="1">
        <v>0.32800000000000001</v>
      </c>
      <c r="M3">
        <v>10.8</v>
      </c>
      <c r="N3">
        <v>26.4</v>
      </c>
      <c r="O3" s="3">
        <f>609/34</f>
        <v>17.911764705882351</v>
      </c>
      <c r="P3" s="3">
        <f>381/34</f>
        <v>11.205882352941176</v>
      </c>
      <c r="Q3" s="1">
        <v>0.69899999999999995</v>
      </c>
      <c r="R3">
        <v>25.7</v>
      </c>
    </row>
    <row r="4" spans="1:18" x14ac:dyDescent="0.25">
      <c r="A4">
        <v>3</v>
      </c>
      <c r="B4" t="s">
        <v>36</v>
      </c>
      <c r="C4" t="s">
        <v>101</v>
      </c>
      <c r="D4">
        <v>15</v>
      </c>
      <c r="E4">
        <v>13</v>
      </c>
      <c r="F4">
        <v>33</v>
      </c>
      <c r="G4" s="1">
        <v>0.434</v>
      </c>
      <c r="H4">
        <v>55.5</v>
      </c>
      <c r="I4" s="2">
        <v>0.40200000000000002</v>
      </c>
      <c r="J4" s="1">
        <v>0.377</v>
      </c>
      <c r="K4">
        <v>18.399999999999999</v>
      </c>
      <c r="L4" s="1">
        <v>0.3</v>
      </c>
      <c r="M4">
        <v>14.7</v>
      </c>
      <c r="N4">
        <v>24.5</v>
      </c>
      <c r="O4" s="3">
        <f>552/33</f>
        <v>16.727272727272727</v>
      </c>
      <c r="P4" s="3">
        <f>413/33</f>
        <v>12.515151515151516</v>
      </c>
      <c r="Q4" s="1">
        <v>0.67</v>
      </c>
      <c r="R4">
        <v>21.5</v>
      </c>
    </row>
    <row r="5" spans="1:18" x14ac:dyDescent="0.25">
      <c r="A5">
        <v>4</v>
      </c>
      <c r="B5" t="s">
        <v>37</v>
      </c>
      <c r="C5" t="s">
        <v>102</v>
      </c>
      <c r="D5">
        <v>16</v>
      </c>
      <c r="E5">
        <v>12</v>
      </c>
      <c r="F5">
        <v>45</v>
      </c>
      <c r="G5" s="1">
        <v>0.47499999999999998</v>
      </c>
      <c r="H5">
        <v>61.3</v>
      </c>
      <c r="I5" s="2">
        <v>0.39800000000000002</v>
      </c>
      <c r="J5" s="1">
        <v>0.34499999999999997</v>
      </c>
      <c r="K5">
        <v>13.8</v>
      </c>
      <c r="L5" s="1">
        <v>0.29799999999999999</v>
      </c>
      <c r="M5">
        <v>13.9</v>
      </c>
      <c r="N5">
        <v>27.1</v>
      </c>
      <c r="O5" s="3">
        <f>675/35</f>
        <v>19.285714285714285</v>
      </c>
      <c r="P5" s="3">
        <f>444/35</f>
        <v>12.685714285714285</v>
      </c>
      <c r="Q5" s="1">
        <v>0.7</v>
      </c>
      <c r="R5">
        <v>21.3</v>
      </c>
    </row>
    <row r="6" spans="1:18" x14ac:dyDescent="0.25">
      <c r="A6">
        <v>5</v>
      </c>
      <c r="B6" t="s">
        <v>38</v>
      </c>
      <c r="C6" t="s">
        <v>91</v>
      </c>
      <c r="D6">
        <v>29</v>
      </c>
      <c r="E6">
        <v>21</v>
      </c>
      <c r="F6">
        <v>81</v>
      </c>
      <c r="G6" s="1">
        <v>0.44700000000000001</v>
      </c>
      <c r="H6">
        <v>61.3</v>
      </c>
      <c r="I6" s="2">
        <v>0.43099999999999999</v>
      </c>
      <c r="J6" s="1">
        <v>0.35</v>
      </c>
      <c r="K6">
        <v>19.100000000000001</v>
      </c>
      <c r="L6" s="1">
        <v>0.35299999999999998</v>
      </c>
      <c r="M6">
        <v>13</v>
      </c>
      <c r="N6">
        <v>22.8</v>
      </c>
      <c r="O6" s="3">
        <f>645/34</f>
        <v>18.970588235294116</v>
      </c>
      <c r="P6" s="3">
        <f>399/34</f>
        <v>11.735294117647058</v>
      </c>
      <c r="Q6" s="1">
        <v>0.72399999999999998</v>
      </c>
      <c r="R6">
        <v>22.8</v>
      </c>
    </row>
    <row r="7" spans="1:18" x14ac:dyDescent="0.25">
      <c r="A7">
        <v>6</v>
      </c>
      <c r="B7" t="s">
        <v>39</v>
      </c>
      <c r="C7" t="s">
        <v>103</v>
      </c>
      <c r="D7">
        <v>26</v>
      </c>
      <c r="E7">
        <v>28</v>
      </c>
      <c r="F7">
        <v>55</v>
      </c>
      <c r="G7" s="1">
        <v>0.47299999999999998</v>
      </c>
      <c r="H7">
        <v>55</v>
      </c>
      <c r="I7" s="2">
        <v>0.437</v>
      </c>
      <c r="J7" s="1">
        <v>0.34899999999999998</v>
      </c>
      <c r="K7">
        <v>18</v>
      </c>
      <c r="L7" s="1">
        <v>0.34899999999999998</v>
      </c>
      <c r="M7">
        <v>10</v>
      </c>
      <c r="N7">
        <v>24.8</v>
      </c>
      <c r="O7" s="3">
        <f>614/34</f>
        <v>18.058823529411764</v>
      </c>
      <c r="P7" s="3">
        <f>411/34</f>
        <v>12.088235294117647</v>
      </c>
      <c r="Q7" s="1">
        <v>0.72499999999999998</v>
      </c>
      <c r="R7">
        <v>21</v>
      </c>
    </row>
    <row r="8" spans="1:18" x14ac:dyDescent="0.25">
      <c r="A8">
        <v>7</v>
      </c>
      <c r="B8" t="s">
        <v>40</v>
      </c>
      <c r="C8" t="s">
        <v>104</v>
      </c>
      <c r="D8">
        <v>30</v>
      </c>
      <c r="E8">
        <v>61</v>
      </c>
      <c r="F8">
        <v>23</v>
      </c>
      <c r="G8" s="1">
        <v>0.42</v>
      </c>
      <c r="H8">
        <v>59.3</v>
      </c>
      <c r="I8" s="2">
        <v>0.433</v>
      </c>
      <c r="J8" s="1">
        <v>0.34200000000000003</v>
      </c>
      <c r="K8">
        <v>23.7</v>
      </c>
      <c r="L8" s="1">
        <v>0.34399999999999997</v>
      </c>
      <c r="M8">
        <v>12.3</v>
      </c>
      <c r="N8">
        <v>23.1</v>
      </c>
      <c r="O8" s="3">
        <f>673/35</f>
        <v>19.228571428571428</v>
      </c>
      <c r="P8" s="3">
        <f>373/35</f>
        <v>10.657142857142857</v>
      </c>
      <c r="Q8" s="1">
        <v>0.65600000000000003</v>
      </c>
      <c r="R8">
        <v>22.2</v>
      </c>
    </row>
    <row r="9" spans="1:18" x14ac:dyDescent="0.25">
      <c r="A9">
        <v>8</v>
      </c>
      <c r="B9" t="s">
        <v>41</v>
      </c>
      <c r="C9" t="s">
        <v>97</v>
      </c>
      <c r="D9">
        <v>46</v>
      </c>
      <c r="E9">
        <v>16</v>
      </c>
      <c r="F9">
        <v>134</v>
      </c>
      <c r="G9" s="1">
        <v>0.46100000000000002</v>
      </c>
      <c r="H9">
        <v>59.7</v>
      </c>
      <c r="I9" s="2">
        <v>0.42099999999999999</v>
      </c>
      <c r="J9" s="1">
        <v>0.36</v>
      </c>
      <c r="K9">
        <v>20.2</v>
      </c>
      <c r="L9" s="1">
        <v>0.33</v>
      </c>
      <c r="M9">
        <v>10.6</v>
      </c>
      <c r="N9">
        <v>25.8</v>
      </c>
      <c r="O9" s="3">
        <f>623/34</f>
        <v>18.323529411764707</v>
      </c>
      <c r="P9" s="3">
        <f>401/34</f>
        <v>11.794117647058824</v>
      </c>
      <c r="Q9" s="1">
        <v>0.76</v>
      </c>
      <c r="R9">
        <v>17.3</v>
      </c>
    </row>
    <row r="10" spans="1:18" x14ac:dyDescent="0.25">
      <c r="A10">
        <v>9</v>
      </c>
      <c r="B10" t="s">
        <v>42</v>
      </c>
      <c r="C10" t="s">
        <v>105</v>
      </c>
      <c r="D10">
        <v>37</v>
      </c>
      <c r="E10">
        <v>49</v>
      </c>
      <c r="F10">
        <v>58</v>
      </c>
      <c r="G10" s="1">
        <v>0.439</v>
      </c>
      <c r="H10">
        <v>51.8</v>
      </c>
      <c r="I10" s="2">
        <v>0.39900000000000002</v>
      </c>
      <c r="J10" s="1">
        <v>0.35</v>
      </c>
      <c r="K10">
        <v>19.899999999999999</v>
      </c>
      <c r="L10" s="1">
        <v>0.33900000000000002</v>
      </c>
      <c r="M10">
        <v>9</v>
      </c>
      <c r="N10">
        <v>23.5</v>
      </c>
      <c r="O10" s="3">
        <f>597/31</f>
        <v>19.258064516129032</v>
      </c>
      <c r="P10" s="3">
        <f>380/31</f>
        <v>12.258064516129032</v>
      </c>
      <c r="Q10" s="1">
        <v>0.72599999999999998</v>
      </c>
      <c r="R10">
        <v>20.399999999999999</v>
      </c>
    </row>
    <row r="11" spans="1:18" x14ac:dyDescent="0.25">
      <c r="A11">
        <v>10</v>
      </c>
      <c r="B11" t="s">
        <v>43</v>
      </c>
      <c r="C11" t="s">
        <v>106</v>
      </c>
      <c r="D11">
        <v>21</v>
      </c>
      <c r="E11">
        <v>29</v>
      </c>
      <c r="F11">
        <v>40</v>
      </c>
      <c r="G11" s="1">
        <v>0.48599999999999999</v>
      </c>
      <c r="H11">
        <v>57.2</v>
      </c>
      <c r="I11" s="2">
        <v>0.40500000000000003</v>
      </c>
      <c r="J11" s="1">
        <v>0.372</v>
      </c>
      <c r="K11">
        <v>18.3</v>
      </c>
      <c r="L11" s="1">
        <v>0.318</v>
      </c>
      <c r="M11">
        <v>11.3</v>
      </c>
      <c r="N11">
        <v>24.6</v>
      </c>
      <c r="O11" s="3">
        <f>529/33</f>
        <v>16.030303030303031</v>
      </c>
      <c r="P11" s="3">
        <f>373/33</f>
        <v>11.303030303030303</v>
      </c>
      <c r="Q11" s="1">
        <v>0.67800000000000005</v>
      </c>
      <c r="R11">
        <v>19.899999999999999</v>
      </c>
    </row>
    <row r="12" spans="1:18" x14ac:dyDescent="0.25">
      <c r="A12">
        <v>11</v>
      </c>
      <c r="B12" t="s">
        <v>44</v>
      </c>
      <c r="C12" t="s">
        <v>97</v>
      </c>
      <c r="D12">
        <v>31</v>
      </c>
      <c r="E12">
        <v>9</v>
      </c>
      <c r="F12">
        <v>139</v>
      </c>
      <c r="G12" s="1">
        <v>0.46700000000000003</v>
      </c>
      <c r="H12">
        <v>64.099999999999994</v>
      </c>
      <c r="I12" s="2">
        <v>0.435</v>
      </c>
      <c r="J12" s="1">
        <v>0.35499999999999998</v>
      </c>
      <c r="K12">
        <v>22.8</v>
      </c>
      <c r="L12" s="1">
        <v>0.32800000000000001</v>
      </c>
      <c r="M12">
        <v>12.2</v>
      </c>
      <c r="N12">
        <v>26.3</v>
      </c>
      <c r="O12" s="3">
        <f>698/34</f>
        <v>20.529411764705884</v>
      </c>
      <c r="P12" s="3">
        <f>402/34</f>
        <v>11.823529411764707</v>
      </c>
      <c r="Q12" s="1">
        <v>0.76800000000000002</v>
      </c>
      <c r="R12">
        <v>22.5</v>
      </c>
    </row>
    <row r="13" spans="1:18" x14ac:dyDescent="0.25">
      <c r="A13">
        <v>11</v>
      </c>
      <c r="B13" t="s">
        <v>45</v>
      </c>
      <c r="C13" t="s">
        <v>99</v>
      </c>
      <c r="D13">
        <v>44</v>
      </c>
      <c r="E13">
        <v>22</v>
      </c>
      <c r="F13">
        <v>125</v>
      </c>
      <c r="G13" s="1">
        <v>0.42599999999999999</v>
      </c>
      <c r="H13">
        <v>57.8</v>
      </c>
      <c r="I13" s="2">
        <v>0.4</v>
      </c>
      <c r="J13" s="1">
        <v>0.33800000000000002</v>
      </c>
      <c r="K13">
        <v>19.100000000000001</v>
      </c>
      <c r="L13" s="1">
        <v>0.34899999999999998</v>
      </c>
      <c r="M13">
        <v>12.4</v>
      </c>
      <c r="N13">
        <v>25.2</v>
      </c>
      <c r="O13" s="3">
        <f>626/32</f>
        <v>19.5625</v>
      </c>
      <c r="P13" s="3">
        <f>363/32</f>
        <v>11.34375</v>
      </c>
      <c r="Q13" s="1">
        <v>0.77800000000000002</v>
      </c>
      <c r="R13">
        <v>21.7</v>
      </c>
    </row>
    <row r="14" spans="1:18" x14ac:dyDescent="0.25">
      <c r="A14">
        <v>12</v>
      </c>
      <c r="B14" t="s">
        <v>46</v>
      </c>
      <c r="C14" t="s">
        <v>108</v>
      </c>
      <c r="D14">
        <v>90</v>
      </c>
      <c r="E14">
        <v>143</v>
      </c>
      <c r="F14">
        <v>78</v>
      </c>
      <c r="G14" s="1">
        <v>0.45800000000000002</v>
      </c>
      <c r="H14">
        <v>51.3</v>
      </c>
      <c r="I14" s="2">
        <v>0.41699999999999998</v>
      </c>
      <c r="J14" s="1">
        <v>0.376</v>
      </c>
      <c r="K14">
        <v>16.8</v>
      </c>
      <c r="L14" s="1">
        <v>0.309</v>
      </c>
      <c r="M14">
        <v>9.1</v>
      </c>
      <c r="N14">
        <v>23.3</v>
      </c>
      <c r="O14" s="3">
        <f>574/32</f>
        <v>17.9375</v>
      </c>
      <c r="P14" s="3">
        <f>371/34</f>
        <v>10.911764705882353</v>
      </c>
      <c r="Q14" s="1">
        <v>0.68899999999999995</v>
      </c>
      <c r="R14">
        <v>19.8</v>
      </c>
    </row>
    <row r="15" spans="1:18" x14ac:dyDescent="0.25">
      <c r="A15">
        <v>13</v>
      </c>
      <c r="B15" t="s">
        <v>47</v>
      </c>
      <c r="C15" t="s">
        <v>107</v>
      </c>
      <c r="D15">
        <v>78</v>
      </c>
      <c r="E15">
        <v>170</v>
      </c>
      <c r="F15">
        <v>34</v>
      </c>
      <c r="G15" s="1">
        <v>0.435</v>
      </c>
      <c r="H15">
        <v>51.5</v>
      </c>
      <c r="I15" s="2">
        <v>0.39900000000000002</v>
      </c>
      <c r="J15" s="1">
        <v>0.35299999999999998</v>
      </c>
      <c r="K15">
        <v>13.8</v>
      </c>
      <c r="L15" s="1">
        <v>0.32700000000000001</v>
      </c>
      <c r="M15">
        <v>10.5</v>
      </c>
      <c r="N15">
        <v>24</v>
      </c>
      <c r="O15" s="3">
        <f>456/29</f>
        <v>15.724137931034482</v>
      </c>
      <c r="P15" s="3">
        <f>342/29</f>
        <v>11.793103448275861</v>
      </c>
      <c r="Q15" s="1">
        <v>0.71299999999999997</v>
      </c>
      <c r="R15">
        <v>20.3</v>
      </c>
    </row>
    <row r="16" spans="1:18" x14ac:dyDescent="0.25">
      <c r="A16">
        <v>14</v>
      </c>
      <c r="B16" t="s">
        <v>48</v>
      </c>
      <c r="C16" t="s">
        <v>101</v>
      </c>
      <c r="D16">
        <v>71</v>
      </c>
      <c r="E16">
        <v>58</v>
      </c>
      <c r="F16">
        <v>106</v>
      </c>
      <c r="G16" s="1">
        <v>0.48</v>
      </c>
      <c r="H16">
        <v>53.9</v>
      </c>
      <c r="I16" s="2">
        <v>0.38100000000000001</v>
      </c>
      <c r="J16" s="1">
        <v>0.33100000000000002</v>
      </c>
      <c r="K16">
        <v>14.9</v>
      </c>
      <c r="L16" s="1">
        <v>0.32200000000000001</v>
      </c>
      <c r="M16">
        <v>9.4</v>
      </c>
      <c r="N16">
        <v>23.4</v>
      </c>
      <c r="O16" s="3">
        <f>607/33</f>
        <v>18.393939393939394</v>
      </c>
      <c r="P16" s="3">
        <f>352/33</f>
        <v>10.666666666666666</v>
      </c>
      <c r="Q16" s="1">
        <v>0.72699999999999998</v>
      </c>
      <c r="R16">
        <v>21</v>
      </c>
    </row>
    <row r="17" spans="1:18" x14ac:dyDescent="0.25">
      <c r="A17">
        <v>15</v>
      </c>
      <c r="B17" t="s">
        <v>49</v>
      </c>
      <c r="C17" t="s">
        <v>109</v>
      </c>
      <c r="D17">
        <v>207</v>
      </c>
      <c r="E17">
        <v>177</v>
      </c>
      <c r="F17">
        <v>220</v>
      </c>
      <c r="G17" s="1">
        <v>0.44</v>
      </c>
      <c r="H17">
        <v>52.6</v>
      </c>
      <c r="I17" s="2">
        <v>0.44</v>
      </c>
      <c r="J17" s="1">
        <v>0.32</v>
      </c>
      <c r="K17">
        <v>16.5</v>
      </c>
      <c r="L17" s="1">
        <v>0.34200000000000003</v>
      </c>
      <c r="M17">
        <v>11.4</v>
      </c>
      <c r="N17">
        <v>23.2</v>
      </c>
      <c r="O17" s="3">
        <f>590/34</f>
        <v>17.352941176470587</v>
      </c>
      <c r="P17" s="3">
        <f>445/34</f>
        <v>13.088235294117647</v>
      </c>
      <c r="Q17" s="1">
        <v>0.66200000000000003</v>
      </c>
      <c r="R17">
        <v>24.4</v>
      </c>
    </row>
    <row r="18" spans="1:18" x14ac:dyDescent="0.25">
      <c r="A18">
        <v>16</v>
      </c>
      <c r="B18" t="s">
        <v>50</v>
      </c>
      <c r="C18" t="s">
        <v>101</v>
      </c>
      <c r="D18">
        <v>148</v>
      </c>
      <c r="E18">
        <v>136</v>
      </c>
      <c r="F18">
        <v>164</v>
      </c>
      <c r="G18" s="1">
        <v>0.439</v>
      </c>
      <c r="H18">
        <v>55.8</v>
      </c>
      <c r="I18" s="2">
        <v>0.39100000000000001</v>
      </c>
      <c r="J18" s="1">
        <v>0.35599999999999998</v>
      </c>
      <c r="K18">
        <v>18.8</v>
      </c>
      <c r="L18" s="1">
        <v>0.32200000000000001</v>
      </c>
      <c r="M18">
        <v>13.3</v>
      </c>
      <c r="N18">
        <v>26.5</v>
      </c>
      <c r="O18" s="3">
        <f>545/33</f>
        <v>16.515151515151516</v>
      </c>
      <c r="P18" s="3">
        <f>393/33</f>
        <v>11.909090909090908</v>
      </c>
      <c r="Q18" s="1">
        <v>0.68799999999999994</v>
      </c>
      <c r="R18">
        <v>23.2</v>
      </c>
    </row>
  </sheetData>
  <conditionalFormatting sqref="N2:N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" sqref="A2:R18"/>
    </sheetView>
  </sheetViews>
  <sheetFormatPr defaultRowHeight="15" x14ac:dyDescent="0.25"/>
  <cols>
    <col min="1" max="1" width="5.85546875" customWidth="1"/>
    <col min="2" max="2" width="18.5703125" customWidth="1"/>
  </cols>
  <sheetData>
    <row r="1" spans="1:18" x14ac:dyDescent="0.25">
      <c r="A1" t="s">
        <v>1</v>
      </c>
      <c r="B1" t="s">
        <v>0</v>
      </c>
      <c r="C1" t="s">
        <v>85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15</v>
      </c>
      <c r="R1" t="s">
        <v>16</v>
      </c>
    </row>
    <row r="2" spans="1:18" x14ac:dyDescent="0.25">
      <c r="A2">
        <v>1</v>
      </c>
      <c r="B2" t="s">
        <v>51</v>
      </c>
      <c r="C2" t="s">
        <v>111</v>
      </c>
      <c r="D2">
        <v>1</v>
      </c>
      <c r="E2">
        <v>5</v>
      </c>
      <c r="F2">
        <v>2</v>
      </c>
      <c r="G2" s="1">
        <v>0.46899999999999997</v>
      </c>
      <c r="H2">
        <v>55.4</v>
      </c>
      <c r="I2" s="1">
        <v>0.35499999999999998</v>
      </c>
      <c r="J2" s="1">
        <v>0.35</v>
      </c>
      <c r="K2">
        <v>15.6</v>
      </c>
      <c r="L2" s="1">
        <v>0.27400000000000002</v>
      </c>
      <c r="M2">
        <v>12.9</v>
      </c>
      <c r="N2">
        <v>25.3</v>
      </c>
      <c r="O2" s="3">
        <f>579/34</f>
        <v>17.029411764705884</v>
      </c>
      <c r="P2" s="3">
        <f>361/34</f>
        <v>10.617647058823529</v>
      </c>
      <c r="Q2" s="1">
        <v>0.72199999999999998</v>
      </c>
      <c r="R2">
        <v>24.3</v>
      </c>
    </row>
    <row r="3" spans="1:18" x14ac:dyDescent="0.25">
      <c r="A3">
        <v>2</v>
      </c>
      <c r="B3" t="s">
        <v>52</v>
      </c>
      <c r="C3" t="s">
        <v>91</v>
      </c>
      <c r="D3">
        <v>11</v>
      </c>
      <c r="E3">
        <v>37</v>
      </c>
      <c r="F3">
        <v>7</v>
      </c>
      <c r="G3" s="1">
        <v>0.44</v>
      </c>
      <c r="H3">
        <v>55</v>
      </c>
      <c r="I3" s="1">
        <v>0.39500000000000002</v>
      </c>
      <c r="J3" s="1">
        <v>0.375</v>
      </c>
      <c r="K3">
        <v>15.5</v>
      </c>
      <c r="L3" s="1">
        <v>0.309</v>
      </c>
      <c r="M3">
        <v>11.8</v>
      </c>
      <c r="N3">
        <v>26.1</v>
      </c>
      <c r="O3" s="3">
        <f>599/34</f>
        <v>17.617647058823529</v>
      </c>
      <c r="P3" s="3">
        <f>435/34</f>
        <v>12.794117647058824</v>
      </c>
      <c r="Q3" s="1">
        <v>0.72</v>
      </c>
      <c r="R3">
        <v>23.6</v>
      </c>
    </row>
    <row r="4" spans="1:18" x14ac:dyDescent="0.25">
      <c r="A4">
        <v>3</v>
      </c>
      <c r="B4" t="s">
        <v>53</v>
      </c>
      <c r="C4" t="s">
        <v>112</v>
      </c>
      <c r="D4">
        <v>10</v>
      </c>
      <c r="E4">
        <v>2</v>
      </c>
      <c r="F4">
        <v>112</v>
      </c>
      <c r="G4" s="1">
        <v>0.51</v>
      </c>
      <c r="H4">
        <v>54.5</v>
      </c>
      <c r="I4" s="1">
        <v>0.42699999999999999</v>
      </c>
      <c r="J4" s="1">
        <v>0.39200000000000002</v>
      </c>
      <c r="K4">
        <v>21.1</v>
      </c>
      <c r="L4" s="1">
        <v>0.32900000000000001</v>
      </c>
      <c r="M4">
        <v>8.3000000000000007</v>
      </c>
      <c r="N4">
        <v>24.4</v>
      </c>
      <c r="O4" s="3">
        <f>483/34</f>
        <v>14.205882352941176</v>
      </c>
      <c r="P4" s="3">
        <f>319/34</f>
        <v>9.382352941176471</v>
      </c>
      <c r="Q4" s="1">
        <v>0.74</v>
      </c>
      <c r="R4">
        <v>20.2</v>
      </c>
    </row>
    <row r="5" spans="1:18" x14ac:dyDescent="0.25">
      <c r="A5">
        <v>4</v>
      </c>
      <c r="B5" t="s">
        <v>54</v>
      </c>
      <c r="C5" t="s">
        <v>113</v>
      </c>
      <c r="D5">
        <v>33</v>
      </c>
      <c r="E5">
        <v>56</v>
      </c>
      <c r="F5">
        <v>36</v>
      </c>
      <c r="G5" s="1">
        <v>0.438</v>
      </c>
      <c r="H5">
        <v>51.3</v>
      </c>
      <c r="I5" s="1">
        <v>0.39600000000000002</v>
      </c>
      <c r="J5" s="1">
        <v>0.372</v>
      </c>
      <c r="K5">
        <v>19.600000000000001</v>
      </c>
      <c r="L5" s="1">
        <v>0.313</v>
      </c>
      <c r="M5">
        <v>9.1999999999999993</v>
      </c>
      <c r="N5">
        <v>25.9</v>
      </c>
      <c r="O5" s="3">
        <f>546/33</f>
        <v>16.545454545454547</v>
      </c>
      <c r="P5" s="3">
        <f>397/33</f>
        <v>12.030303030303031</v>
      </c>
      <c r="Q5" s="1">
        <v>0.75700000000000001</v>
      </c>
      <c r="R5">
        <v>22.8</v>
      </c>
    </row>
    <row r="6" spans="1:18" x14ac:dyDescent="0.25">
      <c r="A6">
        <v>5</v>
      </c>
      <c r="B6" t="s">
        <v>55</v>
      </c>
      <c r="C6" t="s">
        <v>114</v>
      </c>
      <c r="D6">
        <v>25</v>
      </c>
      <c r="E6">
        <v>33</v>
      </c>
      <c r="F6">
        <v>47</v>
      </c>
      <c r="G6" s="1">
        <v>0.41199999999999998</v>
      </c>
      <c r="H6">
        <v>61.7</v>
      </c>
      <c r="I6" s="1">
        <v>0.46800000000000003</v>
      </c>
      <c r="J6" s="1">
        <v>0.318</v>
      </c>
      <c r="K6">
        <v>20.9</v>
      </c>
      <c r="L6" s="1">
        <v>0.36599999999999999</v>
      </c>
      <c r="M6">
        <v>16.8</v>
      </c>
      <c r="N6">
        <v>19.899999999999999</v>
      </c>
      <c r="O6" s="3">
        <f>747/32</f>
        <v>23.34375</v>
      </c>
      <c r="P6" s="3">
        <f>418/32</f>
        <v>13.0625</v>
      </c>
      <c r="Q6" s="1">
        <v>0.66</v>
      </c>
      <c r="R6">
        <v>24.9</v>
      </c>
    </row>
    <row r="7" spans="1:18" x14ac:dyDescent="0.25">
      <c r="A7">
        <v>6</v>
      </c>
      <c r="B7" t="s">
        <v>56</v>
      </c>
      <c r="C7" t="s">
        <v>88</v>
      </c>
      <c r="D7">
        <v>23</v>
      </c>
      <c r="E7">
        <v>67</v>
      </c>
      <c r="F7">
        <v>10</v>
      </c>
      <c r="G7" s="1">
        <v>0.439</v>
      </c>
      <c r="H7">
        <v>55.3</v>
      </c>
      <c r="I7" s="1">
        <v>0.41599999999999998</v>
      </c>
      <c r="J7" s="1">
        <v>0.35799999999999998</v>
      </c>
      <c r="K7">
        <v>16.100000000000001</v>
      </c>
      <c r="L7" s="1">
        <v>0.30599999999999999</v>
      </c>
      <c r="M7">
        <v>12.2</v>
      </c>
      <c r="N7">
        <v>24.5</v>
      </c>
      <c r="O7" s="3">
        <f>564/32</f>
        <v>17.625</v>
      </c>
      <c r="P7" s="3">
        <f>364/32</f>
        <v>11.375</v>
      </c>
      <c r="Q7" s="1">
        <v>0.68</v>
      </c>
      <c r="R7">
        <v>22.4</v>
      </c>
    </row>
    <row r="8" spans="1:18" x14ac:dyDescent="0.25">
      <c r="A8">
        <v>7</v>
      </c>
      <c r="B8" t="s">
        <v>57</v>
      </c>
      <c r="C8" t="s">
        <v>115</v>
      </c>
      <c r="D8">
        <v>14</v>
      </c>
      <c r="E8">
        <v>20</v>
      </c>
      <c r="F8">
        <v>15</v>
      </c>
      <c r="G8" s="1">
        <v>0.44600000000000001</v>
      </c>
      <c r="H8">
        <v>54.9</v>
      </c>
      <c r="I8" s="1">
        <v>0.39800000000000002</v>
      </c>
      <c r="J8" s="1">
        <v>0.36199999999999999</v>
      </c>
      <c r="K8">
        <v>19.3</v>
      </c>
      <c r="L8" s="1">
        <v>0.34300000000000003</v>
      </c>
      <c r="M8">
        <v>11.9</v>
      </c>
      <c r="N8">
        <v>23.7</v>
      </c>
      <c r="O8" s="3">
        <f>534/32</f>
        <v>16.6875</v>
      </c>
      <c r="P8" s="3">
        <f>301/32</f>
        <v>9.40625</v>
      </c>
      <c r="Q8" s="1">
        <v>0.68799999999999994</v>
      </c>
      <c r="R8">
        <v>19.899999999999999</v>
      </c>
    </row>
    <row r="9" spans="1:18" x14ac:dyDescent="0.25">
      <c r="A9">
        <v>8</v>
      </c>
      <c r="B9" t="s">
        <v>58</v>
      </c>
      <c r="C9" t="s">
        <v>88</v>
      </c>
      <c r="D9">
        <v>34</v>
      </c>
      <c r="E9">
        <v>76</v>
      </c>
      <c r="F9">
        <v>18</v>
      </c>
      <c r="G9" s="1">
        <v>0.45300000000000001</v>
      </c>
      <c r="H9">
        <v>49.4</v>
      </c>
      <c r="I9" s="1">
        <v>0.39</v>
      </c>
      <c r="J9" s="1">
        <v>0.33300000000000002</v>
      </c>
      <c r="K9">
        <v>15.1</v>
      </c>
      <c r="L9" s="1">
        <v>0.32900000000000001</v>
      </c>
      <c r="M9">
        <v>11</v>
      </c>
      <c r="N9">
        <v>23.3</v>
      </c>
      <c r="O9" s="3">
        <f>469/32</f>
        <v>14.65625</v>
      </c>
      <c r="P9" s="3">
        <f>409/32</f>
        <v>12.78125</v>
      </c>
      <c r="Q9" s="1">
        <v>0.67400000000000004</v>
      </c>
      <c r="R9">
        <v>18.7</v>
      </c>
    </row>
    <row r="10" spans="1:18" x14ac:dyDescent="0.25">
      <c r="A10">
        <v>9</v>
      </c>
      <c r="B10" t="s">
        <v>59</v>
      </c>
      <c r="C10" t="s">
        <v>98</v>
      </c>
      <c r="D10">
        <v>49</v>
      </c>
      <c r="E10">
        <v>57</v>
      </c>
      <c r="F10">
        <v>69</v>
      </c>
      <c r="G10" s="1">
        <v>0.45300000000000001</v>
      </c>
      <c r="H10">
        <v>53.6</v>
      </c>
      <c r="I10" s="1">
        <v>0.40100000000000002</v>
      </c>
      <c r="J10" s="1">
        <v>0.33500000000000002</v>
      </c>
      <c r="K10">
        <v>17.3</v>
      </c>
      <c r="L10" s="1">
        <v>0.35</v>
      </c>
      <c r="M10">
        <v>11.8</v>
      </c>
      <c r="N10">
        <v>24.5</v>
      </c>
      <c r="O10" s="3">
        <f>624/33</f>
        <v>18.90909090909091</v>
      </c>
      <c r="P10" s="3">
        <f>432/33</f>
        <v>13.090909090909092</v>
      </c>
      <c r="Q10" s="1">
        <v>0.68500000000000005</v>
      </c>
      <c r="R10">
        <v>22.8</v>
      </c>
    </row>
    <row r="11" spans="1:18" x14ac:dyDescent="0.25">
      <c r="A11">
        <v>10</v>
      </c>
      <c r="B11" t="s">
        <v>60</v>
      </c>
      <c r="C11" t="s">
        <v>95</v>
      </c>
      <c r="D11">
        <v>49</v>
      </c>
      <c r="E11">
        <v>10</v>
      </c>
      <c r="F11">
        <v>216</v>
      </c>
      <c r="G11" s="1">
        <v>0.46600000000000003</v>
      </c>
      <c r="H11">
        <v>58.5</v>
      </c>
      <c r="I11" s="1">
        <v>0.45500000000000002</v>
      </c>
      <c r="J11" s="1">
        <v>0.40300000000000002</v>
      </c>
      <c r="K11">
        <v>23.2</v>
      </c>
      <c r="L11" s="1">
        <v>0.32800000000000001</v>
      </c>
      <c r="M11">
        <v>12</v>
      </c>
      <c r="N11">
        <v>24</v>
      </c>
      <c r="O11" s="3">
        <f>580/33</f>
        <v>17.575757575757574</v>
      </c>
      <c r="P11" s="3">
        <f>379/33</f>
        <v>11.484848484848484</v>
      </c>
      <c r="Q11" s="1">
        <v>0.71499999999999997</v>
      </c>
      <c r="R11">
        <v>19.100000000000001</v>
      </c>
    </row>
    <row r="12" spans="1:18" x14ac:dyDescent="0.25">
      <c r="A12">
        <v>11</v>
      </c>
      <c r="B12" t="s">
        <v>61</v>
      </c>
      <c r="C12" t="s">
        <v>95</v>
      </c>
      <c r="D12">
        <v>20</v>
      </c>
      <c r="E12">
        <v>42</v>
      </c>
      <c r="F12">
        <v>19</v>
      </c>
      <c r="G12" s="1">
        <v>0.436</v>
      </c>
      <c r="H12">
        <v>54.2</v>
      </c>
      <c r="I12" s="1">
        <v>0.36799999999999999</v>
      </c>
      <c r="J12" s="1">
        <v>0.33900000000000002</v>
      </c>
      <c r="K12">
        <v>18.399999999999999</v>
      </c>
      <c r="L12" s="1">
        <v>0.34799999999999998</v>
      </c>
      <c r="M12">
        <v>12.4</v>
      </c>
      <c r="N12">
        <v>27.3</v>
      </c>
      <c r="O12" s="3">
        <f>533/33</f>
        <v>16.151515151515152</v>
      </c>
      <c r="P12" s="3">
        <f>420/33</f>
        <v>12.727272727272727</v>
      </c>
      <c r="Q12" s="1">
        <v>0.72499999999999998</v>
      </c>
      <c r="R12">
        <v>20</v>
      </c>
    </row>
    <row r="13" spans="1:18" x14ac:dyDescent="0.25">
      <c r="A13">
        <v>12</v>
      </c>
      <c r="B13" t="s">
        <v>62</v>
      </c>
      <c r="C13" t="s">
        <v>114</v>
      </c>
      <c r="D13">
        <v>54</v>
      </c>
      <c r="E13">
        <v>47</v>
      </c>
      <c r="F13">
        <v>94</v>
      </c>
      <c r="G13" s="1">
        <v>0.435</v>
      </c>
      <c r="H13">
        <v>58.7</v>
      </c>
      <c r="I13" s="1">
        <v>0.42199999999999999</v>
      </c>
      <c r="J13" s="1">
        <v>0.34</v>
      </c>
      <c r="K13">
        <v>17.7</v>
      </c>
      <c r="L13" s="1">
        <v>0.33</v>
      </c>
      <c r="M13">
        <v>12.9</v>
      </c>
      <c r="N13">
        <v>25.6</v>
      </c>
      <c r="O13" s="3">
        <f>589/32</f>
        <v>18.40625</v>
      </c>
      <c r="P13" s="3">
        <f>361/32</f>
        <v>11.28125</v>
      </c>
      <c r="Q13" s="1">
        <v>0.72199999999999998</v>
      </c>
      <c r="R13">
        <v>24.8</v>
      </c>
    </row>
    <row r="14" spans="1:18" x14ac:dyDescent="0.25">
      <c r="A14">
        <v>13</v>
      </c>
      <c r="B14" t="s">
        <v>63</v>
      </c>
      <c r="C14" t="s">
        <v>116</v>
      </c>
      <c r="D14">
        <v>63</v>
      </c>
      <c r="E14">
        <v>129</v>
      </c>
      <c r="F14">
        <v>31</v>
      </c>
      <c r="G14" s="1">
        <v>0.45900000000000002</v>
      </c>
      <c r="H14">
        <v>53.9</v>
      </c>
      <c r="I14" s="1">
        <v>0.38</v>
      </c>
      <c r="J14" s="1">
        <v>0.378</v>
      </c>
      <c r="K14">
        <v>18</v>
      </c>
      <c r="L14" s="1">
        <v>0.32800000000000001</v>
      </c>
      <c r="M14">
        <v>11.7</v>
      </c>
      <c r="N14">
        <v>26</v>
      </c>
      <c r="O14" s="3">
        <f>544/33</f>
        <v>16.484848484848484</v>
      </c>
      <c r="P14" s="3">
        <f>413/33</f>
        <v>12.515151515151516</v>
      </c>
      <c r="Q14" s="1">
        <v>0.67800000000000005</v>
      </c>
      <c r="R14">
        <v>19.899999999999999</v>
      </c>
    </row>
    <row r="15" spans="1:18" x14ac:dyDescent="0.25">
      <c r="A15">
        <v>14</v>
      </c>
      <c r="B15" t="s">
        <v>64</v>
      </c>
      <c r="C15" t="s">
        <v>94</v>
      </c>
      <c r="D15">
        <v>120</v>
      </c>
      <c r="E15">
        <v>90</v>
      </c>
      <c r="F15">
        <v>171</v>
      </c>
      <c r="G15" s="1">
        <v>0.48599999999999999</v>
      </c>
      <c r="H15">
        <v>49.1</v>
      </c>
      <c r="I15" s="1">
        <v>0.44500000000000001</v>
      </c>
      <c r="J15" s="1">
        <v>0.38800000000000001</v>
      </c>
      <c r="K15">
        <v>15.1</v>
      </c>
      <c r="L15" s="1">
        <v>0.34399999999999997</v>
      </c>
      <c r="M15">
        <v>8.4</v>
      </c>
      <c r="N15">
        <v>24.8</v>
      </c>
      <c r="O15" s="3">
        <f>484/33</f>
        <v>14.666666666666666</v>
      </c>
      <c r="P15" s="3">
        <f>467/34</f>
        <v>13.735294117647058</v>
      </c>
      <c r="Q15" s="1">
        <v>0.72499999999999998</v>
      </c>
      <c r="R15">
        <v>20.7</v>
      </c>
    </row>
    <row r="16" spans="1:18" x14ac:dyDescent="0.25">
      <c r="A16">
        <v>15</v>
      </c>
      <c r="B16" t="s">
        <v>65</v>
      </c>
      <c r="C16" t="s">
        <v>106</v>
      </c>
      <c r="D16">
        <v>88</v>
      </c>
      <c r="E16">
        <v>120</v>
      </c>
      <c r="F16">
        <v>87</v>
      </c>
      <c r="G16" s="1">
        <v>0.46600000000000003</v>
      </c>
      <c r="H16">
        <v>51.3</v>
      </c>
      <c r="I16" s="1">
        <v>0.42099999999999999</v>
      </c>
      <c r="J16" s="1">
        <v>0.36799999999999999</v>
      </c>
      <c r="K16">
        <v>13.2</v>
      </c>
      <c r="L16" s="1">
        <v>0.29299999999999998</v>
      </c>
      <c r="M16">
        <v>12.5</v>
      </c>
      <c r="N16">
        <v>22.9</v>
      </c>
      <c r="O16" s="3">
        <f>526/33</f>
        <v>15.939393939393939</v>
      </c>
      <c r="P16" s="3">
        <f>459/33</f>
        <v>13.909090909090908</v>
      </c>
      <c r="Q16" s="1">
        <v>0.69399999999999995</v>
      </c>
      <c r="R16">
        <v>22.9</v>
      </c>
    </row>
    <row r="17" spans="1:18" x14ac:dyDescent="0.25">
      <c r="A17">
        <v>16</v>
      </c>
      <c r="B17" t="s">
        <v>66</v>
      </c>
      <c r="C17" t="s">
        <v>117</v>
      </c>
      <c r="D17">
        <v>250</v>
      </c>
      <c r="E17">
        <v>301</v>
      </c>
      <c r="F17">
        <v>169</v>
      </c>
      <c r="G17" s="1">
        <v>0.40799999999999997</v>
      </c>
      <c r="H17">
        <v>56</v>
      </c>
      <c r="I17" s="1">
        <v>0.41299999999999998</v>
      </c>
      <c r="J17" s="1">
        <v>0.30399999999999999</v>
      </c>
      <c r="K17">
        <v>18.600000000000001</v>
      </c>
      <c r="L17" s="1">
        <v>0.34399999999999997</v>
      </c>
      <c r="M17">
        <v>12.2</v>
      </c>
      <c r="N17">
        <v>24.8</v>
      </c>
      <c r="O17" s="3">
        <f>711/33</f>
        <v>21.545454545454547</v>
      </c>
      <c r="P17" s="3">
        <f>469/33</f>
        <v>14.212121212121213</v>
      </c>
      <c r="Q17" s="1">
        <v>0.65200000000000002</v>
      </c>
      <c r="R17">
        <v>24.3</v>
      </c>
    </row>
    <row r="18" spans="1:18" x14ac:dyDescent="0.25">
      <c r="A18">
        <v>16</v>
      </c>
      <c r="B18" t="s">
        <v>67</v>
      </c>
      <c r="C18" t="s">
        <v>110</v>
      </c>
      <c r="D18">
        <v>145</v>
      </c>
      <c r="E18">
        <v>196</v>
      </c>
      <c r="F18">
        <v>109</v>
      </c>
      <c r="G18" s="1">
        <v>0.435</v>
      </c>
      <c r="H18">
        <v>52.7</v>
      </c>
      <c r="I18" s="1">
        <v>0.436</v>
      </c>
      <c r="J18" s="1">
        <v>0.34</v>
      </c>
      <c r="K18">
        <v>19.2</v>
      </c>
      <c r="L18" s="1">
        <v>0.32200000000000001</v>
      </c>
      <c r="M18">
        <v>10.4</v>
      </c>
      <c r="N18">
        <v>21.6</v>
      </c>
      <c r="O18" s="3">
        <f>733/32</f>
        <v>22.90625</v>
      </c>
      <c r="P18" s="3">
        <f>464/32</f>
        <v>14.5</v>
      </c>
      <c r="Q18" s="1">
        <v>0.69399999999999995</v>
      </c>
      <c r="R18">
        <v>25.3</v>
      </c>
    </row>
  </sheetData>
  <conditionalFormatting sqref="D2:D1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"/>
    </sheetView>
  </sheetViews>
  <sheetFormatPr defaultRowHeight="15" x14ac:dyDescent="0.25"/>
  <cols>
    <col min="1" max="1" width="6.7109375" customWidth="1"/>
    <col min="2" max="2" width="19.140625" customWidth="1"/>
    <col min="3" max="3" width="7.5703125" customWidth="1"/>
    <col min="4" max="4" width="8" customWidth="1"/>
    <col min="5" max="5" width="6.140625" customWidth="1"/>
    <col min="6" max="6" width="6" customWidth="1"/>
  </cols>
  <sheetData>
    <row r="1" spans="1:18" x14ac:dyDescent="0.25">
      <c r="A1" t="s">
        <v>1</v>
      </c>
      <c r="B1" t="s">
        <v>0</v>
      </c>
      <c r="C1" t="s">
        <v>85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123</v>
      </c>
      <c r="P1" t="s">
        <v>11</v>
      </c>
      <c r="Q1" t="s">
        <v>15</v>
      </c>
      <c r="R1" t="s">
        <v>16</v>
      </c>
    </row>
    <row r="2" spans="1:18" x14ac:dyDescent="0.25">
      <c r="A2">
        <v>1</v>
      </c>
      <c r="B2" t="s">
        <v>68</v>
      </c>
      <c r="C2" t="s">
        <v>118</v>
      </c>
      <c r="D2">
        <v>7</v>
      </c>
      <c r="E2">
        <v>3</v>
      </c>
      <c r="F2">
        <v>57</v>
      </c>
      <c r="G2" s="1">
        <v>0.502</v>
      </c>
      <c r="H2">
        <v>57</v>
      </c>
      <c r="I2" s="1">
        <v>0.42899999999999999</v>
      </c>
      <c r="J2" s="1">
        <v>0.38600000000000001</v>
      </c>
      <c r="K2">
        <v>19.600000000000001</v>
      </c>
      <c r="L2" s="1">
        <v>0.32</v>
      </c>
      <c r="M2">
        <v>12.2</v>
      </c>
      <c r="N2">
        <v>25.2</v>
      </c>
      <c r="O2" s="3">
        <f>528/33</f>
        <v>16</v>
      </c>
      <c r="P2" s="3">
        <f>371/33</f>
        <v>11.242424242424242</v>
      </c>
      <c r="Q2" s="1">
        <v>0.71099999999999997</v>
      </c>
      <c r="R2">
        <v>22.9</v>
      </c>
    </row>
    <row r="3" spans="1:18" x14ac:dyDescent="0.25">
      <c r="A3">
        <v>2</v>
      </c>
      <c r="B3" t="s">
        <v>69</v>
      </c>
      <c r="C3" t="s">
        <v>86</v>
      </c>
      <c r="D3">
        <v>6</v>
      </c>
      <c r="E3">
        <v>6</v>
      </c>
      <c r="F3">
        <v>20</v>
      </c>
      <c r="G3" s="1">
        <v>0.52400000000000002</v>
      </c>
      <c r="H3">
        <v>54.6</v>
      </c>
      <c r="I3" s="1">
        <v>0.38400000000000001</v>
      </c>
      <c r="J3" s="1">
        <v>0.40799999999999997</v>
      </c>
      <c r="K3">
        <v>17.399999999999999</v>
      </c>
      <c r="L3" s="1">
        <v>0.32400000000000001</v>
      </c>
      <c r="M3">
        <v>10.199999999999999</v>
      </c>
      <c r="N3">
        <v>27.6</v>
      </c>
      <c r="O3" s="3">
        <f>580/34</f>
        <v>17.058823529411764</v>
      </c>
      <c r="P3" s="3">
        <f>359/34</f>
        <v>10.558823529411764</v>
      </c>
      <c r="Q3" s="1">
        <v>0.69099999999999995</v>
      </c>
      <c r="R3">
        <v>21.4</v>
      </c>
    </row>
    <row r="4" spans="1:18" x14ac:dyDescent="0.25">
      <c r="A4">
        <v>3</v>
      </c>
      <c r="B4" t="s">
        <v>70</v>
      </c>
      <c r="C4" t="s">
        <v>90</v>
      </c>
      <c r="D4">
        <v>13</v>
      </c>
      <c r="E4">
        <v>7</v>
      </c>
      <c r="F4">
        <v>82</v>
      </c>
      <c r="G4" s="1">
        <v>0.48</v>
      </c>
      <c r="H4">
        <v>57.8</v>
      </c>
      <c r="I4" s="1">
        <v>0.41799999999999998</v>
      </c>
      <c r="J4" s="1">
        <v>0.36599999999999999</v>
      </c>
      <c r="K4">
        <v>21.3</v>
      </c>
      <c r="L4" s="1">
        <v>0.35199999999999998</v>
      </c>
      <c r="M4">
        <v>9.5</v>
      </c>
      <c r="N4">
        <v>26.4</v>
      </c>
      <c r="O4" s="3">
        <f>512/33</f>
        <v>15.515151515151516</v>
      </c>
      <c r="P4" s="3">
        <f>364/33</f>
        <v>11.030303030303031</v>
      </c>
      <c r="Q4" s="1">
        <v>0.69599999999999995</v>
      </c>
      <c r="R4">
        <v>21.6</v>
      </c>
    </row>
    <row r="5" spans="1:18" x14ac:dyDescent="0.25">
      <c r="A5">
        <v>4</v>
      </c>
      <c r="B5" t="s">
        <v>71</v>
      </c>
      <c r="C5" t="s">
        <v>119</v>
      </c>
      <c r="D5">
        <v>22</v>
      </c>
      <c r="E5">
        <v>41</v>
      </c>
      <c r="F5">
        <v>25</v>
      </c>
      <c r="G5" s="1">
        <v>0.45500000000000002</v>
      </c>
      <c r="H5">
        <v>53.2</v>
      </c>
      <c r="I5" s="1">
        <v>0.40300000000000002</v>
      </c>
      <c r="J5" s="1">
        <v>0.34699999999999998</v>
      </c>
      <c r="K5">
        <v>16.8</v>
      </c>
      <c r="L5" s="1">
        <v>0.35899999999999999</v>
      </c>
      <c r="M5">
        <v>11.2</v>
      </c>
      <c r="N5">
        <v>23.9</v>
      </c>
      <c r="O5" s="3">
        <f>626/31</f>
        <v>20.193548387096776</v>
      </c>
      <c r="P5" s="3">
        <f>392/31</f>
        <v>12.64516129032258</v>
      </c>
      <c r="Q5" s="1">
        <v>0.70199999999999996</v>
      </c>
      <c r="R5">
        <v>23.5</v>
      </c>
    </row>
    <row r="6" spans="1:18" x14ac:dyDescent="0.25">
      <c r="A6">
        <v>5</v>
      </c>
      <c r="B6" t="s">
        <v>72</v>
      </c>
      <c r="C6" t="s">
        <v>89</v>
      </c>
      <c r="D6">
        <v>8</v>
      </c>
      <c r="E6">
        <v>18</v>
      </c>
      <c r="F6">
        <v>8</v>
      </c>
      <c r="G6" s="1">
        <v>0.48499999999999999</v>
      </c>
      <c r="H6">
        <v>50.8</v>
      </c>
      <c r="I6" s="1">
        <v>0.38300000000000001</v>
      </c>
      <c r="J6" s="1">
        <v>0.40400000000000003</v>
      </c>
      <c r="K6">
        <v>19.100000000000001</v>
      </c>
      <c r="L6" s="1">
        <v>0.31900000000000001</v>
      </c>
      <c r="M6">
        <v>9.3000000000000007</v>
      </c>
      <c r="N6">
        <v>25.7</v>
      </c>
      <c r="O6" s="3">
        <f>534/32</f>
        <v>16.6875</v>
      </c>
      <c r="P6" s="3">
        <f>366/32</f>
        <v>11.4375</v>
      </c>
      <c r="Q6" s="1">
        <v>0.69899999999999995</v>
      </c>
      <c r="R6">
        <v>21.6</v>
      </c>
    </row>
    <row r="7" spans="1:18" x14ac:dyDescent="0.25">
      <c r="A7">
        <v>6</v>
      </c>
      <c r="B7" t="s">
        <v>73</v>
      </c>
      <c r="C7" t="s">
        <v>113</v>
      </c>
      <c r="D7">
        <v>19</v>
      </c>
      <c r="E7">
        <v>24</v>
      </c>
      <c r="F7">
        <v>43</v>
      </c>
      <c r="G7" s="1">
        <v>0.47899999999999998</v>
      </c>
      <c r="H7">
        <v>51.4</v>
      </c>
      <c r="I7" s="1">
        <v>0.38</v>
      </c>
      <c r="J7" s="1">
        <v>0.35899999999999999</v>
      </c>
      <c r="K7">
        <v>11.6</v>
      </c>
      <c r="L7" s="1">
        <v>0.32100000000000001</v>
      </c>
      <c r="M7">
        <v>11.5</v>
      </c>
      <c r="N7">
        <v>25.2</v>
      </c>
      <c r="O7" s="3">
        <f>537/33</f>
        <v>16.272727272727273</v>
      </c>
      <c r="P7" s="3">
        <f>417/33</f>
        <v>12.636363636363637</v>
      </c>
      <c r="Q7" s="1">
        <v>0.70499999999999996</v>
      </c>
      <c r="R7">
        <v>22.7</v>
      </c>
    </row>
    <row r="8" spans="1:18" x14ac:dyDescent="0.25">
      <c r="A8">
        <v>7</v>
      </c>
      <c r="B8" t="s">
        <v>74</v>
      </c>
      <c r="C8" t="s">
        <v>96</v>
      </c>
      <c r="D8">
        <v>24</v>
      </c>
      <c r="E8">
        <v>35</v>
      </c>
      <c r="F8">
        <v>42</v>
      </c>
      <c r="G8" s="1">
        <v>0.42699999999999999</v>
      </c>
      <c r="H8">
        <v>55.5</v>
      </c>
      <c r="I8" s="1">
        <v>0.39200000000000002</v>
      </c>
      <c r="J8" s="1">
        <v>0.33200000000000002</v>
      </c>
      <c r="K8">
        <v>17</v>
      </c>
      <c r="L8" s="1">
        <v>0.32400000000000001</v>
      </c>
      <c r="M8">
        <v>12.5</v>
      </c>
      <c r="N8">
        <v>25.2</v>
      </c>
      <c r="O8" s="3">
        <f>508/32</f>
        <v>15.875</v>
      </c>
      <c r="P8" s="3">
        <f>361/32</f>
        <v>11.28125</v>
      </c>
      <c r="Q8" s="1">
        <v>0.745</v>
      </c>
      <c r="R8">
        <v>22</v>
      </c>
    </row>
    <row r="9" spans="1:18" x14ac:dyDescent="0.25">
      <c r="A9">
        <v>8</v>
      </c>
      <c r="B9" t="s">
        <v>75</v>
      </c>
      <c r="C9" t="s">
        <v>91</v>
      </c>
      <c r="D9">
        <v>27</v>
      </c>
      <c r="E9">
        <v>161</v>
      </c>
      <c r="F9">
        <v>4</v>
      </c>
      <c r="G9" s="1">
        <v>0.41899999999999998</v>
      </c>
      <c r="H9">
        <v>53.1</v>
      </c>
      <c r="I9" s="1">
        <v>0.377</v>
      </c>
      <c r="J9" s="1">
        <v>0.32</v>
      </c>
      <c r="K9">
        <v>16.399999999999999</v>
      </c>
      <c r="L9" s="1">
        <v>0.30299999999999999</v>
      </c>
      <c r="M9">
        <v>12.1</v>
      </c>
      <c r="N9">
        <v>23.1</v>
      </c>
      <c r="O9" s="3">
        <f>486/34</f>
        <v>14.294117647058824</v>
      </c>
      <c r="P9" s="3">
        <f>386/34</f>
        <v>11.352941176470589</v>
      </c>
      <c r="Q9" s="1">
        <v>0.629</v>
      </c>
      <c r="R9">
        <v>19.2</v>
      </c>
    </row>
    <row r="10" spans="1:18" x14ac:dyDescent="0.25">
      <c r="A10">
        <v>9</v>
      </c>
      <c r="B10" t="s">
        <v>76</v>
      </c>
      <c r="C10" t="s">
        <v>96</v>
      </c>
      <c r="D10">
        <v>42</v>
      </c>
      <c r="E10">
        <v>62</v>
      </c>
      <c r="F10">
        <v>51</v>
      </c>
      <c r="G10" s="1">
        <v>0.441</v>
      </c>
      <c r="H10">
        <v>57.2</v>
      </c>
      <c r="I10" s="1">
        <v>0.40500000000000003</v>
      </c>
      <c r="J10" s="1">
        <v>0.35299999999999998</v>
      </c>
      <c r="K10">
        <v>17.3</v>
      </c>
      <c r="L10" s="1">
        <v>0.32700000000000001</v>
      </c>
      <c r="M10">
        <v>10.3</v>
      </c>
      <c r="N10">
        <v>25.1</v>
      </c>
      <c r="O10" s="3">
        <f>566/32</f>
        <v>17.6875</v>
      </c>
      <c r="P10" s="3">
        <f>342/32</f>
        <v>10.6875</v>
      </c>
      <c r="Q10" s="1">
        <v>0.69199999999999995</v>
      </c>
      <c r="R10">
        <v>21.1</v>
      </c>
    </row>
    <row r="11" spans="1:18" x14ac:dyDescent="0.25">
      <c r="A11">
        <v>10</v>
      </c>
      <c r="B11" t="s">
        <v>77</v>
      </c>
      <c r="C11" t="s">
        <v>120</v>
      </c>
      <c r="D11">
        <v>32</v>
      </c>
      <c r="E11">
        <v>8</v>
      </c>
      <c r="F11">
        <v>181</v>
      </c>
      <c r="G11" s="1">
        <v>0.47099999999999997</v>
      </c>
      <c r="H11">
        <v>60</v>
      </c>
      <c r="I11" s="1">
        <v>0.44</v>
      </c>
      <c r="J11" s="1">
        <v>0.39700000000000002</v>
      </c>
      <c r="K11">
        <v>27.4</v>
      </c>
      <c r="L11" s="1">
        <v>0.30099999999999999</v>
      </c>
      <c r="M11">
        <v>10.5</v>
      </c>
      <c r="N11">
        <v>25.5</v>
      </c>
      <c r="O11" s="3">
        <f>586/31</f>
        <v>18.903225806451612</v>
      </c>
      <c r="P11" s="3">
        <f>297/31</f>
        <v>9.5806451612903221</v>
      </c>
      <c r="Q11" s="1">
        <v>0.71099999999999997</v>
      </c>
      <c r="R11">
        <v>17.5</v>
      </c>
    </row>
    <row r="12" spans="1:18" x14ac:dyDescent="0.25">
      <c r="A12">
        <v>11</v>
      </c>
      <c r="B12" t="s">
        <v>78</v>
      </c>
      <c r="C12" t="s">
        <v>95</v>
      </c>
      <c r="D12">
        <v>41</v>
      </c>
      <c r="E12">
        <v>45</v>
      </c>
      <c r="F12">
        <v>76</v>
      </c>
      <c r="G12" s="1">
        <v>0.441</v>
      </c>
      <c r="H12">
        <v>58.4</v>
      </c>
      <c r="I12" s="1">
        <v>0.41699999999999998</v>
      </c>
      <c r="J12" s="1">
        <v>0.36299999999999999</v>
      </c>
      <c r="K12">
        <v>17.100000000000001</v>
      </c>
      <c r="L12" s="1">
        <v>0.35499999999999998</v>
      </c>
      <c r="M12">
        <v>12.3</v>
      </c>
      <c r="N12">
        <v>25.7</v>
      </c>
      <c r="O12" s="3">
        <f>590/33</f>
        <v>17.878787878787879</v>
      </c>
      <c r="P12" s="3">
        <f>392/33</f>
        <v>11.878787878787879</v>
      </c>
      <c r="Q12" s="1">
        <v>0.67600000000000005</v>
      </c>
      <c r="R12">
        <v>17.5</v>
      </c>
    </row>
    <row r="13" spans="1:18" x14ac:dyDescent="0.25">
      <c r="A13">
        <v>12</v>
      </c>
      <c r="B13" t="s">
        <v>79</v>
      </c>
      <c r="C13" t="s">
        <v>118</v>
      </c>
      <c r="D13">
        <v>35</v>
      </c>
      <c r="E13">
        <v>19</v>
      </c>
      <c r="F13">
        <v>104</v>
      </c>
      <c r="G13" s="1">
        <v>0.49099999999999999</v>
      </c>
      <c r="H13">
        <v>55.1</v>
      </c>
      <c r="I13" s="1">
        <v>0.438</v>
      </c>
      <c r="J13" s="1">
        <v>0.38600000000000001</v>
      </c>
      <c r="K13">
        <v>20.3</v>
      </c>
      <c r="L13" s="1">
        <v>0.33300000000000002</v>
      </c>
      <c r="M13">
        <v>12.2</v>
      </c>
      <c r="N13">
        <v>22.6</v>
      </c>
      <c r="O13" s="3">
        <f>716/33</f>
        <v>21.696969696969695</v>
      </c>
      <c r="P13" s="3">
        <f>465/33</f>
        <v>14.090909090909092</v>
      </c>
      <c r="Q13" s="1">
        <v>0.73399999999999999</v>
      </c>
      <c r="R13">
        <v>23.8</v>
      </c>
    </row>
    <row r="14" spans="1:18" x14ac:dyDescent="0.25">
      <c r="A14">
        <v>13</v>
      </c>
      <c r="B14" t="s">
        <v>80</v>
      </c>
      <c r="C14" t="s">
        <v>91</v>
      </c>
      <c r="D14">
        <v>136</v>
      </c>
      <c r="E14">
        <v>46</v>
      </c>
      <c r="F14">
        <v>279</v>
      </c>
      <c r="G14" s="1">
        <v>0.48</v>
      </c>
      <c r="H14">
        <v>58.3</v>
      </c>
      <c r="I14" s="1">
        <v>0.44900000000000001</v>
      </c>
      <c r="J14" s="1">
        <v>0.40300000000000002</v>
      </c>
      <c r="K14">
        <v>24.5</v>
      </c>
      <c r="L14" s="1">
        <v>0.38500000000000001</v>
      </c>
      <c r="M14">
        <v>10</v>
      </c>
      <c r="N14">
        <v>23.9</v>
      </c>
      <c r="O14" s="3">
        <f>603/34</f>
        <v>17.735294117647058</v>
      </c>
      <c r="P14" s="3">
        <f>367/34</f>
        <v>10.794117647058824</v>
      </c>
      <c r="Q14" s="1">
        <v>0.72299999999999998</v>
      </c>
      <c r="R14">
        <v>20.7</v>
      </c>
    </row>
    <row r="15" spans="1:18" x14ac:dyDescent="0.25">
      <c r="A15">
        <v>14</v>
      </c>
      <c r="B15" t="s">
        <v>81</v>
      </c>
      <c r="C15" t="s">
        <v>121</v>
      </c>
      <c r="D15">
        <v>121</v>
      </c>
      <c r="E15">
        <v>130</v>
      </c>
      <c r="F15">
        <v>129</v>
      </c>
      <c r="G15" s="1">
        <v>0.43</v>
      </c>
      <c r="H15">
        <v>56.1</v>
      </c>
      <c r="I15" s="1">
        <v>0.42</v>
      </c>
      <c r="J15" s="1">
        <v>0.33200000000000002</v>
      </c>
      <c r="K15">
        <v>16.600000000000001</v>
      </c>
      <c r="L15" s="1">
        <v>0.32400000000000001</v>
      </c>
      <c r="M15">
        <v>11.9</v>
      </c>
      <c r="N15">
        <v>24.7</v>
      </c>
      <c r="O15" s="3">
        <f>599/34</f>
        <v>17.617647058823529</v>
      </c>
      <c r="P15" s="3">
        <f>461/34</f>
        <v>13.558823529411764</v>
      </c>
      <c r="Q15" s="1">
        <v>0.74099999999999999</v>
      </c>
      <c r="R15">
        <v>20.399999999999999</v>
      </c>
    </row>
    <row r="16" spans="1:18" x14ac:dyDescent="0.25">
      <c r="A16">
        <v>15</v>
      </c>
      <c r="B16" t="s">
        <v>82</v>
      </c>
      <c r="C16" t="s">
        <v>114</v>
      </c>
      <c r="D16">
        <v>151</v>
      </c>
      <c r="E16">
        <v>194</v>
      </c>
      <c r="F16">
        <v>124</v>
      </c>
      <c r="G16" s="1">
        <v>0.43</v>
      </c>
      <c r="H16">
        <v>51.8</v>
      </c>
      <c r="I16" s="1">
        <v>0.41799999999999998</v>
      </c>
      <c r="J16" s="1">
        <v>0.38</v>
      </c>
      <c r="K16">
        <v>18.100000000000001</v>
      </c>
      <c r="L16" s="1">
        <v>0.371</v>
      </c>
      <c r="M16">
        <v>8.5</v>
      </c>
      <c r="N16">
        <v>25.1</v>
      </c>
      <c r="O16" s="3">
        <f>482/34</f>
        <v>14.176470588235293</v>
      </c>
      <c r="P16" s="3">
        <f>312/32</f>
        <v>9.75</v>
      </c>
      <c r="Q16" s="1">
        <v>0.69299999999999995</v>
      </c>
      <c r="R16">
        <v>18.8</v>
      </c>
    </row>
    <row r="17" spans="1:18" x14ac:dyDescent="0.25">
      <c r="A17">
        <v>16</v>
      </c>
      <c r="B17" t="s">
        <v>83</v>
      </c>
      <c r="C17" t="s">
        <v>94</v>
      </c>
      <c r="D17">
        <v>127</v>
      </c>
      <c r="E17">
        <v>98</v>
      </c>
      <c r="F17">
        <v>178</v>
      </c>
      <c r="G17" s="1">
        <v>0.46899999999999997</v>
      </c>
      <c r="H17">
        <v>54.6</v>
      </c>
      <c r="I17" s="1">
        <v>0.432</v>
      </c>
      <c r="J17" s="1">
        <v>0.39100000000000001</v>
      </c>
      <c r="K17">
        <v>23.2</v>
      </c>
      <c r="L17" s="1">
        <v>0.313</v>
      </c>
      <c r="M17">
        <v>9.6</v>
      </c>
      <c r="N17">
        <v>25</v>
      </c>
      <c r="O17" s="3">
        <f>545/34</f>
        <v>16.029411764705884</v>
      </c>
      <c r="P17" s="3">
        <f>417/34</f>
        <v>12.264705882352942</v>
      </c>
      <c r="Q17" s="1">
        <v>0.72399999999999998</v>
      </c>
      <c r="R17">
        <v>21.2</v>
      </c>
    </row>
    <row r="18" spans="1:18" x14ac:dyDescent="0.25">
      <c r="A18">
        <v>16</v>
      </c>
      <c r="B18" t="s">
        <v>84</v>
      </c>
      <c r="C18" t="s">
        <v>122</v>
      </c>
      <c r="D18">
        <v>173</v>
      </c>
      <c r="E18">
        <v>191</v>
      </c>
      <c r="F18">
        <v>170</v>
      </c>
      <c r="G18" s="1">
        <v>0.42599999999999999</v>
      </c>
      <c r="H18">
        <v>54.5</v>
      </c>
      <c r="I18" s="1">
        <v>0.42399999999999999</v>
      </c>
      <c r="J18" s="1">
        <v>0.38</v>
      </c>
      <c r="K18">
        <v>16.8</v>
      </c>
      <c r="L18" s="1">
        <v>0.33400000000000002</v>
      </c>
      <c r="M18">
        <v>10.4</v>
      </c>
      <c r="N18">
        <v>23</v>
      </c>
      <c r="O18" s="3">
        <f>612/33</f>
        <v>18.545454545454547</v>
      </c>
      <c r="P18" s="3">
        <f>454/33</f>
        <v>13.757575757575758</v>
      </c>
      <c r="Q18" s="1">
        <v>0.71399999999999997</v>
      </c>
      <c r="R18">
        <v>19.600000000000001</v>
      </c>
    </row>
  </sheetData>
  <conditionalFormatting sqref="D2:D1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Everybody</vt:lpstr>
      <vt:lpstr>East</vt:lpstr>
      <vt:lpstr>West</vt:lpstr>
      <vt:lpstr>Midwest</vt:lpstr>
      <vt:lpstr>South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2015-03-15T23:14:34Z</dcterms:created>
  <dcterms:modified xsi:type="dcterms:W3CDTF">2015-03-19T03:05:05Z</dcterms:modified>
</cp:coreProperties>
</file>